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ocuments\Washington\Crane Workpapers\"/>
    </mc:Choice>
  </mc:AlternateContent>
  <xr:revisionPtr revIDLastSave="0" documentId="13_ncr:1_{A3B8888D-D02A-4189-88C9-5FDF612EB732}" xr6:coauthVersionLast="44" xr6:coauthVersionMax="44" xr10:uidLastSave="{00000000-0000-0000-0000-000000000000}"/>
  <bookViews>
    <workbookView xWindow="-120" yWindow="-120" windowWidth="20730" windowHeight="11160" tabRatio="576" firstSheet="1" activeTab="1" xr2:uid="{00000000-000D-0000-FFFF-FFFF00000000}"/>
  </bookViews>
  <sheets>
    <sheet name="AN Electric" sheetId="27" r:id="rId1"/>
    <sheet name="Washington Electric PF" sheetId="25" r:id="rId2"/>
    <sheet name="Idaho Electric" sheetId="26" r:id="rId3"/>
    <sheet name="Total Electric Download" sheetId="38" r:id="rId4"/>
    <sheet name="Washington Gas PF" sheetId="28" r:id="rId5"/>
    <sheet name="AN Gas" sheetId="30" r:id="rId6"/>
    <sheet name="Idaho Gas" sheetId="29" state="hidden" r:id="rId7"/>
    <sheet name="Gas North Download" sheetId="39" r:id="rId8"/>
    <sheet name="Pro-Forma Increases" sheetId="52" r:id="rId9"/>
  </sheets>
  <externalReferences>
    <externalReference r:id="rId10"/>
  </externalReferences>
  <definedNames>
    <definedName name="_xlnm.Print_Area" localSheetId="0">'AN Electric'!$A$1:$M$133</definedName>
    <definedName name="_xlnm.Print_Area" localSheetId="5">'AN Gas'!$A$1:$J$89</definedName>
    <definedName name="_xlnm.Print_Area" localSheetId="7">'Gas North Download'!$A$3:$E$44</definedName>
    <definedName name="_xlnm.Print_Area" localSheetId="2">'Idaho Electric'!$C$1:$O$122</definedName>
    <definedName name="_xlnm.Print_Area" localSheetId="6">'Idaho Gas'!$C$1:$R$75</definedName>
    <definedName name="_xlnm.Print_Area" localSheetId="8">'Pro-Forma Increases'!$A$1:$E$31</definedName>
    <definedName name="_xlnm.Print_Area" localSheetId="3">'Total Electric Download'!$A$3:$E$87</definedName>
    <definedName name="_xlnm.Print_Area" localSheetId="1">'Washington Electric PF'!$A$1:$M$137</definedName>
    <definedName name="_xlnm.Print_Area" localSheetId="4">'Washington Gas PF'!$A$1:$M$91</definedName>
    <definedName name="_xlnm.Print_Titles" localSheetId="0">'AN Electric'!$1:$8</definedName>
    <definedName name="_xlnm.Print_Titles" localSheetId="5">'AN Gas'!$1:$8</definedName>
    <definedName name="_xlnm.Print_Titles" localSheetId="2">'Idaho Electric'!$C:$E,'Idaho Electric'!$1:$6</definedName>
    <definedName name="_xlnm.Print_Titles" localSheetId="6">'Idaho Gas'!$C:$E,'Idaho Gas'!$1:$7</definedName>
    <definedName name="_xlnm.Print_Titles" localSheetId="3">'Total Electric Download'!$4:$4</definedName>
    <definedName name="_xlnm.Print_Titles" localSheetId="1">'Washington Electric PF'!$C:$E,'Washington Electric PF'!$1:$9</definedName>
    <definedName name="_xlnm.Print_Titles" localSheetId="4">'Washington Gas PF'!$C:$E,'Washington Gas PF'!$1:$10</definedName>
    <definedName name="Recover" localSheetId="8">[1]Macro1!$A$69</definedName>
    <definedName name="Recover">[1]Macro1!$A$69</definedName>
    <definedName name="TableName">"Dummy"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76" i="28" l="1"/>
  <c r="M75" i="28"/>
  <c r="M74" i="28"/>
  <c r="M73" i="28"/>
  <c r="M72" i="28"/>
  <c r="M71" i="28"/>
  <c r="M70" i="28"/>
  <c r="M69" i="28"/>
  <c r="M68" i="28"/>
  <c r="M67" i="28"/>
  <c r="M66" i="28"/>
  <c r="M64" i="28"/>
  <c r="M63" i="28"/>
  <c r="M62" i="28"/>
  <c r="M61" i="28"/>
  <c r="M60" i="28"/>
  <c r="M59" i="28"/>
  <c r="M57" i="28"/>
  <c r="M56" i="28"/>
  <c r="M55" i="28"/>
  <c r="M54" i="28"/>
  <c r="M53" i="28"/>
  <c r="M51" i="28"/>
  <c r="M50" i="28"/>
  <c r="M49" i="28"/>
  <c r="M48" i="28"/>
  <c r="M47" i="28"/>
  <c r="M46" i="28"/>
  <c r="M44" i="28"/>
  <c r="M43" i="28"/>
  <c r="M42" i="28"/>
  <c r="M41" i="28"/>
  <c r="M40" i="28"/>
  <c r="M39" i="28"/>
  <c r="M38" i="28"/>
  <c r="M37" i="28"/>
  <c r="M36" i="28"/>
  <c r="M35" i="28"/>
  <c r="M34" i="28"/>
  <c r="M33" i="28"/>
  <c r="M32" i="28"/>
  <c r="M31" i="28"/>
  <c r="M30" i="28"/>
  <c r="M29" i="28"/>
  <c r="M28" i="28"/>
  <c r="M27" i="28"/>
  <c r="M26" i="28"/>
  <c r="M25" i="28"/>
  <c r="M24" i="28"/>
  <c r="M23" i="28"/>
  <c r="M22" i="28"/>
  <c r="M20" i="28"/>
  <c r="M19" i="28"/>
  <c r="M18" i="28"/>
  <c r="M17" i="28"/>
  <c r="M15" i="28"/>
  <c r="M104" i="25"/>
  <c r="M98" i="25"/>
  <c r="M91" i="25"/>
  <c r="M69" i="25"/>
  <c r="M53" i="25"/>
  <c r="K78" i="28" l="1"/>
  <c r="K80" i="28" l="1"/>
  <c r="D31" i="52"/>
  <c r="D32" i="52" s="1"/>
  <c r="K5" i="26" s="1"/>
  <c r="C31" i="52"/>
  <c r="D16" i="52"/>
  <c r="D17" i="52" s="1"/>
  <c r="K6" i="26" s="1"/>
  <c r="C16" i="52"/>
  <c r="O88" i="26" l="1"/>
  <c r="K14" i="26"/>
  <c r="J5" i="26"/>
  <c r="O80" i="28" l="1"/>
  <c r="O90" i="28" l="1"/>
  <c r="M90" i="28" l="1"/>
  <c r="B83" i="38" l="1"/>
  <c r="D70" i="30" l="1"/>
  <c r="C16" i="30"/>
  <c r="D25" i="52" l="1"/>
  <c r="C25" i="52"/>
  <c r="O16" i="28" l="1"/>
  <c r="O17" i="28"/>
  <c r="O21" i="28"/>
  <c r="O22" i="28"/>
  <c r="O45" i="28"/>
  <c r="O46" i="28"/>
  <c r="O59" i="28"/>
  <c r="O66" i="28"/>
  <c r="K9" i="28"/>
  <c r="K9" i="25"/>
  <c r="K38" i="25" s="1"/>
  <c r="K37" i="25" l="1"/>
  <c r="K52" i="25"/>
  <c r="K25" i="25"/>
  <c r="K48" i="25"/>
  <c r="K24" i="25"/>
  <c r="K47" i="25"/>
  <c r="K8" i="25"/>
  <c r="O52" i="28"/>
  <c r="O53" i="28"/>
  <c r="O38" i="25"/>
  <c r="M24" i="25"/>
  <c r="O24" i="25" s="1"/>
  <c r="M25" i="25"/>
  <c r="O25" i="25" s="1"/>
  <c r="M37" i="25"/>
  <c r="O37" i="25" s="1"/>
  <c r="M38" i="25"/>
  <c r="M47" i="25"/>
  <c r="O47" i="25" s="1"/>
  <c r="M48" i="25"/>
  <c r="O48" i="25" s="1"/>
  <c r="M52" i="25"/>
  <c r="O52" i="25" s="1"/>
  <c r="C1" i="25"/>
  <c r="D32" i="25"/>
  <c r="D54" i="25" s="1"/>
  <c r="D76" i="25" s="1"/>
  <c r="J8" i="25" l="1"/>
  <c r="J9" i="25"/>
  <c r="B40" i="39" l="1"/>
  <c r="C73" i="30" s="1"/>
  <c r="B38" i="39"/>
  <c r="C72" i="30" s="1"/>
  <c r="B37" i="39"/>
  <c r="B36" i="39"/>
  <c r="C70" i="30" s="1"/>
  <c r="B34" i="39"/>
  <c r="B33" i="39"/>
  <c r="B32" i="39"/>
  <c r="B30" i="39"/>
  <c r="B29" i="39"/>
  <c r="B27" i="39"/>
  <c r="B17" i="39"/>
  <c r="B15" i="39"/>
  <c r="B14" i="39"/>
  <c r="B9" i="39"/>
  <c r="B8" i="39"/>
  <c r="B76" i="38"/>
  <c r="B38" i="38"/>
  <c r="B34" i="38"/>
  <c r="B25" i="38"/>
  <c r="F126" i="27" l="1"/>
  <c r="D10" i="52" l="1"/>
  <c r="C10" i="52"/>
  <c r="C65" i="30" l="1"/>
  <c r="B41" i="39"/>
  <c r="C77" i="30" s="1"/>
  <c r="B10" i="30"/>
  <c r="E7" i="39"/>
  <c r="E8" i="39"/>
  <c r="D41" i="39"/>
  <c r="E6" i="39"/>
  <c r="C12" i="30" s="1"/>
  <c r="C13" i="30" s="1"/>
  <c r="C66" i="30"/>
  <c r="C67" i="30"/>
  <c r="C68" i="30"/>
  <c r="C69" i="30"/>
  <c r="C71" i="30"/>
  <c r="C59" i="30"/>
  <c r="C60" i="30"/>
  <c r="C61" i="30"/>
  <c r="C58" i="30"/>
  <c r="C53" i="30"/>
  <c r="C54" i="30"/>
  <c r="C52" i="30"/>
  <c r="C46" i="30"/>
  <c r="C47" i="30"/>
  <c r="C48" i="30"/>
  <c r="C45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40" i="30"/>
  <c r="C41" i="30"/>
  <c r="C21" i="30"/>
  <c r="D21" i="30"/>
  <c r="C18" i="30"/>
  <c r="E10" i="39"/>
  <c r="E11" i="39"/>
  <c r="E14" i="39"/>
  <c r="E15" i="39"/>
  <c r="E18" i="39"/>
  <c r="E19" i="39"/>
  <c r="E9" i="39"/>
  <c r="E12" i="39"/>
  <c r="E13" i="39"/>
  <c r="E16" i="39"/>
  <c r="E17" i="39"/>
  <c r="C41" i="39"/>
  <c r="C120" i="27"/>
  <c r="C12" i="27"/>
  <c r="C38" i="27"/>
  <c r="B85" i="38"/>
  <c r="C125" i="27" s="1"/>
  <c r="C74" i="30" l="1"/>
  <c r="C55" i="30"/>
  <c r="C62" i="30"/>
  <c r="C49" i="30"/>
  <c r="C42" i="30"/>
  <c r="E6" i="38"/>
  <c r="B11" i="27" s="1"/>
  <c r="C76" i="30" l="1"/>
  <c r="C78" i="30" s="1"/>
  <c r="C85" i="38"/>
  <c r="D85" i="38"/>
  <c r="O57" i="29" l="1"/>
  <c r="O5" i="29"/>
  <c r="N4" i="29"/>
  <c r="M103" i="26"/>
  <c r="N103" i="26" s="1"/>
  <c r="M102" i="26"/>
  <c r="N102" i="26" s="1"/>
  <c r="D11" i="52" l="1"/>
  <c r="E20" i="39" l="1"/>
  <c r="E21" i="39"/>
  <c r="E22" i="39"/>
  <c r="E23" i="39"/>
  <c r="E24" i="39"/>
  <c r="E25" i="39"/>
  <c r="E26" i="39"/>
  <c r="E27" i="39"/>
  <c r="E28" i="39"/>
  <c r="E29" i="39"/>
  <c r="E30" i="39"/>
  <c r="E31" i="39"/>
  <c r="E32" i="39"/>
  <c r="E33" i="39"/>
  <c r="E34" i="39"/>
  <c r="E35" i="39"/>
  <c r="E36" i="39"/>
  <c r="E37" i="39"/>
  <c r="E38" i="39"/>
  <c r="B72" i="30" s="1"/>
  <c r="E39" i="39"/>
  <c r="E40" i="39"/>
  <c r="B70" i="30" l="1"/>
  <c r="E41" i="39"/>
  <c r="T6" i="29"/>
  <c r="T5" i="29"/>
  <c r="D26" i="52" l="1"/>
  <c r="I5" i="26" s="1"/>
  <c r="E77" i="38" l="1"/>
  <c r="B115" i="27" s="1"/>
  <c r="C59" i="27"/>
  <c r="C72" i="27"/>
  <c r="C106" i="27"/>
  <c r="C107" i="27"/>
  <c r="C108" i="27"/>
  <c r="C109" i="27"/>
  <c r="C110" i="27"/>
  <c r="C117" i="27"/>
  <c r="C118" i="27"/>
  <c r="C14" i="27" l="1"/>
  <c r="C15" i="27"/>
  <c r="C16" i="27"/>
  <c r="C18" i="27"/>
  <c r="E17" i="38"/>
  <c r="B26" i="27" s="1"/>
  <c r="C33" i="27"/>
  <c r="C40" i="27"/>
  <c r="C41" i="27"/>
  <c r="E38" i="38"/>
  <c r="E39" i="38"/>
  <c r="B57" i="27" s="1"/>
  <c r="E40" i="38"/>
  <c r="B58" i="27" s="1"/>
  <c r="E55" i="38"/>
  <c r="B77" i="27" s="1"/>
  <c r="C77" i="27"/>
  <c r="C81" i="27"/>
  <c r="C96" i="27"/>
  <c r="C114" i="27"/>
  <c r="C121" i="27"/>
  <c r="E7" i="38"/>
  <c r="B12" i="27" s="1"/>
  <c r="C87" i="27" l="1"/>
  <c r="C62" i="27"/>
  <c r="C57" i="27"/>
  <c r="C113" i="27"/>
  <c r="C49" i="27"/>
  <c r="C42" i="27"/>
  <c r="C31" i="27"/>
  <c r="C101" i="27"/>
  <c r="C94" i="27"/>
  <c r="C83" i="27"/>
  <c r="C79" i="27"/>
  <c r="C71" i="27"/>
  <c r="C64" i="27"/>
  <c r="C60" i="27"/>
  <c r="C48" i="27"/>
  <c r="C115" i="27"/>
  <c r="C100" i="27"/>
  <c r="C86" i="27"/>
  <c r="C82" i="27"/>
  <c r="C78" i="27"/>
  <c r="C67" i="27"/>
  <c r="C63" i="27"/>
  <c r="C58" i="27"/>
  <c r="C34" i="27"/>
  <c r="C26" i="27"/>
  <c r="C19" i="27"/>
  <c r="C11" i="27"/>
  <c r="C27" i="27"/>
  <c r="C20" i="27"/>
  <c r="E62" i="38"/>
  <c r="B84" i="27" s="1"/>
  <c r="E79" i="38"/>
  <c r="B117" i="27" s="1"/>
  <c r="E71" i="38"/>
  <c r="B96" i="27" s="1"/>
  <c r="E58" i="38"/>
  <c r="B80" i="27" s="1"/>
  <c r="E46" i="38"/>
  <c r="B65" i="27" s="1"/>
  <c r="E45" i="38"/>
  <c r="B64" i="27" s="1"/>
  <c r="E30" i="38"/>
  <c r="B42" i="27" s="1"/>
  <c r="E29" i="38"/>
  <c r="B41" i="27" s="1"/>
  <c r="E23" i="38"/>
  <c r="B32" i="27" s="1"/>
  <c r="E19" i="38"/>
  <c r="B28" i="27" s="1"/>
  <c r="E11" i="38"/>
  <c r="B17" i="27" s="1"/>
  <c r="E10" i="38"/>
  <c r="B15" i="27" s="1"/>
  <c r="E50" i="38"/>
  <c r="B73" i="27" s="1"/>
  <c r="E34" i="38"/>
  <c r="B49" i="27" s="1"/>
  <c r="E25" i="38"/>
  <c r="B34" i="27" s="1"/>
  <c r="E14" i="38"/>
  <c r="B20" i="27" s="1"/>
  <c r="E73" i="38"/>
  <c r="B101" i="27" s="1"/>
  <c r="E51" i="38"/>
  <c r="B74" i="27" s="1"/>
  <c r="E42" i="38"/>
  <c r="B61" i="27" s="1"/>
  <c r="E26" i="38"/>
  <c r="B38" i="27" s="1"/>
  <c r="E18" i="38"/>
  <c r="B27" i="27" s="1"/>
  <c r="E9" i="38"/>
  <c r="B14" i="27" s="1"/>
  <c r="E35" i="38"/>
  <c r="B55" i="27" s="1"/>
  <c r="E83" i="38"/>
  <c r="B121" i="27" s="1"/>
  <c r="E63" i="38"/>
  <c r="B85" i="27" s="1"/>
  <c r="E15" i="38"/>
  <c r="B21" i="27" s="1"/>
  <c r="E74" i="38"/>
  <c r="B102" i="27" s="1"/>
  <c r="E66" i="38"/>
  <c r="B88" i="27" s="1"/>
  <c r="E47" i="38"/>
  <c r="B66" i="27" s="1"/>
  <c r="E31" i="38"/>
  <c r="B43" i="27" s="1"/>
  <c r="E75" i="38"/>
  <c r="B113" i="27" s="1"/>
  <c r="E67" i="38"/>
  <c r="B89" i="27" s="1"/>
  <c r="E59" i="38"/>
  <c r="B81" i="27" s="1"/>
  <c r="E43" i="38"/>
  <c r="B62" i="27" s="1"/>
  <c r="E27" i="38"/>
  <c r="B39" i="27" s="1"/>
  <c r="E76" i="38"/>
  <c r="B114" i="27" s="1"/>
  <c r="C102" i="27"/>
  <c r="E64" i="38"/>
  <c r="B86" i="27" s="1"/>
  <c r="C84" i="27"/>
  <c r="E52" i="38"/>
  <c r="C73" i="27"/>
  <c r="E32" i="38"/>
  <c r="B44" i="27" s="1"/>
  <c r="C43" i="27"/>
  <c r="E20" i="38"/>
  <c r="B29" i="27" s="1"/>
  <c r="C28" i="27"/>
  <c r="E80" i="38"/>
  <c r="B119" i="27" s="1"/>
  <c r="C116" i="27"/>
  <c r="E78" i="38"/>
  <c r="B116" i="27" s="1"/>
  <c r="E57" i="38"/>
  <c r="B79" i="27" s="1"/>
  <c r="E13" i="38"/>
  <c r="B19" i="27" s="1"/>
  <c r="E81" i="38"/>
  <c r="B120" i="27" s="1"/>
  <c r="C119" i="27"/>
  <c r="E72" i="38"/>
  <c r="B100" i="27" s="1"/>
  <c r="C95" i="27"/>
  <c r="E68" i="38"/>
  <c r="B93" i="27" s="1"/>
  <c r="C88" i="27"/>
  <c r="E60" i="38"/>
  <c r="B82" i="27" s="1"/>
  <c r="C80" i="27"/>
  <c r="E56" i="38"/>
  <c r="B78" i="27" s="1"/>
  <c r="C76" i="27"/>
  <c r="E48" i="38"/>
  <c r="B67" i="27" s="1"/>
  <c r="C65" i="27"/>
  <c r="E44" i="38"/>
  <c r="B63" i="27" s="1"/>
  <c r="C61" i="27"/>
  <c r="E36" i="38"/>
  <c r="C55" i="27"/>
  <c r="E28" i="38"/>
  <c r="B40" i="27" s="1"/>
  <c r="C39" i="27"/>
  <c r="E24" i="38"/>
  <c r="B33" i="27" s="1"/>
  <c r="C32" i="27"/>
  <c r="E16" i="38"/>
  <c r="B25" i="27" s="1"/>
  <c r="C21" i="27"/>
  <c r="E12" i="38"/>
  <c r="B18" i="27" s="1"/>
  <c r="C17" i="27"/>
  <c r="E8" i="38"/>
  <c r="B13" i="27" s="1"/>
  <c r="C13" i="27"/>
  <c r="E82" i="38"/>
  <c r="E69" i="38"/>
  <c r="B94" i="27" s="1"/>
  <c r="C89" i="27"/>
  <c r="E65" i="38"/>
  <c r="B87" i="27" s="1"/>
  <c r="C85" i="27"/>
  <c r="E53" i="38"/>
  <c r="C74" i="27"/>
  <c r="E49" i="38"/>
  <c r="B71" i="27" s="1"/>
  <c r="C66" i="27"/>
  <c r="E37" i="38"/>
  <c r="C56" i="27"/>
  <c r="E33" i="38"/>
  <c r="B48" i="27" s="1"/>
  <c r="C44" i="27"/>
  <c r="E21" i="38"/>
  <c r="B30" i="27" s="1"/>
  <c r="C29" i="27"/>
  <c r="C25" i="27"/>
  <c r="E70" i="38"/>
  <c r="B95" i="27" s="1"/>
  <c r="C93" i="27"/>
  <c r="E54" i="38"/>
  <c r="B76" i="27" s="1"/>
  <c r="C75" i="27"/>
  <c r="E22" i="38"/>
  <c r="B31" i="27" s="1"/>
  <c r="C30" i="27"/>
  <c r="E61" i="38"/>
  <c r="B83" i="27" s="1"/>
  <c r="E41" i="38"/>
  <c r="B60" i="27" s="1"/>
  <c r="B75" i="27" l="1"/>
  <c r="B90" i="27" s="1"/>
  <c r="B122" i="27"/>
  <c r="B103" i="27"/>
  <c r="B97" i="27"/>
  <c r="B56" i="27"/>
  <c r="B68" i="27" s="1"/>
  <c r="B50" i="27"/>
  <c r="B45" i="27"/>
  <c r="B35" i="27"/>
  <c r="B22" i="27"/>
  <c r="C50" i="27"/>
  <c r="E85" i="38"/>
  <c r="C103" i="27"/>
  <c r="C97" i="27"/>
  <c r="C22" i="27"/>
  <c r="C90" i="27"/>
  <c r="C45" i="27"/>
  <c r="C122" i="27"/>
  <c r="C35" i="27"/>
  <c r="C68" i="27"/>
  <c r="B52" i="27" l="1"/>
  <c r="B124" i="27" s="1"/>
  <c r="C52" i="27"/>
  <c r="J4" i="29" l="1"/>
  <c r="I4" i="29"/>
  <c r="E74" i="29"/>
  <c r="J6" i="26"/>
  <c r="J14" i="26" s="1"/>
  <c r="M14" i="26" s="1"/>
  <c r="N14" i="26" l="1"/>
  <c r="F16" i="27"/>
  <c r="G16" i="27" s="1"/>
  <c r="E17" i="25" s="1"/>
  <c r="F11" i="27"/>
  <c r="B77" i="30"/>
  <c r="G17" i="25" l="1"/>
  <c r="J16" i="27"/>
  <c r="L16" i="27" s="1"/>
  <c r="E14" i="26" s="1"/>
  <c r="I6" i="26" l="1"/>
  <c r="G77" i="30" l="1"/>
  <c r="D77" i="30"/>
  <c r="I121" i="27"/>
  <c r="I120" i="27"/>
  <c r="I119" i="27"/>
  <c r="I118" i="27"/>
  <c r="I117" i="27"/>
  <c r="I116" i="27"/>
  <c r="I115" i="27"/>
  <c r="I114" i="27"/>
  <c r="I113" i="27"/>
  <c r="I109" i="27"/>
  <c r="I108" i="27"/>
  <c r="I107" i="27"/>
  <c r="I106" i="27"/>
  <c r="I102" i="27"/>
  <c r="I101" i="27"/>
  <c r="I100" i="27"/>
  <c r="I96" i="27"/>
  <c r="I95" i="27"/>
  <c r="I94" i="27"/>
  <c r="I93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49" i="27"/>
  <c r="I48" i="27"/>
  <c r="I44" i="27"/>
  <c r="I43" i="27"/>
  <c r="I42" i="27"/>
  <c r="I41" i="27"/>
  <c r="I40" i="27"/>
  <c r="I39" i="27"/>
  <c r="I38" i="27"/>
  <c r="I34" i="27"/>
  <c r="I33" i="27"/>
  <c r="I32" i="27"/>
  <c r="I31" i="27"/>
  <c r="I30" i="27"/>
  <c r="I29" i="27"/>
  <c r="I28" i="27"/>
  <c r="I27" i="27"/>
  <c r="I26" i="27"/>
  <c r="I25" i="27"/>
  <c r="I21" i="27"/>
  <c r="I20" i="27"/>
  <c r="I19" i="27"/>
  <c r="I18" i="27"/>
  <c r="I17" i="27"/>
  <c r="I15" i="27"/>
  <c r="I14" i="27"/>
  <c r="I13" i="27"/>
  <c r="I12" i="27"/>
  <c r="I11" i="27"/>
  <c r="E121" i="27"/>
  <c r="E120" i="27"/>
  <c r="E119" i="27"/>
  <c r="E118" i="27"/>
  <c r="E117" i="27"/>
  <c r="E116" i="27"/>
  <c r="E115" i="27"/>
  <c r="E114" i="27"/>
  <c r="E113" i="27"/>
  <c r="E109" i="27"/>
  <c r="E108" i="27"/>
  <c r="E107" i="27"/>
  <c r="E106" i="27"/>
  <c r="E102" i="27"/>
  <c r="E101" i="27"/>
  <c r="E100" i="27"/>
  <c r="E96" i="27"/>
  <c r="E95" i="27"/>
  <c r="E94" i="27"/>
  <c r="E93" i="27"/>
  <c r="E89" i="27"/>
  <c r="E88" i="27"/>
  <c r="E87" i="27"/>
  <c r="E86" i="27"/>
  <c r="E85" i="27"/>
  <c r="E84" i="27"/>
  <c r="E83" i="27"/>
  <c r="E82" i="27"/>
  <c r="E81" i="27"/>
  <c r="E80" i="27"/>
  <c r="E79" i="27"/>
  <c r="E78" i="27"/>
  <c r="E77" i="27"/>
  <c r="E76" i="27"/>
  <c r="E75" i="27"/>
  <c r="E74" i="27"/>
  <c r="E73" i="27"/>
  <c r="E72" i="27"/>
  <c r="E71" i="27"/>
  <c r="E67" i="27"/>
  <c r="E66" i="27"/>
  <c r="E65" i="27"/>
  <c r="E64" i="27"/>
  <c r="E63" i="27"/>
  <c r="E62" i="27"/>
  <c r="E61" i="27"/>
  <c r="E60" i="27"/>
  <c r="E59" i="27"/>
  <c r="E58" i="27"/>
  <c r="E57" i="27"/>
  <c r="E56" i="27"/>
  <c r="E55" i="27"/>
  <c r="E49" i="27"/>
  <c r="E48" i="27"/>
  <c r="E44" i="27"/>
  <c r="E43" i="27"/>
  <c r="E42" i="27"/>
  <c r="E41" i="27"/>
  <c r="E40" i="27"/>
  <c r="E39" i="27"/>
  <c r="E38" i="27"/>
  <c r="E34" i="27"/>
  <c r="E33" i="27"/>
  <c r="E32" i="27"/>
  <c r="E31" i="27"/>
  <c r="E30" i="27"/>
  <c r="E29" i="27"/>
  <c r="E28" i="27"/>
  <c r="E27" i="27"/>
  <c r="E26" i="27"/>
  <c r="E25" i="27"/>
  <c r="E21" i="27"/>
  <c r="E20" i="27"/>
  <c r="E19" i="27"/>
  <c r="E18" i="27"/>
  <c r="E17" i="27"/>
  <c r="E15" i="27"/>
  <c r="E14" i="27"/>
  <c r="E13" i="27"/>
  <c r="E12" i="27"/>
  <c r="E11" i="27"/>
  <c r="J115" i="27"/>
  <c r="J86" i="27"/>
  <c r="E125" i="27" l="1"/>
  <c r="I125" i="27" l="1"/>
  <c r="B71" i="30" l="1"/>
  <c r="B59" i="30"/>
  <c r="B41" i="30"/>
  <c r="B30" i="30"/>
  <c r="B16" i="30"/>
  <c r="B65" i="30"/>
  <c r="B45" i="30"/>
  <c r="B32" i="30"/>
  <c r="B73" i="30"/>
  <c r="B66" i="30"/>
  <c r="B46" i="30"/>
  <c r="B34" i="30"/>
  <c r="B12" i="30"/>
  <c r="B67" i="30"/>
  <c r="B36" i="30"/>
  <c r="B25" i="30"/>
  <c r="B68" i="30"/>
  <c r="B37" i="30"/>
  <c r="B26" i="30"/>
  <c r="B52" i="30"/>
  <c r="B38" i="30"/>
  <c r="B27" i="30"/>
  <c r="B53" i="30"/>
  <c r="B39" i="30"/>
  <c r="B28" i="30"/>
  <c r="B54" i="30"/>
  <c r="B40" i="30"/>
  <c r="B29" i="30"/>
  <c r="J5" i="29"/>
  <c r="I9" i="25"/>
  <c r="B125" i="27"/>
  <c r="D32" i="28"/>
  <c r="D29" i="26"/>
  <c r="D51" i="26" s="1"/>
  <c r="D73" i="26" s="1"/>
  <c r="D29" i="29"/>
  <c r="D54" i="29" s="1"/>
  <c r="E67" i="30"/>
  <c r="D67" i="30"/>
  <c r="G67" i="30"/>
  <c r="F63" i="27"/>
  <c r="B47" i="30"/>
  <c r="E21" i="30"/>
  <c r="F21" i="27"/>
  <c r="G21" i="27" s="1"/>
  <c r="E22" i="25" s="1"/>
  <c r="F19" i="27"/>
  <c r="G19" i="27" s="1"/>
  <c r="E20" i="25" s="1"/>
  <c r="E22" i="27"/>
  <c r="D12" i="30"/>
  <c r="D11" i="30"/>
  <c r="D10" i="30"/>
  <c r="F121" i="27"/>
  <c r="F12" i="27"/>
  <c r="G12" i="27" s="1"/>
  <c r="E13" i="25" s="1"/>
  <c r="F17" i="27"/>
  <c r="F18" i="27"/>
  <c r="G18" i="27" s="1"/>
  <c r="E19" i="25" s="1"/>
  <c r="F20" i="27"/>
  <c r="G20" i="27" s="1"/>
  <c r="E21" i="25" s="1"/>
  <c r="F25" i="27"/>
  <c r="G25" i="27" s="1"/>
  <c r="E26" i="25" s="1"/>
  <c r="F26" i="27"/>
  <c r="F27" i="27"/>
  <c r="G27" i="27" s="1"/>
  <c r="E28" i="25" s="1"/>
  <c r="J28" i="27"/>
  <c r="F29" i="27"/>
  <c r="G29" i="27" s="1"/>
  <c r="E30" i="25" s="1"/>
  <c r="F30" i="27"/>
  <c r="F31" i="27"/>
  <c r="J32" i="27"/>
  <c r="L32" i="27" s="1"/>
  <c r="E30" i="26" s="1"/>
  <c r="F33" i="27"/>
  <c r="G33" i="27" s="1"/>
  <c r="E34" i="25" s="1"/>
  <c r="F34" i="27"/>
  <c r="F38" i="27"/>
  <c r="F40" i="27"/>
  <c r="G40" i="27" s="1"/>
  <c r="E41" i="25" s="1"/>
  <c r="J41" i="27"/>
  <c r="F42" i="27"/>
  <c r="J43" i="27"/>
  <c r="L43" i="27" s="1"/>
  <c r="E41" i="26" s="1"/>
  <c r="F44" i="27"/>
  <c r="E50" i="27"/>
  <c r="F48" i="27"/>
  <c r="J55" i="27"/>
  <c r="J56" i="27"/>
  <c r="F57" i="27"/>
  <c r="F58" i="27"/>
  <c r="J60" i="27"/>
  <c r="F61" i="27"/>
  <c r="G61" i="27" s="1"/>
  <c r="E62" i="25" s="1"/>
  <c r="F62" i="27"/>
  <c r="F64" i="27"/>
  <c r="F65" i="27"/>
  <c r="F66" i="27"/>
  <c r="F67" i="27"/>
  <c r="F71" i="27"/>
  <c r="J72" i="27"/>
  <c r="F73" i="27"/>
  <c r="F74" i="27"/>
  <c r="F75" i="27"/>
  <c r="F76" i="27"/>
  <c r="F77" i="27"/>
  <c r="F78" i="27"/>
  <c r="F79" i="27"/>
  <c r="J80" i="27"/>
  <c r="F81" i="27"/>
  <c r="J82" i="27"/>
  <c r="F83" i="27"/>
  <c r="J84" i="27"/>
  <c r="J85" i="27"/>
  <c r="F86" i="27"/>
  <c r="J87" i="27"/>
  <c r="J88" i="27"/>
  <c r="F89" i="27"/>
  <c r="F93" i="27"/>
  <c r="F94" i="27"/>
  <c r="F95" i="27"/>
  <c r="F96" i="27"/>
  <c r="F100" i="27"/>
  <c r="F101" i="27"/>
  <c r="F102" i="27"/>
  <c r="F106" i="27"/>
  <c r="F107" i="27"/>
  <c r="J108" i="27"/>
  <c r="J109" i="27"/>
  <c r="J114" i="27"/>
  <c r="F115" i="27"/>
  <c r="F116" i="27"/>
  <c r="F117" i="27"/>
  <c r="F118" i="27"/>
  <c r="F120" i="27"/>
  <c r="J19" i="27"/>
  <c r="J25" i="27"/>
  <c r="J26" i="27"/>
  <c r="J27" i="27"/>
  <c r="J29" i="27"/>
  <c r="J31" i="27"/>
  <c r="J33" i="27"/>
  <c r="J42" i="27"/>
  <c r="I50" i="27"/>
  <c r="G65" i="30"/>
  <c r="G10" i="30"/>
  <c r="E10" i="30"/>
  <c r="G11" i="30"/>
  <c r="E11" i="30"/>
  <c r="G12" i="30"/>
  <c r="H12" i="30"/>
  <c r="G16" i="30"/>
  <c r="E16" i="30"/>
  <c r="G17" i="30"/>
  <c r="H17" i="30"/>
  <c r="G21" i="30"/>
  <c r="G22" i="30"/>
  <c r="E22" i="30"/>
  <c r="G23" i="30"/>
  <c r="H23" i="30"/>
  <c r="G24" i="30"/>
  <c r="H24" i="30"/>
  <c r="G25" i="30"/>
  <c r="H25" i="30"/>
  <c r="G26" i="30"/>
  <c r="H26" i="30"/>
  <c r="G27" i="30"/>
  <c r="H27" i="30"/>
  <c r="G28" i="30"/>
  <c r="H28" i="30"/>
  <c r="G29" i="30"/>
  <c r="H29" i="30"/>
  <c r="G30" i="30"/>
  <c r="H30" i="30"/>
  <c r="G31" i="30"/>
  <c r="H31" i="30"/>
  <c r="G32" i="30"/>
  <c r="H32" i="30"/>
  <c r="G33" i="30"/>
  <c r="H33" i="30"/>
  <c r="G34" i="30"/>
  <c r="H34" i="30"/>
  <c r="G35" i="30"/>
  <c r="H35" i="30"/>
  <c r="G36" i="30"/>
  <c r="E36" i="30"/>
  <c r="G37" i="30"/>
  <c r="H37" i="30"/>
  <c r="G38" i="30"/>
  <c r="H38" i="30"/>
  <c r="G39" i="30"/>
  <c r="H39" i="30"/>
  <c r="G40" i="30"/>
  <c r="H40" i="30"/>
  <c r="G41" i="30"/>
  <c r="E41" i="30"/>
  <c r="G45" i="30"/>
  <c r="H45" i="30"/>
  <c r="G46" i="30"/>
  <c r="H46" i="30"/>
  <c r="G47" i="30"/>
  <c r="H47" i="30"/>
  <c r="G48" i="30"/>
  <c r="H48" i="30"/>
  <c r="G52" i="30"/>
  <c r="E52" i="30"/>
  <c r="G53" i="30"/>
  <c r="H53" i="30"/>
  <c r="G54" i="30"/>
  <c r="H54" i="30"/>
  <c r="G58" i="30"/>
  <c r="H58" i="30"/>
  <c r="G59" i="30"/>
  <c r="H59" i="30"/>
  <c r="G60" i="30"/>
  <c r="H60" i="30"/>
  <c r="G61" i="30"/>
  <c r="E61" i="30"/>
  <c r="G66" i="30"/>
  <c r="H66" i="30"/>
  <c r="G68" i="30"/>
  <c r="H68" i="30"/>
  <c r="G69" i="30"/>
  <c r="H69" i="30"/>
  <c r="G70" i="30"/>
  <c r="H70" i="30"/>
  <c r="G71" i="30"/>
  <c r="E71" i="30"/>
  <c r="G72" i="30"/>
  <c r="H72" i="30"/>
  <c r="G73" i="30"/>
  <c r="H73" i="30"/>
  <c r="D65" i="30"/>
  <c r="D16" i="30"/>
  <c r="D17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5" i="30"/>
  <c r="D46" i="30"/>
  <c r="D47" i="30"/>
  <c r="D48" i="30"/>
  <c r="D52" i="30"/>
  <c r="D53" i="30"/>
  <c r="D54" i="30"/>
  <c r="D58" i="30"/>
  <c r="D59" i="30"/>
  <c r="D60" i="30"/>
  <c r="D61" i="30"/>
  <c r="D66" i="30"/>
  <c r="D68" i="30"/>
  <c r="D69" i="30"/>
  <c r="D71" i="30"/>
  <c r="D72" i="30"/>
  <c r="D73" i="30"/>
  <c r="A1" i="30"/>
  <c r="F129" i="27"/>
  <c r="F130" i="27"/>
  <c r="F131" i="27"/>
  <c r="F128" i="27"/>
  <c r="B69" i="30"/>
  <c r="B60" i="30"/>
  <c r="B61" i="30"/>
  <c r="B58" i="30"/>
  <c r="B48" i="30"/>
  <c r="B22" i="30"/>
  <c r="B23" i="30"/>
  <c r="B24" i="30"/>
  <c r="B31" i="30"/>
  <c r="B33" i="30"/>
  <c r="B35" i="30"/>
  <c r="B21" i="30"/>
  <c r="B17" i="30"/>
  <c r="B11" i="30"/>
  <c r="E82" i="30"/>
  <c r="E81" i="30"/>
  <c r="E83" i="30"/>
  <c r="E84" i="30"/>
  <c r="E85" i="30"/>
  <c r="E86" i="30"/>
  <c r="H65" i="30"/>
  <c r="F43" i="27"/>
  <c r="G43" i="27" s="1"/>
  <c r="E44" i="25" s="1"/>
  <c r="F41" i="27"/>
  <c r="F39" i="27"/>
  <c r="J39" i="27"/>
  <c r="J20" i="27"/>
  <c r="J18" i="27"/>
  <c r="L18" i="27" s="1"/>
  <c r="E16" i="26" s="1"/>
  <c r="J13" i="27"/>
  <c r="L13" i="27" s="1"/>
  <c r="E11" i="26" s="1"/>
  <c r="J11" i="27"/>
  <c r="L11" i="27" s="1"/>
  <c r="E9" i="26" s="1"/>
  <c r="F113" i="27"/>
  <c r="J21" i="27"/>
  <c r="F55" i="27"/>
  <c r="G55" i="27" s="1"/>
  <c r="E56" i="25" s="1"/>
  <c r="J81" i="27"/>
  <c r="L81" i="27" s="1"/>
  <c r="E79" i="26" s="1"/>
  <c r="J63" i="27"/>
  <c r="J59" i="27"/>
  <c r="L59" i="27" s="1"/>
  <c r="E57" i="26" s="1"/>
  <c r="J58" i="27"/>
  <c r="J12" i="27"/>
  <c r="F32" i="27"/>
  <c r="G32" i="27" s="1"/>
  <c r="E33" i="25" s="1"/>
  <c r="F28" i="27"/>
  <c r="G28" i="27" s="1"/>
  <c r="E29" i="25" s="1"/>
  <c r="J116" i="27"/>
  <c r="L116" i="27" s="1"/>
  <c r="E114" i="26" s="1"/>
  <c r="F59" i="27"/>
  <c r="G59" i="27" s="1"/>
  <c r="E60" i="25" s="1"/>
  <c r="F15" i="27"/>
  <c r="G15" i="27" s="1"/>
  <c r="E16" i="25" s="1"/>
  <c r="J15" i="27"/>
  <c r="F56" i="27"/>
  <c r="I103" i="27"/>
  <c r="J14" i="27"/>
  <c r="L14" i="27" s="1"/>
  <c r="E12" i="26" s="1"/>
  <c r="F14" i="27"/>
  <c r="G14" i="27" s="1"/>
  <c r="E15" i="25" s="1"/>
  <c r="J57" i="27"/>
  <c r="J61" i="27"/>
  <c r="N5" i="29" l="1"/>
  <c r="D18" i="30"/>
  <c r="I6" i="29"/>
  <c r="I49" i="29" s="1"/>
  <c r="I17" i="25"/>
  <c r="N6" i="29"/>
  <c r="B42" i="30"/>
  <c r="B13" i="30"/>
  <c r="B49" i="30"/>
  <c r="B18" i="30"/>
  <c r="J9" i="28"/>
  <c r="J6" i="29"/>
  <c r="C3" i="29"/>
  <c r="I8" i="25"/>
  <c r="J8" i="28"/>
  <c r="E29" i="30"/>
  <c r="F29" i="30" s="1"/>
  <c r="I65" i="30"/>
  <c r="E64" i="29" s="1"/>
  <c r="B74" i="30"/>
  <c r="E66" i="30"/>
  <c r="F66" i="30" s="1"/>
  <c r="H10" i="30"/>
  <c r="I10" i="30" s="1"/>
  <c r="E9" i="29" s="1"/>
  <c r="E23" i="30"/>
  <c r="F23" i="30" s="1"/>
  <c r="F10" i="30"/>
  <c r="F67" i="30"/>
  <c r="E12" i="30"/>
  <c r="F12" i="30" s="1"/>
  <c r="D13" i="30"/>
  <c r="F11" i="30"/>
  <c r="H67" i="30"/>
  <c r="I67" i="30" s="1"/>
  <c r="E66" i="29" s="1"/>
  <c r="H11" i="30"/>
  <c r="I11" i="30" s="1"/>
  <c r="E10" i="29" s="1"/>
  <c r="E31" i="30"/>
  <c r="F31" i="30" s="1"/>
  <c r="E25" i="30"/>
  <c r="F25" i="30" s="1"/>
  <c r="L15" i="27"/>
  <c r="E13" i="26" s="1"/>
  <c r="L42" i="27"/>
  <c r="E40" i="26" s="1"/>
  <c r="G56" i="27"/>
  <c r="E57" i="25" s="1"/>
  <c r="G41" i="27"/>
  <c r="E42" i="25" s="1"/>
  <c r="L61" i="27"/>
  <c r="E59" i="26" s="1"/>
  <c r="G39" i="27"/>
  <c r="E40" i="25" s="1"/>
  <c r="L55" i="27"/>
  <c r="E53" i="26" s="1"/>
  <c r="L39" i="27"/>
  <c r="E37" i="26" s="1"/>
  <c r="L26" i="27"/>
  <c r="E24" i="26" s="1"/>
  <c r="L27" i="27"/>
  <c r="E25" i="26" s="1"/>
  <c r="G48" i="27"/>
  <c r="E49" i="25" s="1"/>
  <c r="G79" i="27"/>
  <c r="E80" i="25" s="1"/>
  <c r="I22" i="27"/>
  <c r="L88" i="27"/>
  <c r="E86" i="26" s="1"/>
  <c r="I12" i="30"/>
  <c r="E11" i="29" s="1"/>
  <c r="G13" i="30"/>
  <c r="H21" i="30"/>
  <c r="I21" i="30" s="1"/>
  <c r="E20" i="29" s="1"/>
  <c r="E39" i="30"/>
  <c r="F39" i="30" s="1"/>
  <c r="E32" i="30"/>
  <c r="F32" i="30" s="1"/>
  <c r="F41" i="30"/>
  <c r="F61" i="30"/>
  <c r="L29" i="27"/>
  <c r="E27" i="26" s="1"/>
  <c r="D42" i="30"/>
  <c r="G117" i="27"/>
  <c r="E118" i="25" s="1"/>
  <c r="L28" i="27"/>
  <c r="E26" i="26" s="1"/>
  <c r="L41" i="27"/>
  <c r="E39" i="26" s="1"/>
  <c r="L21" i="27"/>
  <c r="E19" i="26" s="1"/>
  <c r="L80" i="27"/>
  <c r="E78" i="26" s="1"/>
  <c r="G62" i="30"/>
  <c r="H16" i="30"/>
  <c r="I16" i="30" s="1"/>
  <c r="E15" i="29" s="1"/>
  <c r="H22" i="30"/>
  <c r="I22" i="30" s="1"/>
  <c r="E21" i="29" s="1"/>
  <c r="G18" i="30"/>
  <c r="H49" i="30"/>
  <c r="E40" i="30"/>
  <c r="F40" i="30" s="1"/>
  <c r="H52" i="30"/>
  <c r="I52" i="30" s="1"/>
  <c r="E51" i="29" s="1"/>
  <c r="E33" i="30"/>
  <c r="F33" i="30" s="1"/>
  <c r="E48" i="30"/>
  <c r="F48" i="30" s="1"/>
  <c r="E30" i="30"/>
  <c r="F30" i="30" s="1"/>
  <c r="H41" i="30"/>
  <c r="I41" i="30" s="1"/>
  <c r="E40" i="29" s="1"/>
  <c r="I27" i="30"/>
  <c r="E26" i="29" s="1"/>
  <c r="E37" i="30"/>
  <c r="F37" i="30" s="1"/>
  <c r="E38" i="30"/>
  <c r="F38" i="30" s="1"/>
  <c r="E59" i="30"/>
  <c r="F59" i="30" s="1"/>
  <c r="E53" i="30"/>
  <c r="F53" i="30" s="1"/>
  <c r="E34" i="30"/>
  <c r="F34" i="30" s="1"/>
  <c r="E27" i="30"/>
  <c r="F27" i="30" s="1"/>
  <c r="E35" i="30"/>
  <c r="F35" i="30" s="1"/>
  <c r="E47" i="30"/>
  <c r="F47" i="30" s="1"/>
  <c r="E24" i="30"/>
  <c r="F24" i="30" s="1"/>
  <c r="E17" i="30"/>
  <c r="F17" i="30" s="1"/>
  <c r="E26" i="30"/>
  <c r="F26" i="30" s="1"/>
  <c r="E73" i="30"/>
  <c r="F73" i="30" s="1"/>
  <c r="E68" i="30"/>
  <c r="F68" i="30" s="1"/>
  <c r="H71" i="30"/>
  <c r="E28" i="30"/>
  <c r="F28" i="30" s="1"/>
  <c r="E70" i="30"/>
  <c r="F70" i="30" s="1"/>
  <c r="E45" i="30"/>
  <c r="F45" i="30" s="1"/>
  <c r="E72" i="30"/>
  <c r="F72" i="30" s="1"/>
  <c r="H36" i="30"/>
  <c r="I36" i="30" s="1"/>
  <c r="E35" i="29" s="1"/>
  <c r="E58" i="30"/>
  <c r="E54" i="30"/>
  <c r="F54" i="30" s="1"/>
  <c r="H61" i="30"/>
  <c r="I61" i="30" s="1"/>
  <c r="E60" i="29" s="1"/>
  <c r="E69" i="30"/>
  <c r="F69" i="30" s="1"/>
  <c r="E46" i="30"/>
  <c r="F46" i="30" s="1"/>
  <c r="E60" i="30"/>
  <c r="F60" i="30" s="1"/>
  <c r="I24" i="30"/>
  <c r="E23" i="29" s="1"/>
  <c r="D55" i="30"/>
  <c r="I59" i="30"/>
  <c r="E58" i="29" s="1"/>
  <c r="I28" i="30"/>
  <c r="E27" i="29" s="1"/>
  <c r="I37" i="30"/>
  <c r="E36" i="29" s="1"/>
  <c r="I66" i="30"/>
  <c r="E65" i="29" s="1"/>
  <c r="I45" i="30"/>
  <c r="E44" i="29" s="1"/>
  <c r="I34" i="30"/>
  <c r="E33" i="29" s="1"/>
  <c r="G42" i="30"/>
  <c r="G55" i="30"/>
  <c r="I38" i="30"/>
  <c r="E37" i="29" s="1"/>
  <c r="I23" i="30"/>
  <c r="E22" i="29" s="1"/>
  <c r="G49" i="30"/>
  <c r="I48" i="30"/>
  <c r="E47" i="29" s="1"/>
  <c r="D49" i="30"/>
  <c r="F16" i="30"/>
  <c r="D62" i="30"/>
  <c r="I25" i="30"/>
  <c r="E24" i="29" s="1"/>
  <c r="F71" i="30"/>
  <c r="I72" i="30"/>
  <c r="E71" i="29" s="1"/>
  <c r="D74" i="30"/>
  <c r="F52" i="30"/>
  <c r="F36" i="30"/>
  <c r="I53" i="30"/>
  <c r="E52" i="29" s="1"/>
  <c r="I29" i="30"/>
  <c r="E28" i="29" s="1"/>
  <c r="F22" i="30"/>
  <c r="E65" i="30"/>
  <c r="F65" i="30" s="1"/>
  <c r="I54" i="30"/>
  <c r="E53" i="29" s="1"/>
  <c r="I30" i="30"/>
  <c r="E29" i="29" s="1"/>
  <c r="I26" i="30"/>
  <c r="E25" i="29" s="1"/>
  <c r="I35" i="30"/>
  <c r="E34" i="29" s="1"/>
  <c r="I58" i="30"/>
  <c r="E57" i="29" s="1"/>
  <c r="I68" i="30"/>
  <c r="E67" i="29" s="1"/>
  <c r="G62" i="27"/>
  <c r="E63" i="25" s="1"/>
  <c r="J64" i="27"/>
  <c r="L64" i="27" s="1"/>
  <c r="E62" i="26" s="1"/>
  <c r="J38" i="27"/>
  <c r="L38" i="27" s="1"/>
  <c r="E36" i="26" s="1"/>
  <c r="F84" i="27"/>
  <c r="G84" i="27" s="1"/>
  <c r="E85" i="25" s="1"/>
  <c r="F80" i="27"/>
  <c r="G80" i="27" s="1"/>
  <c r="E81" i="25" s="1"/>
  <c r="J30" i="27"/>
  <c r="L30" i="27" s="1"/>
  <c r="E28" i="26" s="1"/>
  <c r="J34" i="27"/>
  <c r="L34" i="27" s="1"/>
  <c r="E32" i="26" s="1"/>
  <c r="J121" i="27"/>
  <c r="L121" i="27" s="1"/>
  <c r="E119" i="26" s="1"/>
  <c r="J44" i="27"/>
  <c r="L44" i="27" s="1"/>
  <c r="E42" i="26" s="1"/>
  <c r="J65" i="27"/>
  <c r="L65" i="27" s="1"/>
  <c r="E63" i="26" s="1"/>
  <c r="J95" i="27"/>
  <c r="L95" i="27" s="1"/>
  <c r="E93" i="26" s="1"/>
  <c r="J66" i="27"/>
  <c r="L66" i="27" s="1"/>
  <c r="E64" i="26" s="1"/>
  <c r="F72" i="27"/>
  <c r="G72" i="27" s="1"/>
  <c r="E73" i="25" s="1"/>
  <c r="J71" i="27"/>
  <c r="L71" i="27" s="1"/>
  <c r="E69" i="26" s="1"/>
  <c r="F87" i="27"/>
  <c r="G87" i="27" s="1"/>
  <c r="E88" i="25" s="1"/>
  <c r="G115" i="27"/>
  <c r="E116" i="25" s="1"/>
  <c r="E68" i="27"/>
  <c r="L60" i="27"/>
  <c r="E58" i="26" s="1"/>
  <c r="L56" i="27"/>
  <c r="E54" i="26" s="1"/>
  <c r="E45" i="27"/>
  <c r="L72" i="27"/>
  <c r="E70" i="26" s="1"/>
  <c r="L85" i="27"/>
  <c r="E83" i="26" s="1"/>
  <c r="L87" i="27"/>
  <c r="E85" i="26" s="1"/>
  <c r="J100" i="27"/>
  <c r="L100" i="27" s="1"/>
  <c r="E98" i="26" s="1"/>
  <c r="J48" i="27"/>
  <c r="L48" i="27" s="1"/>
  <c r="E46" i="26" s="1"/>
  <c r="J79" i="27"/>
  <c r="L79" i="27" s="1"/>
  <c r="E77" i="26" s="1"/>
  <c r="J77" i="27"/>
  <c r="L77" i="27" s="1"/>
  <c r="E75" i="26" s="1"/>
  <c r="J117" i="27"/>
  <c r="L117" i="27" s="1"/>
  <c r="J93" i="27"/>
  <c r="L93" i="27" s="1"/>
  <c r="E91" i="26" s="1"/>
  <c r="F109" i="27"/>
  <c r="G109" i="27" s="1"/>
  <c r="E110" i="25" s="1"/>
  <c r="J106" i="27"/>
  <c r="L106" i="27" s="1"/>
  <c r="E104" i="26" s="1"/>
  <c r="J102" i="27"/>
  <c r="L102" i="27" s="1"/>
  <c r="E100" i="26" s="1"/>
  <c r="L86" i="27"/>
  <c r="E84" i="26" s="1"/>
  <c r="F82" i="27"/>
  <c r="G82" i="27" s="1"/>
  <c r="E83" i="25" s="1"/>
  <c r="L33" i="27"/>
  <c r="E31" i="26" s="1"/>
  <c r="G26" i="27"/>
  <c r="E27" i="25" s="1"/>
  <c r="G121" i="27"/>
  <c r="E122" i="25" s="1"/>
  <c r="J74" i="27"/>
  <c r="L74" i="27" s="1"/>
  <c r="E72" i="26" s="1"/>
  <c r="J78" i="27"/>
  <c r="L78" i="27" s="1"/>
  <c r="E76" i="26" s="1"/>
  <c r="F85" i="27"/>
  <c r="G85" i="27" s="1"/>
  <c r="E86" i="25" s="1"/>
  <c r="J40" i="27"/>
  <c r="L40" i="27" s="1"/>
  <c r="E38" i="26" s="1"/>
  <c r="J67" i="27"/>
  <c r="L67" i="27" s="1"/>
  <c r="E65" i="26" s="1"/>
  <c r="J76" i="27"/>
  <c r="L76" i="27" s="1"/>
  <c r="E74" i="26" s="1"/>
  <c r="F108" i="27"/>
  <c r="G108" i="27" s="1"/>
  <c r="E109" i="25" s="1"/>
  <c r="J89" i="27"/>
  <c r="L89" i="27" s="1"/>
  <c r="E87" i="26" s="1"/>
  <c r="J94" i="27"/>
  <c r="L94" i="27" s="1"/>
  <c r="E92" i="26" s="1"/>
  <c r="J107" i="27"/>
  <c r="L107" i="27" s="1"/>
  <c r="E105" i="26" s="1"/>
  <c r="J73" i="27"/>
  <c r="L73" i="27" s="1"/>
  <c r="E71" i="26" s="1"/>
  <c r="F88" i="27"/>
  <c r="G88" i="27" s="1"/>
  <c r="E89" i="25" s="1"/>
  <c r="L12" i="27"/>
  <c r="E10" i="26" s="1"/>
  <c r="I35" i="27"/>
  <c r="F13" i="27"/>
  <c r="G13" i="27" s="1"/>
  <c r="E14" i="25" s="1"/>
  <c r="J17" i="27"/>
  <c r="L17" i="27" s="1"/>
  <c r="E15" i="26" s="1"/>
  <c r="E35" i="27"/>
  <c r="J118" i="27"/>
  <c r="L118" i="27" s="1"/>
  <c r="E116" i="26" s="1"/>
  <c r="L63" i="27"/>
  <c r="E61" i="26" s="1"/>
  <c r="L20" i="27"/>
  <c r="E18" i="26" s="1"/>
  <c r="L19" i="27"/>
  <c r="E17" i="26" s="1"/>
  <c r="G67" i="27"/>
  <c r="E68" i="25" s="1"/>
  <c r="E110" i="27"/>
  <c r="E97" i="27"/>
  <c r="G66" i="27"/>
  <c r="E67" i="25" s="1"/>
  <c r="G118" i="27"/>
  <c r="E119" i="25" s="1"/>
  <c r="G101" i="27"/>
  <c r="E102" i="25" s="1"/>
  <c r="G65" i="27"/>
  <c r="E66" i="25" s="1"/>
  <c r="I122" i="27"/>
  <c r="I110" i="27"/>
  <c r="I97" i="27"/>
  <c r="I90" i="27"/>
  <c r="I68" i="27"/>
  <c r="L25" i="27"/>
  <c r="E23" i="26" s="1"/>
  <c r="G102" i="27"/>
  <c r="E103" i="25" s="1"/>
  <c r="G89" i="27"/>
  <c r="E90" i="25" s="1"/>
  <c r="G81" i="27"/>
  <c r="E82" i="25" s="1"/>
  <c r="G77" i="27"/>
  <c r="E78" i="25" s="1"/>
  <c r="G73" i="27"/>
  <c r="E74" i="25" s="1"/>
  <c r="G31" i="27"/>
  <c r="E32" i="25" s="1"/>
  <c r="G86" i="27"/>
  <c r="E87" i="25" s="1"/>
  <c r="G78" i="27"/>
  <c r="E79" i="25" s="1"/>
  <c r="G94" i="27"/>
  <c r="E95" i="25" s="1"/>
  <c r="G75" i="27"/>
  <c r="E76" i="25" s="1"/>
  <c r="G71" i="27"/>
  <c r="E72" i="25" s="1"/>
  <c r="E90" i="27"/>
  <c r="E122" i="27"/>
  <c r="E103" i="27"/>
  <c r="G17" i="27"/>
  <c r="E18" i="25" s="1"/>
  <c r="G44" i="27"/>
  <c r="E45" i="25" s="1"/>
  <c r="G120" i="27"/>
  <c r="E121" i="25" s="1"/>
  <c r="G96" i="27"/>
  <c r="E97" i="25" s="1"/>
  <c r="G93" i="27"/>
  <c r="E94" i="25" s="1"/>
  <c r="G42" i="27"/>
  <c r="E43" i="25" s="1"/>
  <c r="G74" i="27"/>
  <c r="E75" i="25" s="1"/>
  <c r="L57" i="27"/>
  <c r="E55" i="26" s="1"/>
  <c r="G64" i="27"/>
  <c r="E65" i="25" s="1"/>
  <c r="G76" i="27"/>
  <c r="E77" i="25" s="1"/>
  <c r="J120" i="27"/>
  <c r="L120" i="27" s="1"/>
  <c r="E118" i="26" s="1"/>
  <c r="G106" i="27"/>
  <c r="E107" i="25" s="1"/>
  <c r="I9" i="28"/>
  <c r="I69" i="30"/>
  <c r="E68" i="29" s="1"/>
  <c r="I31" i="30"/>
  <c r="E30" i="29" s="1"/>
  <c r="I17" i="30"/>
  <c r="E16" i="29" s="1"/>
  <c r="G34" i="27"/>
  <c r="E35" i="25" s="1"/>
  <c r="I46" i="30"/>
  <c r="E45" i="29" s="1"/>
  <c r="I39" i="30"/>
  <c r="E38" i="29" s="1"/>
  <c r="I32" i="30"/>
  <c r="E31" i="29" s="1"/>
  <c r="I45" i="27"/>
  <c r="I73" i="30"/>
  <c r="E72" i="29" s="1"/>
  <c r="I60" i="30"/>
  <c r="E59" i="29" s="1"/>
  <c r="I47" i="30"/>
  <c r="E46" i="29" s="1"/>
  <c r="I40" i="30"/>
  <c r="E39" i="29" s="1"/>
  <c r="I33" i="30"/>
  <c r="E32" i="29" s="1"/>
  <c r="L31" i="27"/>
  <c r="E29" i="26" s="1"/>
  <c r="B62" i="30"/>
  <c r="G74" i="30"/>
  <c r="G58" i="27"/>
  <c r="E59" i="25" s="1"/>
  <c r="F21" i="30"/>
  <c r="F35" i="27"/>
  <c r="L84" i="27"/>
  <c r="E82" i="26" s="1"/>
  <c r="I70" i="30"/>
  <c r="E69" i="29" s="1"/>
  <c r="B55" i="30"/>
  <c r="L114" i="27"/>
  <c r="E112" i="26" s="1"/>
  <c r="G83" i="27"/>
  <c r="E84" i="25" s="1"/>
  <c r="G30" i="27"/>
  <c r="E31" i="25" s="1"/>
  <c r="G107" i="27"/>
  <c r="E108" i="25" s="1"/>
  <c r="J96" i="27"/>
  <c r="L96" i="27" s="1"/>
  <c r="E94" i="26" s="1"/>
  <c r="L108" i="27"/>
  <c r="E106" i="26" s="1"/>
  <c r="G11" i="27"/>
  <c r="E12" i="25" s="1"/>
  <c r="L109" i="27"/>
  <c r="E107" i="26" s="1"/>
  <c r="G57" i="27"/>
  <c r="E58" i="25" s="1"/>
  <c r="G116" i="27"/>
  <c r="E117" i="25" s="1"/>
  <c r="G95" i="27"/>
  <c r="E96" i="25" s="1"/>
  <c r="L82" i="27"/>
  <c r="E80" i="26" s="1"/>
  <c r="G63" i="27"/>
  <c r="E64" i="25" s="1"/>
  <c r="G100" i="27"/>
  <c r="E101" i="25" s="1"/>
  <c r="F103" i="27"/>
  <c r="F119" i="27"/>
  <c r="G119" i="27" s="1"/>
  <c r="E120" i="25" s="1"/>
  <c r="J119" i="27"/>
  <c r="L119" i="27" s="1"/>
  <c r="E117" i="26" s="1"/>
  <c r="G113" i="27"/>
  <c r="E114" i="25" s="1"/>
  <c r="F97" i="27"/>
  <c r="F49" i="27"/>
  <c r="L58" i="27"/>
  <c r="E56" i="26" s="1"/>
  <c r="G38" i="27"/>
  <c r="E39" i="25" s="1"/>
  <c r="F114" i="27"/>
  <c r="G114" i="27" s="1"/>
  <c r="E115" i="25" s="1"/>
  <c r="J113" i="27"/>
  <c r="J49" i="27"/>
  <c r="L115" i="27"/>
  <c r="E113" i="26" s="1"/>
  <c r="J101" i="27"/>
  <c r="L101" i="27" s="1"/>
  <c r="E99" i="26" s="1"/>
  <c r="J62" i="27"/>
  <c r="L62" i="27" s="1"/>
  <c r="E60" i="26" s="1"/>
  <c r="J75" i="27"/>
  <c r="L75" i="27" s="1"/>
  <c r="E73" i="26" s="1"/>
  <c r="F60" i="27"/>
  <c r="J83" i="27"/>
  <c r="L83" i="27" s="1"/>
  <c r="E81" i="26" s="1"/>
  <c r="K127" i="25" l="1"/>
  <c r="E123" i="25"/>
  <c r="E91" i="25"/>
  <c r="E104" i="25"/>
  <c r="E98" i="25"/>
  <c r="E23" i="25"/>
  <c r="E36" i="25"/>
  <c r="E46" i="25"/>
  <c r="J17" i="25"/>
  <c r="K17" i="25" s="1"/>
  <c r="M17" i="25" s="1"/>
  <c r="E70" i="28"/>
  <c r="E69" i="28"/>
  <c r="E68" i="28"/>
  <c r="E67" i="28"/>
  <c r="E73" i="28"/>
  <c r="E72" i="28"/>
  <c r="E75" i="28"/>
  <c r="E71" i="28"/>
  <c r="E74" i="28"/>
  <c r="E61" i="28"/>
  <c r="E62" i="28"/>
  <c r="E63" i="28"/>
  <c r="E56" i="28"/>
  <c r="E55" i="28"/>
  <c r="E54" i="28"/>
  <c r="E47" i="28"/>
  <c r="E50" i="28"/>
  <c r="E48" i="28"/>
  <c r="E49" i="28"/>
  <c r="E26" i="28"/>
  <c r="E36" i="28"/>
  <c r="E39" i="28"/>
  <c r="E38" i="28"/>
  <c r="E35" i="28"/>
  <c r="E43" i="28"/>
  <c r="E27" i="28"/>
  <c r="E24" i="28"/>
  <c r="E30" i="28"/>
  <c r="E28" i="28"/>
  <c r="E37" i="28"/>
  <c r="E34" i="28"/>
  <c r="E33" i="28"/>
  <c r="E25" i="28"/>
  <c r="E23" i="28"/>
  <c r="E29" i="28"/>
  <c r="E40" i="28"/>
  <c r="E32" i="28"/>
  <c r="E42" i="28"/>
  <c r="E41" i="28"/>
  <c r="E31" i="28"/>
  <c r="E18" i="28"/>
  <c r="E19" i="28"/>
  <c r="E13" i="28"/>
  <c r="E12" i="28"/>
  <c r="E14" i="28"/>
  <c r="G82" i="25"/>
  <c r="I18" i="29"/>
  <c r="J18" i="29" s="1"/>
  <c r="I14" i="29"/>
  <c r="J14" i="29" s="1"/>
  <c r="I62" i="29"/>
  <c r="J62" i="29" s="1"/>
  <c r="I74" i="29"/>
  <c r="J74" i="29" s="1"/>
  <c r="I22" i="29"/>
  <c r="J22" i="29" s="1"/>
  <c r="N22" i="29" s="1"/>
  <c r="O22" i="29" s="1"/>
  <c r="I34" i="29"/>
  <c r="J34" i="29" s="1"/>
  <c r="N34" i="29" s="1"/>
  <c r="O34" i="29" s="1"/>
  <c r="I19" i="29"/>
  <c r="J19" i="29" s="1"/>
  <c r="I42" i="29"/>
  <c r="J42" i="29" s="1"/>
  <c r="I56" i="29"/>
  <c r="J56" i="29" s="1"/>
  <c r="I55" i="29"/>
  <c r="J55" i="29" s="1"/>
  <c r="I13" i="29"/>
  <c r="J13" i="29" s="1"/>
  <c r="I50" i="29"/>
  <c r="J50" i="29" s="1"/>
  <c r="I43" i="29"/>
  <c r="J43" i="29" s="1"/>
  <c r="I63" i="29"/>
  <c r="J63" i="29" s="1"/>
  <c r="E54" i="29"/>
  <c r="I8" i="28"/>
  <c r="I5" i="29"/>
  <c r="I25" i="28"/>
  <c r="I37" i="28"/>
  <c r="J49" i="29"/>
  <c r="E61" i="29"/>
  <c r="E17" i="29"/>
  <c r="E12" i="29"/>
  <c r="E48" i="29"/>
  <c r="E41" i="29"/>
  <c r="E115" i="26"/>
  <c r="G115" i="26" s="1"/>
  <c r="F13" i="30"/>
  <c r="E13" i="30"/>
  <c r="I13" i="30"/>
  <c r="H13" i="30"/>
  <c r="E52" i="27"/>
  <c r="E124" i="27" s="1"/>
  <c r="I18" i="30"/>
  <c r="H18" i="30"/>
  <c r="H55" i="30"/>
  <c r="E49" i="30"/>
  <c r="E62" i="30"/>
  <c r="E42" i="30"/>
  <c r="H74" i="30"/>
  <c r="H62" i="30"/>
  <c r="I71" i="30"/>
  <c r="E55" i="30"/>
  <c r="E18" i="30"/>
  <c r="F58" i="30"/>
  <c r="F49" i="30"/>
  <c r="H42" i="30"/>
  <c r="F18" i="30"/>
  <c r="G76" i="30"/>
  <c r="I55" i="30"/>
  <c r="E74" i="30"/>
  <c r="D76" i="30"/>
  <c r="D78" i="30" s="1"/>
  <c r="I42" i="30"/>
  <c r="I62" i="30"/>
  <c r="F55" i="30"/>
  <c r="F74" i="30"/>
  <c r="I49" i="30"/>
  <c r="J35" i="27"/>
  <c r="J22" i="27"/>
  <c r="F45" i="27"/>
  <c r="F90" i="27"/>
  <c r="J45" i="27"/>
  <c r="F110" i="27"/>
  <c r="J110" i="27"/>
  <c r="L45" i="27"/>
  <c r="I52" i="27"/>
  <c r="I124" i="27" s="1"/>
  <c r="F22" i="27"/>
  <c r="L22" i="27"/>
  <c r="L35" i="27"/>
  <c r="G110" i="27"/>
  <c r="E111" i="25" s="1"/>
  <c r="G97" i="27"/>
  <c r="G90" i="27"/>
  <c r="G22" i="27"/>
  <c r="G35" i="27"/>
  <c r="B76" i="30"/>
  <c r="L110" i="27"/>
  <c r="F42" i="30"/>
  <c r="J97" i="27"/>
  <c r="L97" i="27"/>
  <c r="J68" i="27"/>
  <c r="F122" i="27"/>
  <c r="G45" i="27"/>
  <c r="J90" i="27"/>
  <c r="L90" i="27"/>
  <c r="L113" i="27"/>
  <c r="E111" i="26" s="1"/>
  <c r="J122" i="27"/>
  <c r="G103" i="27"/>
  <c r="F68" i="27"/>
  <c r="G60" i="27"/>
  <c r="E61" i="25" s="1"/>
  <c r="E69" i="25" s="1"/>
  <c r="J50" i="27"/>
  <c r="L49" i="27"/>
  <c r="E47" i="26" s="1"/>
  <c r="G122" i="27"/>
  <c r="J103" i="27"/>
  <c r="L103" i="27"/>
  <c r="F50" i="27"/>
  <c r="G49" i="27"/>
  <c r="E50" i="25" s="1"/>
  <c r="E51" i="25" s="1"/>
  <c r="L68" i="27"/>
  <c r="O127" i="25" l="1"/>
  <c r="O136" i="25" s="1"/>
  <c r="M136" i="25"/>
  <c r="E53" i="25"/>
  <c r="E125" i="25" s="1"/>
  <c r="O17" i="25"/>
  <c r="I82" i="25"/>
  <c r="E15" i="28"/>
  <c r="E20" i="28"/>
  <c r="E51" i="28"/>
  <c r="E57" i="28"/>
  <c r="E44" i="28"/>
  <c r="E76" i="28"/>
  <c r="E60" i="28"/>
  <c r="E64" i="28" s="1"/>
  <c r="K34" i="29"/>
  <c r="L34" i="29" s="1"/>
  <c r="Q34" i="29" s="1"/>
  <c r="K22" i="29"/>
  <c r="L22" i="29" s="1"/>
  <c r="Q22" i="29" s="1"/>
  <c r="I115" i="26"/>
  <c r="J25" i="28"/>
  <c r="K25" i="28" s="1"/>
  <c r="I74" i="30"/>
  <c r="I76" i="30" s="1"/>
  <c r="E70" i="29"/>
  <c r="J37" i="28"/>
  <c r="K37" i="28" s="1"/>
  <c r="F62" i="30"/>
  <c r="F76" i="30" s="1"/>
  <c r="G118" i="25"/>
  <c r="H76" i="30"/>
  <c r="E76" i="30"/>
  <c r="J52" i="27"/>
  <c r="J124" i="27" s="1"/>
  <c r="F52" i="27"/>
  <c r="L50" i="27"/>
  <c r="L52" i="27" s="1"/>
  <c r="G50" i="27"/>
  <c r="G52" i="27" s="1"/>
  <c r="G68" i="27"/>
  <c r="L122" i="27"/>
  <c r="O25" i="28" l="1"/>
  <c r="O37" i="28"/>
  <c r="E78" i="28"/>
  <c r="T34" i="29"/>
  <c r="E73" i="29"/>
  <c r="E75" i="29" s="1"/>
  <c r="T22" i="29"/>
  <c r="J115" i="26"/>
  <c r="K115" i="26" s="1"/>
  <c r="M115" i="26" s="1"/>
  <c r="G31" i="28"/>
  <c r="E79" i="28"/>
  <c r="G69" i="29"/>
  <c r="E76" i="29"/>
  <c r="I118" i="25"/>
  <c r="F124" i="27"/>
  <c r="G41" i="28"/>
  <c r="G26" i="28"/>
  <c r="G38" i="28"/>
  <c r="G69" i="28"/>
  <c r="G49" i="28"/>
  <c r="G33" i="28"/>
  <c r="G48" i="28"/>
  <c r="G34" i="28"/>
  <c r="G62" i="28"/>
  <c r="G54" i="28"/>
  <c r="G28" i="28"/>
  <c r="G13" i="28"/>
  <c r="G36" i="28"/>
  <c r="G67" i="29"/>
  <c r="G58" i="29"/>
  <c r="G46" i="29"/>
  <c r="G38" i="29"/>
  <c r="G35" i="29"/>
  <c r="G28" i="29"/>
  <c r="G31" i="29"/>
  <c r="G11" i="29"/>
  <c r="G16" i="29"/>
  <c r="G30" i="29"/>
  <c r="G25" i="29"/>
  <c r="G59" i="29"/>
  <c r="G23" i="29"/>
  <c r="G36" i="29"/>
  <c r="G60" i="29"/>
  <c r="G37" i="29"/>
  <c r="G70" i="29"/>
  <c r="G53" i="29"/>
  <c r="G52" i="29"/>
  <c r="G45" i="29"/>
  <c r="G71" i="29"/>
  <c r="G47" i="29"/>
  <c r="G68" i="29"/>
  <c r="G10" i="29"/>
  <c r="G29" i="29"/>
  <c r="G66" i="29"/>
  <c r="G29" i="28"/>
  <c r="G51" i="29"/>
  <c r="G24" i="29"/>
  <c r="G32" i="29"/>
  <c r="G33" i="29"/>
  <c r="G27" i="29"/>
  <c r="G26" i="29"/>
  <c r="G39" i="29"/>
  <c r="G40" i="29"/>
  <c r="G21" i="29"/>
  <c r="G72" i="29"/>
  <c r="G65" i="29"/>
  <c r="G43" i="28"/>
  <c r="G14" i="28"/>
  <c r="G71" i="28"/>
  <c r="G19" i="28"/>
  <c r="G32" i="28"/>
  <c r="G50" i="28"/>
  <c r="G63" i="28"/>
  <c r="G74" i="28"/>
  <c r="G75" i="28"/>
  <c r="G56" i="28"/>
  <c r="G70" i="28"/>
  <c r="G55" i="28"/>
  <c r="G30" i="28"/>
  <c r="G35" i="28"/>
  <c r="G73" i="28"/>
  <c r="G61" i="28"/>
  <c r="G24" i="28"/>
  <c r="G39" i="28"/>
  <c r="G72" i="28"/>
  <c r="G40" i="28"/>
  <c r="G27" i="28"/>
  <c r="G42" i="28"/>
  <c r="G68" i="28"/>
  <c r="G124" i="27"/>
  <c r="E126" i="25" s="1"/>
  <c r="L124" i="27"/>
  <c r="E123" i="26" l="1"/>
  <c r="N115" i="26"/>
  <c r="J118" i="25"/>
  <c r="I39" i="28"/>
  <c r="I35" i="28"/>
  <c r="I50" i="28"/>
  <c r="I36" i="28"/>
  <c r="I49" i="28"/>
  <c r="I41" i="28"/>
  <c r="I72" i="28"/>
  <c r="I70" i="28"/>
  <c r="I63" i="28"/>
  <c r="I54" i="28"/>
  <c r="I33" i="28"/>
  <c r="I26" i="28"/>
  <c r="I40" i="28"/>
  <c r="I74" i="28"/>
  <c r="I19" i="28"/>
  <c r="I28" i="28"/>
  <c r="I48" i="28"/>
  <c r="I38" i="28"/>
  <c r="I27" i="28"/>
  <c r="I24" i="28"/>
  <c r="I30" i="28"/>
  <c r="I75" i="28"/>
  <c r="I32" i="28"/>
  <c r="I43" i="28"/>
  <c r="I34" i="28"/>
  <c r="I31" i="28"/>
  <c r="I42" i="28"/>
  <c r="I56" i="28"/>
  <c r="I14" i="28"/>
  <c r="I62" i="28"/>
  <c r="I68" i="28"/>
  <c r="I73" i="28"/>
  <c r="I71" i="28"/>
  <c r="I55" i="28"/>
  <c r="I26" i="29"/>
  <c r="I29" i="29"/>
  <c r="I71" i="29"/>
  <c r="I23" i="29"/>
  <c r="I35" i="29"/>
  <c r="I67" i="29"/>
  <c r="I61" i="28"/>
  <c r="I65" i="29"/>
  <c r="I32" i="29"/>
  <c r="I66" i="29"/>
  <c r="I53" i="29"/>
  <c r="I30" i="29"/>
  <c r="I40" i="29"/>
  <c r="I33" i="29"/>
  <c r="I29" i="28"/>
  <c r="I68" i="29"/>
  <c r="I52" i="29"/>
  <c r="I60" i="29"/>
  <c r="N60" i="29" s="1"/>
  <c r="O60" i="29" s="1"/>
  <c r="I25" i="29"/>
  <c r="I31" i="29"/>
  <c r="I46" i="29"/>
  <c r="I13" i="28"/>
  <c r="I69" i="28"/>
  <c r="I69" i="29"/>
  <c r="I72" i="29"/>
  <c r="I24" i="29"/>
  <c r="I70" i="29"/>
  <c r="I16" i="29"/>
  <c r="I39" i="29"/>
  <c r="I47" i="29"/>
  <c r="I36" i="29"/>
  <c r="I28" i="29"/>
  <c r="I58" i="29"/>
  <c r="N58" i="29" s="1"/>
  <c r="I21" i="29"/>
  <c r="I27" i="29"/>
  <c r="I51" i="29"/>
  <c r="I10" i="29"/>
  <c r="I45" i="29"/>
  <c r="I37" i="29"/>
  <c r="I59" i="29"/>
  <c r="N59" i="29" s="1"/>
  <c r="O59" i="29" s="1"/>
  <c r="I11" i="29"/>
  <c r="I38" i="29"/>
  <c r="G18" i="25"/>
  <c r="G54" i="29"/>
  <c r="G101" i="25"/>
  <c r="G88" i="25"/>
  <c r="G78" i="25"/>
  <c r="G34" i="25"/>
  <c r="G42" i="25"/>
  <c r="G90" i="25"/>
  <c r="G64" i="25"/>
  <c r="G16" i="25"/>
  <c r="G67" i="25"/>
  <c r="G122" i="25"/>
  <c r="G57" i="25"/>
  <c r="G35" i="25"/>
  <c r="G115" i="25"/>
  <c r="G30" i="25"/>
  <c r="G74" i="25"/>
  <c r="G89" i="25"/>
  <c r="G40" i="25"/>
  <c r="G20" i="25"/>
  <c r="G33" i="25"/>
  <c r="G86" i="25"/>
  <c r="G41" i="25"/>
  <c r="G109" i="25"/>
  <c r="G13" i="25"/>
  <c r="G110" i="25"/>
  <c r="G21" i="25"/>
  <c r="G31" i="25"/>
  <c r="G45" i="25"/>
  <c r="G62" i="25"/>
  <c r="G108" i="25"/>
  <c r="G119" i="25"/>
  <c r="G121" i="25"/>
  <c r="G68" i="25"/>
  <c r="G117" i="25"/>
  <c r="G15" i="25"/>
  <c r="G96" i="25"/>
  <c r="G76" i="25"/>
  <c r="G65" i="25"/>
  <c r="G77" i="25"/>
  <c r="G75" i="25"/>
  <c r="G120" i="25"/>
  <c r="G27" i="25"/>
  <c r="G85" i="25"/>
  <c r="G103" i="25"/>
  <c r="G19" i="25"/>
  <c r="G116" i="25"/>
  <c r="G59" i="25"/>
  <c r="G80" i="25"/>
  <c r="G81" i="25"/>
  <c r="G73" i="25"/>
  <c r="G102" i="25"/>
  <c r="G63" i="25"/>
  <c r="G84" i="25"/>
  <c r="G50" i="25"/>
  <c r="G44" i="25"/>
  <c r="G29" i="25"/>
  <c r="G87" i="25"/>
  <c r="G95" i="25"/>
  <c r="G60" i="25"/>
  <c r="G43" i="25"/>
  <c r="G75" i="26"/>
  <c r="G65" i="26"/>
  <c r="G118" i="26"/>
  <c r="G18" i="26"/>
  <c r="G26" i="26"/>
  <c r="G16" i="26"/>
  <c r="G32" i="26"/>
  <c r="G94" i="26"/>
  <c r="G56" i="26"/>
  <c r="G24" i="26"/>
  <c r="G73" i="26"/>
  <c r="G105" i="26"/>
  <c r="G54" i="26"/>
  <c r="G17" i="26"/>
  <c r="G19" i="26"/>
  <c r="G59" i="26"/>
  <c r="G100" i="26"/>
  <c r="G37" i="26"/>
  <c r="G47" i="26"/>
  <c r="G107" i="26"/>
  <c r="G30" i="26"/>
  <c r="G12" i="26"/>
  <c r="G38" i="26"/>
  <c r="G40" i="26"/>
  <c r="G27" i="26"/>
  <c r="G80" i="26"/>
  <c r="G41" i="26"/>
  <c r="G42" i="26"/>
  <c r="G28" i="26"/>
  <c r="G57" i="26"/>
  <c r="G98" i="26"/>
  <c r="G92" i="26"/>
  <c r="G86" i="26"/>
  <c r="G116" i="26"/>
  <c r="G39" i="26"/>
  <c r="G82" i="26"/>
  <c r="G70" i="26"/>
  <c r="G60" i="26"/>
  <c r="G15" i="26"/>
  <c r="G83" i="26"/>
  <c r="G76" i="26"/>
  <c r="G74" i="26"/>
  <c r="G63" i="26"/>
  <c r="G10" i="26"/>
  <c r="G99" i="26"/>
  <c r="G81" i="26"/>
  <c r="G85" i="26"/>
  <c r="G112" i="26"/>
  <c r="G93" i="26"/>
  <c r="G13" i="26"/>
  <c r="G114" i="26"/>
  <c r="G106" i="26"/>
  <c r="G31" i="26"/>
  <c r="G119" i="26"/>
  <c r="G84" i="26"/>
  <c r="G117" i="26"/>
  <c r="G29" i="26"/>
  <c r="G72" i="26"/>
  <c r="G25" i="26"/>
  <c r="G113" i="26"/>
  <c r="G64" i="26"/>
  <c r="G79" i="26"/>
  <c r="G62" i="26"/>
  <c r="G61" i="26"/>
  <c r="G78" i="26"/>
  <c r="G11" i="26"/>
  <c r="G58" i="26"/>
  <c r="G77" i="26"/>
  <c r="G55" i="26"/>
  <c r="G87" i="26"/>
  <c r="G71" i="26"/>
  <c r="G61" i="25"/>
  <c r="G22" i="25"/>
  <c r="G83" i="25"/>
  <c r="G32" i="25"/>
  <c r="G14" i="25"/>
  <c r="G28" i="25"/>
  <c r="G66" i="25"/>
  <c r="G79" i="25"/>
  <c r="G58" i="25"/>
  <c r="G97" i="25"/>
  <c r="G57" i="28"/>
  <c r="K118" i="25" l="1"/>
  <c r="M118" i="25" s="1"/>
  <c r="O118" i="25" s="1"/>
  <c r="N61" i="29"/>
  <c r="O61" i="29" s="1"/>
  <c r="O58" i="29"/>
  <c r="J68" i="28"/>
  <c r="K68" i="28" s="1"/>
  <c r="J32" i="28"/>
  <c r="K32" i="28" s="1"/>
  <c r="J19" i="28"/>
  <c r="K19" i="28" s="1"/>
  <c r="J33" i="28"/>
  <c r="K33" i="28" s="1"/>
  <c r="J43" i="28"/>
  <c r="K43" i="28" s="1"/>
  <c r="O43" i="28" s="1"/>
  <c r="J24" i="28"/>
  <c r="J28" i="28"/>
  <c r="K28" i="28" s="1"/>
  <c r="J26" i="28"/>
  <c r="K26" i="28" s="1"/>
  <c r="J36" i="28"/>
  <c r="K36" i="28" s="1"/>
  <c r="J14" i="28"/>
  <c r="K14" i="28" s="1"/>
  <c r="M14" i="28" s="1"/>
  <c r="O14" i="28" s="1"/>
  <c r="J34" i="28"/>
  <c r="J30" i="28"/>
  <c r="K30" i="28" s="1"/>
  <c r="O30" i="28" s="1"/>
  <c r="J48" i="28"/>
  <c r="K48" i="28" s="1"/>
  <c r="O48" i="28" s="1"/>
  <c r="J40" i="28"/>
  <c r="K40" i="28" s="1"/>
  <c r="O40" i="28" s="1"/>
  <c r="J39" i="28"/>
  <c r="J42" i="28"/>
  <c r="J27" i="28"/>
  <c r="K27" i="28" s="1"/>
  <c r="O27" i="28" s="1"/>
  <c r="J31" i="28"/>
  <c r="K31" i="28" s="1"/>
  <c r="J75" i="28"/>
  <c r="K75" i="28" s="1"/>
  <c r="J38" i="28"/>
  <c r="K38" i="28" s="1"/>
  <c r="J54" i="28"/>
  <c r="K54" i="28" s="1"/>
  <c r="J41" i="28"/>
  <c r="K41" i="28" s="1"/>
  <c r="O41" i="28" s="1"/>
  <c r="J35" i="28"/>
  <c r="J50" i="28"/>
  <c r="K50" i="28" s="1"/>
  <c r="O50" i="28" s="1"/>
  <c r="J72" i="28"/>
  <c r="K72" i="28" s="1"/>
  <c r="I57" i="28"/>
  <c r="J62" i="28"/>
  <c r="J56" i="28"/>
  <c r="K56" i="28" s="1"/>
  <c r="J70" i="28"/>
  <c r="K70" i="28" s="1"/>
  <c r="J73" i="28"/>
  <c r="J71" i="28"/>
  <c r="J49" i="28"/>
  <c r="K49" i="28" s="1"/>
  <c r="O49" i="28" s="1"/>
  <c r="J55" i="28"/>
  <c r="J74" i="28"/>
  <c r="K74" i="28" s="1"/>
  <c r="J63" i="28"/>
  <c r="K63" i="28" s="1"/>
  <c r="I78" i="26"/>
  <c r="K78" i="26" s="1"/>
  <c r="I99" i="26"/>
  <c r="I70" i="26"/>
  <c r="I86" i="26"/>
  <c r="K86" i="26" s="1"/>
  <c r="I72" i="26"/>
  <c r="K72" i="26" s="1"/>
  <c r="I74" i="26"/>
  <c r="K74" i="26" s="1"/>
  <c r="I71" i="26"/>
  <c r="K71" i="26" s="1"/>
  <c r="I77" i="26"/>
  <c r="K77" i="26" s="1"/>
  <c r="I113" i="26"/>
  <c r="I117" i="26"/>
  <c r="I112" i="26"/>
  <c r="I83" i="26"/>
  <c r="K83" i="26" s="1"/>
  <c r="I82" i="26"/>
  <c r="K82" i="26" s="1"/>
  <c r="I76" i="26"/>
  <c r="K76" i="26" s="1"/>
  <c r="I100" i="26"/>
  <c r="I75" i="26"/>
  <c r="K75" i="26" s="1"/>
  <c r="I87" i="26"/>
  <c r="K87" i="26" s="1"/>
  <c r="I79" i="26"/>
  <c r="I119" i="26"/>
  <c r="K119" i="26" s="1"/>
  <c r="I81" i="26"/>
  <c r="K81" i="26" s="1"/>
  <c r="I116" i="26"/>
  <c r="I80" i="26"/>
  <c r="K80" i="26" s="1"/>
  <c r="I84" i="26"/>
  <c r="K84" i="26" s="1"/>
  <c r="I114" i="26"/>
  <c r="I85" i="26"/>
  <c r="K85" i="26" s="1"/>
  <c r="I98" i="26"/>
  <c r="I73" i="26"/>
  <c r="K73" i="26" s="1"/>
  <c r="I118" i="26"/>
  <c r="J11" i="29"/>
  <c r="N11" i="29" s="1"/>
  <c r="O11" i="29" s="1"/>
  <c r="J28" i="29"/>
  <c r="K28" i="29" s="1"/>
  <c r="L28" i="29" s="1"/>
  <c r="J69" i="29"/>
  <c r="N69" i="29" s="1"/>
  <c r="O69" i="29" s="1"/>
  <c r="J52" i="29"/>
  <c r="N52" i="29" s="1"/>
  <c r="O52" i="29" s="1"/>
  <c r="J40" i="29"/>
  <c r="N40" i="29" s="1"/>
  <c r="O40" i="29" s="1"/>
  <c r="J39" i="29"/>
  <c r="K39" i="29" s="1"/>
  <c r="L39" i="29" s="1"/>
  <c r="J24" i="29"/>
  <c r="N24" i="29" s="1"/>
  <c r="O24" i="29" s="1"/>
  <c r="J60" i="29"/>
  <c r="K60" i="29" s="1"/>
  <c r="L60" i="29" s="1"/>
  <c r="Q60" i="29" s="1"/>
  <c r="J35" i="29"/>
  <c r="N35" i="29" s="1"/>
  <c r="O35" i="29" s="1"/>
  <c r="J26" i="29"/>
  <c r="N26" i="29" s="1"/>
  <c r="O26" i="29" s="1"/>
  <c r="J37" i="29"/>
  <c r="N37" i="29" s="1"/>
  <c r="O37" i="29" s="1"/>
  <c r="J27" i="29"/>
  <c r="N27" i="29" s="1"/>
  <c r="O27" i="29" s="1"/>
  <c r="J47" i="29"/>
  <c r="N47" i="29" s="1"/>
  <c r="O47" i="29" s="1"/>
  <c r="J70" i="29"/>
  <c r="N70" i="29" s="1"/>
  <c r="O70" i="29" s="1"/>
  <c r="J25" i="29"/>
  <c r="N25" i="29" s="1"/>
  <c r="O25" i="29" s="1"/>
  <c r="J66" i="29"/>
  <c r="N66" i="29" s="1"/>
  <c r="O66" i="29" s="1"/>
  <c r="J10" i="29"/>
  <c r="N10" i="29" s="1"/>
  <c r="O10" i="29" s="1"/>
  <c r="J72" i="29"/>
  <c r="N72" i="29" s="1"/>
  <c r="O72" i="29" s="1"/>
  <c r="J46" i="29"/>
  <c r="N46" i="29" s="1"/>
  <c r="O46" i="29" s="1"/>
  <c r="J30" i="29"/>
  <c r="N30" i="29" s="1"/>
  <c r="O30" i="29" s="1"/>
  <c r="J32" i="29"/>
  <c r="K32" i="29" s="1"/>
  <c r="L32" i="29" s="1"/>
  <c r="J23" i="29"/>
  <c r="N23" i="29" s="1"/>
  <c r="O23" i="29" s="1"/>
  <c r="J45" i="29"/>
  <c r="K45" i="29" s="1"/>
  <c r="L45" i="29" s="1"/>
  <c r="I54" i="29"/>
  <c r="J36" i="29"/>
  <c r="N36" i="29" s="1"/>
  <c r="O36" i="29" s="1"/>
  <c r="J68" i="29"/>
  <c r="N68" i="29" s="1"/>
  <c r="O68" i="29" s="1"/>
  <c r="J53" i="29"/>
  <c r="N53" i="29" s="1"/>
  <c r="O53" i="29" s="1"/>
  <c r="J65" i="29"/>
  <c r="N65" i="29" s="1"/>
  <c r="O65" i="29" s="1"/>
  <c r="J71" i="29"/>
  <c r="N71" i="29" s="1"/>
  <c r="O71" i="29" s="1"/>
  <c r="J13" i="28"/>
  <c r="K13" i="28" s="1"/>
  <c r="J61" i="28"/>
  <c r="K61" i="28" s="1"/>
  <c r="J29" i="28"/>
  <c r="I27" i="25"/>
  <c r="I28" i="25"/>
  <c r="I22" i="25"/>
  <c r="I55" i="26"/>
  <c r="K55" i="26" s="1"/>
  <c r="I64" i="26"/>
  <c r="K64" i="26" s="1"/>
  <c r="I31" i="26"/>
  <c r="K31" i="26" s="1"/>
  <c r="I28" i="26"/>
  <c r="I56" i="26"/>
  <c r="K56" i="26" s="1"/>
  <c r="I26" i="26"/>
  <c r="K26" i="26" s="1"/>
  <c r="I87" i="25"/>
  <c r="I81" i="25"/>
  <c r="I120" i="25"/>
  <c r="I68" i="25"/>
  <c r="I110" i="25"/>
  <c r="I89" i="25"/>
  <c r="I67" i="25"/>
  <c r="I101" i="25"/>
  <c r="I11" i="26"/>
  <c r="K11" i="26" s="1"/>
  <c r="I60" i="26"/>
  <c r="I37" i="26"/>
  <c r="K37" i="26" s="1"/>
  <c r="I24" i="26"/>
  <c r="K24" i="26" s="1"/>
  <c r="I65" i="26"/>
  <c r="K65" i="26" s="1"/>
  <c r="I95" i="25"/>
  <c r="I73" i="25"/>
  <c r="I117" i="25"/>
  <c r="I108" i="25"/>
  <c r="I41" i="25"/>
  <c r="I115" i="25"/>
  <c r="I90" i="25"/>
  <c r="I88" i="25"/>
  <c r="I79" i="25"/>
  <c r="I32" i="25"/>
  <c r="I58" i="26"/>
  <c r="K58" i="26" s="1"/>
  <c r="I62" i="26"/>
  <c r="K62" i="26" s="1"/>
  <c r="I25" i="26"/>
  <c r="K25" i="26" s="1"/>
  <c r="I63" i="26"/>
  <c r="K63" i="26" s="1"/>
  <c r="I15" i="26"/>
  <c r="I39" i="26"/>
  <c r="I41" i="26"/>
  <c r="K41" i="26" s="1"/>
  <c r="I38" i="26"/>
  <c r="K38" i="26" s="1"/>
  <c r="I47" i="26"/>
  <c r="I19" i="26"/>
  <c r="K19" i="26" s="1"/>
  <c r="I32" i="26"/>
  <c r="K32" i="26" s="1"/>
  <c r="I60" i="25"/>
  <c r="I44" i="25"/>
  <c r="I102" i="25"/>
  <c r="I59" i="25"/>
  <c r="I85" i="25"/>
  <c r="I77" i="25"/>
  <c r="I15" i="25"/>
  <c r="I119" i="25"/>
  <c r="I31" i="25"/>
  <c r="I109" i="25"/>
  <c r="I20" i="25"/>
  <c r="I30" i="25"/>
  <c r="I122" i="25"/>
  <c r="I64" i="25"/>
  <c r="I78" i="25"/>
  <c r="I18" i="25"/>
  <c r="J38" i="29"/>
  <c r="N38" i="29" s="1"/>
  <c r="O38" i="29" s="1"/>
  <c r="J59" i="29"/>
  <c r="K59" i="29" s="1"/>
  <c r="L59" i="29" s="1"/>
  <c r="Q59" i="29" s="1"/>
  <c r="J51" i="29"/>
  <c r="N51" i="29" s="1"/>
  <c r="J21" i="29"/>
  <c r="N21" i="29" s="1"/>
  <c r="O21" i="29" s="1"/>
  <c r="J58" i="29"/>
  <c r="K58" i="29" s="1"/>
  <c r="L58" i="29" s="1"/>
  <c r="J16" i="29"/>
  <c r="N16" i="29" s="1"/>
  <c r="O16" i="29" s="1"/>
  <c r="J69" i="28"/>
  <c r="K69" i="28" s="1"/>
  <c r="O69" i="28" s="1"/>
  <c r="J31" i="29"/>
  <c r="N31" i="29" s="1"/>
  <c r="O31" i="29" s="1"/>
  <c r="J33" i="29"/>
  <c r="N33" i="29" s="1"/>
  <c r="O33" i="29" s="1"/>
  <c r="J67" i="29"/>
  <c r="N67" i="29" s="1"/>
  <c r="O67" i="29" s="1"/>
  <c r="J29" i="29"/>
  <c r="N29" i="29" s="1"/>
  <c r="O29" i="29" s="1"/>
  <c r="I97" i="25"/>
  <c r="I29" i="26"/>
  <c r="K29" i="26" s="1"/>
  <c r="I93" i="26"/>
  <c r="I27" i="26"/>
  <c r="K27" i="26" s="1"/>
  <c r="I30" i="26"/>
  <c r="K30" i="26" s="1"/>
  <c r="I54" i="26"/>
  <c r="I84" i="25"/>
  <c r="I19" i="25"/>
  <c r="I76" i="25"/>
  <c r="I62" i="25"/>
  <c r="I86" i="25"/>
  <c r="I35" i="25"/>
  <c r="I42" i="25"/>
  <c r="I66" i="25"/>
  <c r="I83" i="25"/>
  <c r="I13" i="26"/>
  <c r="K13" i="26" s="1"/>
  <c r="I57" i="26"/>
  <c r="K57" i="26" s="1"/>
  <c r="I12" i="26"/>
  <c r="K12" i="26" s="1"/>
  <c r="I17" i="26"/>
  <c r="K17" i="26" s="1"/>
  <c r="I16" i="26"/>
  <c r="K16" i="26" s="1"/>
  <c r="I50" i="25"/>
  <c r="I116" i="25"/>
  <c r="I65" i="25"/>
  <c r="I21" i="25"/>
  <c r="I40" i="25"/>
  <c r="I58" i="25"/>
  <c r="I14" i="25"/>
  <c r="I61" i="25"/>
  <c r="I61" i="26"/>
  <c r="K61" i="26" s="1"/>
  <c r="I106" i="26"/>
  <c r="I10" i="26"/>
  <c r="K10" i="26" s="1"/>
  <c r="I92" i="26"/>
  <c r="K92" i="26" s="1"/>
  <c r="I42" i="26"/>
  <c r="K42" i="26" s="1"/>
  <c r="I40" i="26"/>
  <c r="K40" i="26" s="1"/>
  <c r="I107" i="26"/>
  <c r="I59" i="26"/>
  <c r="K59" i="26" s="1"/>
  <c r="I105" i="26"/>
  <c r="I94" i="26"/>
  <c r="I18" i="26"/>
  <c r="K18" i="26" s="1"/>
  <c r="I43" i="25"/>
  <c r="I29" i="25"/>
  <c r="I63" i="25"/>
  <c r="I80" i="25"/>
  <c r="I103" i="25"/>
  <c r="I75" i="25"/>
  <c r="I96" i="25"/>
  <c r="I121" i="25"/>
  <c r="I45" i="25"/>
  <c r="I13" i="25"/>
  <c r="I33" i="25"/>
  <c r="I74" i="25"/>
  <c r="I57" i="25"/>
  <c r="I16" i="25"/>
  <c r="I34" i="25"/>
  <c r="G47" i="28"/>
  <c r="G18" i="28"/>
  <c r="G60" i="28"/>
  <c r="G15" i="29"/>
  <c r="G44" i="29"/>
  <c r="G23" i="28"/>
  <c r="G67" i="28"/>
  <c r="G12" i="28"/>
  <c r="G64" i="29"/>
  <c r="G20" i="29"/>
  <c r="G9" i="29"/>
  <c r="G57" i="29"/>
  <c r="G111" i="26"/>
  <c r="E120" i="26"/>
  <c r="O68" i="28" l="1"/>
  <c r="O26" i="28"/>
  <c r="O56" i="28"/>
  <c r="K60" i="28"/>
  <c r="O60" i="28" s="1"/>
  <c r="O74" i="28"/>
  <c r="O32" i="28"/>
  <c r="K42" i="28"/>
  <c r="O42" i="28" s="1"/>
  <c r="O38" i="28"/>
  <c r="O72" i="28"/>
  <c r="O70" i="28"/>
  <c r="O54" i="28"/>
  <c r="O19" i="28"/>
  <c r="K39" i="28"/>
  <c r="O39" i="28" s="1"/>
  <c r="K35" i="28"/>
  <c r="O35" i="28" s="1"/>
  <c r="O75" i="28"/>
  <c r="K34" i="28"/>
  <c r="O34" i="28" s="1"/>
  <c r="K71" i="28"/>
  <c r="O71" i="28" s="1"/>
  <c r="K24" i="28"/>
  <c r="O24" i="28" s="1"/>
  <c r="K29" i="28"/>
  <c r="O29" i="28" s="1"/>
  <c r="O31" i="28"/>
  <c r="K55" i="28"/>
  <c r="O55" i="28" s="1"/>
  <c r="K73" i="28"/>
  <c r="O73" i="28" s="1"/>
  <c r="O28" i="28"/>
  <c r="O61" i="28"/>
  <c r="K62" i="28"/>
  <c r="O62" i="28" s="1"/>
  <c r="O33" i="28"/>
  <c r="O36" i="28"/>
  <c r="M13" i="28"/>
  <c r="O13" i="28" s="1"/>
  <c r="O63" i="28"/>
  <c r="J14" i="25"/>
  <c r="K14" i="25" s="1"/>
  <c r="M14" i="25" s="1"/>
  <c r="J64" i="25"/>
  <c r="K64" i="25" s="1"/>
  <c r="M64" i="25" s="1"/>
  <c r="O64" i="25" s="1"/>
  <c r="J44" i="25"/>
  <c r="K44" i="25" s="1"/>
  <c r="M44" i="25" s="1"/>
  <c r="J68" i="25"/>
  <c r="K68" i="25" s="1"/>
  <c r="M68" i="25" s="1"/>
  <c r="J34" i="25"/>
  <c r="K34" i="25" s="1"/>
  <c r="J58" i="25"/>
  <c r="J66" i="25"/>
  <c r="K66" i="25" s="1"/>
  <c r="J62" i="25"/>
  <c r="K62" i="25" s="1"/>
  <c r="M62" i="25" s="1"/>
  <c r="J32" i="25"/>
  <c r="K32" i="25" s="1"/>
  <c r="M32" i="25" s="1"/>
  <c r="J67" i="25"/>
  <c r="K67" i="25" s="1"/>
  <c r="M67" i="25" s="1"/>
  <c r="J16" i="25"/>
  <c r="K16" i="25" s="1"/>
  <c r="M16" i="25" s="1"/>
  <c r="J13" i="25"/>
  <c r="K13" i="25" s="1"/>
  <c r="M13" i="25" s="1"/>
  <c r="J29" i="25"/>
  <c r="K29" i="25" s="1"/>
  <c r="M29" i="25" s="1"/>
  <c r="J40" i="25"/>
  <c r="K40" i="25" s="1"/>
  <c r="M40" i="25" s="1"/>
  <c r="J50" i="25"/>
  <c r="K50" i="25" s="1"/>
  <c r="J42" i="25"/>
  <c r="J18" i="25"/>
  <c r="K18" i="25" s="1"/>
  <c r="M18" i="25" s="1"/>
  <c r="J30" i="25"/>
  <c r="K30" i="25" s="1"/>
  <c r="M30" i="25" s="1"/>
  <c r="J59" i="25"/>
  <c r="K59" i="25" s="1"/>
  <c r="M59" i="25" s="1"/>
  <c r="J41" i="25"/>
  <c r="K41" i="25" s="1"/>
  <c r="M41" i="25" s="1"/>
  <c r="J22" i="25"/>
  <c r="K22" i="25" s="1"/>
  <c r="M22" i="25" s="1"/>
  <c r="J65" i="25"/>
  <c r="K65" i="25" s="1"/>
  <c r="M65" i="25" s="1"/>
  <c r="J27" i="25"/>
  <c r="K27" i="25" s="1"/>
  <c r="J33" i="25"/>
  <c r="K33" i="25" s="1"/>
  <c r="M33" i="25" s="1"/>
  <c r="J63" i="25"/>
  <c r="J31" i="25"/>
  <c r="K31" i="25" s="1"/>
  <c r="J60" i="25"/>
  <c r="K60" i="25" s="1"/>
  <c r="M60" i="25" s="1"/>
  <c r="J57" i="25"/>
  <c r="K57" i="25" s="1"/>
  <c r="M57" i="25" s="1"/>
  <c r="O57" i="25" s="1"/>
  <c r="J45" i="25"/>
  <c r="K45" i="25" s="1"/>
  <c r="M45" i="25" s="1"/>
  <c r="O45" i="25" s="1"/>
  <c r="J43" i="25"/>
  <c r="K43" i="25" s="1"/>
  <c r="M43" i="25" s="1"/>
  <c r="J61" i="25"/>
  <c r="K61" i="25" s="1"/>
  <c r="M61" i="25" s="1"/>
  <c r="J21" i="25"/>
  <c r="K21" i="25" s="1"/>
  <c r="M21" i="25" s="1"/>
  <c r="J35" i="25"/>
  <c r="K35" i="25" s="1"/>
  <c r="M35" i="25" s="1"/>
  <c r="J19" i="25"/>
  <c r="K19" i="25" s="1"/>
  <c r="M19" i="25" s="1"/>
  <c r="J20" i="25"/>
  <c r="K20" i="25" s="1"/>
  <c r="M20" i="25" s="1"/>
  <c r="O20" i="25" s="1"/>
  <c r="J15" i="25"/>
  <c r="K15" i="25" s="1"/>
  <c r="M15" i="25" s="1"/>
  <c r="O15" i="25" s="1"/>
  <c r="J28" i="25"/>
  <c r="K28" i="25" s="1"/>
  <c r="M28" i="25" s="1"/>
  <c r="N45" i="29"/>
  <c r="O45" i="29" s="1"/>
  <c r="Q45" i="29" s="1"/>
  <c r="Q58" i="29"/>
  <c r="N54" i="29"/>
  <c r="O54" i="29" s="1"/>
  <c r="K11" i="29"/>
  <c r="L11" i="29" s="1"/>
  <c r="Q11" i="29" s="1"/>
  <c r="N32" i="29"/>
  <c r="O32" i="29" s="1"/>
  <c r="Q32" i="29" s="1"/>
  <c r="K67" i="29"/>
  <c r="L67" i="29" s="1"/>
  <c r="Q67" i="29" s="1"/>
  <c r="N28" i="29"/>
  <c r="O28" i="29" s="1"/>
  <c r="Q28" i="29" s="1"/>
  <c r="N39" i="29"/>
  <c r="O39" i="29" s="1"/>
  <c r="Q39" i="29" s="1"/>
  <c r="K70" i="29"/>
  <c r="L70" i="29" s="1"/>
  <c r="Q70" i="29" s="1"/>
  <c r="K26" i="29"/>
  <c r="L26" i="29" s="1"/>
  <c r="Q26" i="29" s="1"/>
  <c r="K23" i="29"/>
  <c r="L23" i="29" s="1"/>
  <c r="Q23" i="29" s="1"/>
  <c r="K38" i="29"/>
  <c r="L38" i="29" s="1"/>
  <c r="Q38" i="29" s="1"/>
  <c r="K29" i="29"/>
  <c r="L29" i="29" s="1"/>
  <c r="Q29" i="29" s="1"/>
  <c r="K51" i="29"/>
  <c r="L51" i="29" s="1"/>
  <c r="Q51" i="29" s="1"/>
  <c r="K65" i="29"/>
  <c r="L65" i="29" s="1"/>
  <c r="Q65" i="29" s="1"/>
  <c r="K72" i="29"/>
  <c r="L72" i="29" s="1"/>
  <c r="Q72" i="29" s="1"/>
  <c r="K25" i="29"/>
  <c r="L25" i="29" s="1"/>
  <c r="Q25" i="29" s="1"/>
  <c r="K37" i="29"/>
  <c r="L37" i="29" s="1"/>
  <c r="Q37" i="29" s="1"/>
  <c r="K31" i="29"/>
  <c r="L31" i="29" s="1"/>
  <c r="Q31" i="29" s="1"/>
  <c r="K21" i="29"/>
  <c r="L21" i="29" s="1"/>
  <c r="Q21" i="29" s="1"/>
  <c r="K71" i="29"/>
  <c r="L71" i="29" s="1"/>
  <c r="Q71" i="29" s="1"/>
  <c r="K36" i="29"/>
  <c r="L36" i="29" s="1"/>
  <c r="Q36" i="29" s="1"/>
  <c r="K66" i="29"/>
  <c r="L66" i="29" s="1"/>
  <c r="Q66" i="29" s="1"/>
  <c r="K40" i="29"/>
  <c r="L40" i="29" s="1"/>
  <c r="Q40" i="29" s="1"/>
  <c r="K30" i="29"/>
  <c r="L30" i="29" s="1"/>
  <c r="Q30" i="29" s="1"/>
  <c r="K16" i="29"/>
  <c r="L16" i="29" s="1"/>
  <c r="Q16" i="29" s="1"/>
  <c r="K33" i="29"/>
  <c r="L33" i="29" s="1"/>
  <c r="Q33" i="29" s="1"/>
  <c r="K35" i="29"/>
  <c r="L35" i="29" s="1"/>
  <c r="Q35" i="29" s="1"/>
  <c r="K10" i="29"/>
  <c r="L10" i="29" s="1"/>
  <c r="Q10" i="29" s="1"/>
  <c r="K69" i="29"/>
  <c r="L69" i="29" s="1"/>
  <c r="Q69" i="29" s="1"/>
  <c r="K52" i="29"/>
  <c r="L52" i="29" s="1"/>
  <c r="Q52" i="29" s="1"/>
  <c r="K53" i="29"/>
  <c r="L53" i="29" s="1"/>
  <c r="Q53" i="29" s="1"/>
  <c r="K27" i="29"/>
  <c r="L27" i="29" s="1"/>
  <c r="Q27" i="29" s="1"/>
  <c r="K47" i="29"/>
  <c r="L47" i="29" s="1"/>
  <c r="Q47" i="29" s="1"/>
  <c r="K46" i="29"/>
  <c r="L46" i="29" s="1"/>
  <c r="Q46" i="29" s="1"/>
  <c r="K68" i="29"/>
  <c r="L68" i="29" s="1"/>
  <c r="Q68" i="29" s="1"/>
  <c r="K24" i="29"/>
  <c r="L24" i="29" s="1"/>
  <c r="Q24" i="29" s="1"/>
  <c r="J59" i="26"/>
  <c r="M59" i="26" s="1"/>
  <c r="J16" i="26"/>
  <c r="M16" i="26" s="1"/>
  <c r="J13" i="26"/>
  <c r="M13" i="26" s="1"/>
  <c r="J42" i="26"/>
  <c r="M42" i="26" s="1"/>
  <c r="J41" i="26"/>
  <c r="M41" i="26" s="1"/>
  <c r="J73" i="26"/>
  <c r="M73" i="26" s="1"/>
  <c r="J84" i="26"/>
  <c r="M84" i="26" s="1"/>
  <c r="J119" i="26"/>
  <c r="M119" i="26" s="1"/>
  <c r="J71" i="26"/>
  <c r="J29" i="26"/>
  <c r="M29" i="26" s="1"/>
  <c r="J37" i="26"/>
  <c r="M37" i="26" s="1"/>
  <c r="J55" i="26"/>
  <c r="M55" i="26" s="1"/>
  <c r="J81" i="26"/>
  <c r="M81" i="26" s="1"/>
  <c r="J75" i="26"/>
  <c r="M75" i="26" s="1"/>
  <c r="J83" i="26"/>
  <c r="M83" i="26" s="1"/>
  <c r="J77" i="26"/>
  <c r="M77" i="26" s="1"/>
  <c r="J86" i="26"/>
  <c r="M86" i="26" s="1"/>
  <c r="J65" i="26"/>
  <c r="M65" i="26" s="1"/>
  <c r="J80" i="26"/>
  <c r="M80" i="26" s="1"/>
  <c r="J76" i="26"/>
  <c r="M76" i="26" s="1"/>
  <c r="J74" i="26"/>
  <c r="J18" i="26"/>
  <c r="M18" i="26" s="1"/>
  <c r="J58" i="26"/>
  <c r="M58" i="26" s="1"/>
  <c r="J85" i="26"/>
  <c r="M85" i="26" s="1"/>
  <c r="J87" i="26"/>
  <c r="M87" i="26" s="1"/>
  <c r="J82" i="26"/>
  <c r="M82" i="26" s="1"/>
  <c r="J72" i="26"/>
  <c r="M72" i="26" s="1"/>
  <c r="J78" i="26"/>
  <c r="M78" i="26" s="1"/>
  <c r="J79" i="25"/>
  <c r="J95" i="25"/>
  <c r="K95" i="25" s="1"/>
  <c r="M95" i="25" s="1"/>
  <c r="J81" i="25"/>
  <c r="J96" i="25"/>
  <c r="K96" i="25" s="1"/>
  <c r="M96" i="25" s="1"/>
  <c r="J103" i="25"/>
  <c r="K103" i="25" s="1"/>
  <c r="M103" i="25" s="1"/>
  <c r="J78" i="25"/>
  <c r="K78" i="25" s="1"/>
  <c r="M78" i="25" s="1"/>
  <c r="J102" i="25"/>
  <c r="K102" i="25" s="1"/>
  <c r="M102" i="25" s="1"/>
  <c r="J88" i="25"/>
  <c r="K88" i="25" s="1"/>
  <c r="M88" i="25" s="1"/>
  <c r="J108" i="25"/>
  <c r="K108" i="25" s="1"/>
  <c r="J87" i="25"/>
  <c r="K87" i="25" s="1"/>
  <c r="M87" i="25" s="1"/>
  <c r="J97" i="25"/>
  <c r="K97" i="25" s="1"/>
  <c r="M97" i="25" s="1"/>
  <c r="J89" i="25"/>
  <c r="K89" i="25" s="1"/>
  <c r="M89" i="25" s="1"/>
  <c r="J73" i="25"/>
  <c r="K73" i="25" s="1"/>
  <c r="J120" i="25"/>
  <c r="K120" i="25" s="1"/>
  <c r="M120" i="25" s="1"/>
  <c r="J80" i="25"/>
  <c r="K80" i="25" s="1"/>
  <c r="M80" i="25" s="1"/>
  <c r="J83" i="25"/>
  <c r="K83" i="25" s="1"/>
  <c r="M83" i="25" s="1"/>
  <c r="J86" i="25"/>
  <c r="K86" i="25" s="1"/>
  <c r="M86" i="25" s="1"/>
  <c r="J84" i="25"/>
  <c r="K84" i="25" s="1"/>
  <c r="M84" i="25" s="1"/>
  <c r="J77" i="25"/>
  <c r="J57" i="28"/>
  <c r="J70" i="26"/>
  <c r="J100" i="26"/>
  <c r="K100" i="26" s="1"/>
  <c r="M100" i="26" s="1"/>
  <c r="I64" i="28"/>
  <c r="I23" i="28"/>
  <c r="I47" i="28"/>
  <c r="I67" i="28"/>
  <c r="I18" i="28"/>
  <c r="J117" i="26"/>
  <c r="K117" i="26" s="1"/>
  <c r="M117" i="26" s="1"/>
  <c r="J116" i="26"/>
  <c r="K116" i="26" s="1"/>
  <c r="M116" i="26" s="1"/>
  <c r="J99" i="26"/>
  <c r="K99" i="26" s="1"/>
  <c r="M99" i="26" s="1"/>
  <c r="J114" i="26"/>
  <c r="J113" i="26"/>
  <c r="K113" i="26" s="1"/>
  <c r="M113" i="26" s="1"/>
  <c r="J79" i="26"/>
  <c r="K79" i="26" s="1"/>
  <c r="M79" i="26" s="1"/>
  <c r="J118" i="26"/>
  <c r="K118" i="26" s="1"/>
  <c r="M118" i="26" s="1"/>
  <c r="J98" i="26"/>
  <c r="I111" i="26"/>
  <c r="I120" i="26" s="1"/>
  <c r="J112" i="26"/>
  <c r="K112" i="26" s="1"/>
  <c r="M112" i="26" s="1"/>
  <c r="I101" i="26"/>
  <c r="J54" i="29"/>
  <c r="K54" i="29" s="1"/>
  <c r="L54" i="29" s="1"/>
  <c r="J106" i="26"/>
  <c r="K106" i="26" s="1"/>
  <c r="M106" i="26" s="1"/>
  <c r="J109" i="25"/>
  <c r="K109" i="25" s="1"/>
  <c r="J82" i="25"/>
  <c r="J117" i="25"/>
  <c r="K117" i="25" s="1"/>
  <c r="M117" i="25" s="1"/>
  <c r="J93" i="26"/>
  <c r="K93" i="26" s="1"/>
  <c r="M93" i="26" s="1"/>
  <c r="J28" i="26"/>
  <c r="J119" i="25"/>
  <c r="K119" i="25" s="1"/>
  <c r="J57" i="26"/>
  <c r="M57" i="26" s="1"/>
  <c r="J47" i="26"/>
  <c r="K47" i="26" s="1"/>
  <c r="M47" i="26" s="1"/>
  <c r="J92" i="26"/>
  <c r="M92" i="26" s="1"/>
  <c r="J12" i="26"/>
  <c r="M12" i="26" s="1"/>
  <c r="J61" i="26"/>
  <c r="M61" i="26" s="1"/>
  <c r="J25" i="26"/>
  <c r="M25" i="26" s="1"/>
  <c r="J56" i="26"/>
  <c r="M56" i="26" s="1"/>
  <c r="J64" i="26"/>
  <c r="M64" i="26" s="1"/>
  <c r="J30" i="26"/>
  <c r="M30" i="26" s="1"/>
  <c r="J60" i="26"/>
  <c r="J121" i="25"/>
  <c r="K121" i="25" s="1"/>
  <c r="M121" i="25" s="1"/>
  <c r="J39" i="26"/>
  <c r="J11" i="26"/>
  <c r="M11" i="26" s="1"/>
  <c r="J107" i="26"/>
  <c r="J10" i="26"/>
  <c r="M10" i="26" s="1"/>
  <c r="J62" i="26"/>
  <c r="M62" i="26" s="1"/>
  <c r="J27" i="26"/>
  <c r="M27" i="26" s="1"/>
  <c r="J63" i="26"/>
  <c r="M63" i="26" s="1"/>
  <c r="J26" i="26"/>
  <c r="M26" i="26" s="1"/>
  <c r="J105" i="26"/>
  <c r="I12" i="28"/>
  <c r="J75" i="25"/>
  <c r="K75" i="25" s="1"/>
  <c r="M75" i="25" s="1"/>
  <c r="J116" i="25"/>
  <c r="K116" i="25" s="1"/>
  <c r="M116" i="25" s="1"/>
  <c r="J74" i="25"/>
  <c r="J90" i="25"/>
  <c r="J110" i="25"/>
  <c r="K110" i="25" s="1"/>
  <c r="I64" i="29"/>
  <c r="I20" i="29"/>
  <c r="J94" i="26"/>
  <c r="K94" i="26" s="1"/>
  <c r="M94" i="26" s="1"/>
  <c r="J40" i="26"/>
  <c r="M40" i="26" s="1"/>
  <c r="J17" i="26"/>
  <c r="M17" i="26" s="1"/>
  <c r="J76" i="25"/>
  <c r="K76" i="25" s="1"/>
  <c r="M76" i="25" s="1"/>
  <c r="J54" i="26"/>
  <c r="K54" i="26" s="1"/>
  <c r="M54" i="26" s="1"/>
  <c r="J15" i="26"/>
  <c r="K15" i="26" s="1"/>
  <c r="M15" i="26" s="1"/>
  <c r="J115" i="25"/>
  <c r="K115" i="25" s="1"/>
  <c r="M115" i="25" s="1"/>
  <c r="J24" i="26"/>
  <c r="M24" i="26" s="1"/>
  <c r="J101" i="25"/>
  <c r="K101" i="25" s="1"/>
  <c r="J31" i="26"/>
  <c r="M31" i="26" s="1"/>
  <c r="J122" i="25"/>
  <c r="J85" i="25"/>
  <c r="J32" i="26"/>
  <c r="M32" i="26" s="1"/>
  <c r="J19" i="26"/>
  <c r="M19" i="26" s="1"/>
  <c r="J38" i="26"/>
  <c r="M38" i="26" s="1"/>
  <c r="I9" i="29"/>
  <c r="I44" i="29"/>
  <c r="I15" i="29"/>
  <c r="I57" i="29"/>
  <c r="G15" i="28"/>
  <c r="G48" i="29"/>
  <c r="G73" i="29"/>
  <c r="G17" i="29"/>
  <c r="G44" i="28"/>
  <c r="G76" i="28"/>
  <c r="G51" i="28"/>
  <c r="G20" i="28"/>
  <c r="G61" i="29"/>
  <c r="G41" i="29"/>
  <c r="G12" i="29"/>
  <c r="G64" i="28"/>
  <c r="G23" i="26"/>
  <c r="E33" i="26"/>
  <c r="E88" i="26"/>
  <c r="G69" i="26"/>
  <c r="G39" i="25"/>
  <c r="G46" i="26"/>
  <c r="E48" i="26"/>
  <c r="G49" i="25"/>
  <c r="G114" i="25"/>
  <c r="G91" i="26"/>
  <c r="E95" i="26"/>
  <c r="G53" i="26"/>
  <c r="E66" i="26"/>
  <c r="G94" i="25"/>
  <c r="G12" i="25"/>
  <c r="E43" i="26"/>
  <c r="G36" i="26"/>
  <c r="G26" i="25"/>
  <c r="E101" i="26"/>
  <c r="G56" i="25"/>
  <c r="G120" i="26"/>
  <c r="G72" i="25"/>
  <c r="G9" i="26"/>
  <c r="I9" i="26" s="1"/>
  <c r="E20" i="26"/>
  <c r="G107" i="25"/>
  <c r="G104" i="26"/>
  <c r="E108" i="26"/>
  <c r="N81" i="26" l="1"/>
  <c r="N41" i="26"/>
  <c r="N55" i="26"/>
  <c r="N42" i="26"/>
  <c r="N73" i="26"/>
  <c r="N59" i="26"/>
  <c r="N30" i="26"/>
  <c r="K98" i="26"/>
  <c r="M98" i="26" s="1"/>
  <c r="M101" i="26" s="1"/>
  <c r="J101" i="26"/>
  <c r="N80" i="26"/>
  <c r="N37" i="26"/>
  <c r="N84" i="26"/>
  <c r="M71" i="26"/>
  <c r="N71" i="26" s="1"/>
  <c r="M74" i="26"/>
  <c r="N74" i="26" s="1"/>
  <c r="K28" i="26"/>
  <c r="M28" i="26" s="1"/>
  <c r="N28" i="26" s="1"/>
  <c r="K107" i="26"/>
  <c r="M107" i="26" s="1"/>
  <c r="N107" i="26" s="1"/>
  <c r="K70" i="26"/>
  <c r="M70" i="26" s="1"/>
  <c r="N70" i="26" s="1"/>
  <c r="K60" i="26"/>
  <c r="M60" i="26" s="1"/>
  <c r="N60" i="26" s="1"/>
  <c r="K39" i="26"/>
  <c r="M39" i="26" s="1"/>
  <c r="N39" i="26" s="1"/>
  <c r="K114" i="26"/>
  <c r="M114" i="26" s="1"/>
  <c r="N114" i="26" s="1"/>
  <c r="K105" i="26"/>
  <c r="M105" i="26" s="1"/>
  <c r="N105" i="26" s="1"/>
  <c r="M119" i="25"/>
  <c r="O119" i="25" s="1"/>
  <c r="M73" i="25"/>
  <c r="O73" i="25" s="1"/>
  <c r="K79" i="25"/>
  <c r="M79" i="25" s="1"/>
  <c r="O79" i="25" s="1"/>
  <c r="M50" i="25"/>
  <c r="K122" i="25"/>
  <c r="M122" i="25" s="1"/>
  <c r="O122" i="25" s="1"/>
  <c r="M101" i="25"/>
  <c r="K104" i="25"/>
  <c r="K81" i="25"/>
  <c r="M81" i="25" s="1"/>
  <c r="O81" i="25" s="1"/>
  <c r="K77" i="25"/>
  <c r="M77" i="25" s="1"/>
  <c r="O77" i="25" s="1"/>
  <c r="K90" i="25"/>
  <c r="M90" i="25" s="1"/>
  <c r="O90" i="25" s="1"/>
  <c r="K82" i="25"/>
  <c r="M82" i="25" s="1"/>
  <c r="O82" i="25" s="1"/>
  <c r="K74" i="25"/>
  <c r="M74" i="25" s="1"/>
  <c r="O74" i="25" s="1"/>
  <c r="K85" i="25"/>
  <c r="M85" i="25" s="1"/>
  <c r="O85" i="25" s="1"/>
  <c r="M66" i="25"/>
  <c r="O66" i="25" s="1"/>
  <c r="K58" i="25"/>
  <c r="M58" i="25" s="1"/>
  <c r="O58" i="25" s="1"/>
  <c r="K63" i="25"/>
  <c r="M63" i="25" s="1"/>
  <c r="O63" i="25" s="1"/>
  <c r="K42" i="25"/>
  <c r="M42" i="25" s="1"/>
  <c r="O42" i="25" s="1"/>
  <c r="M27" i="25"/>
  <c r="O27" i="25" s="1"/>
  <c r="M31" i="25"/>
  <c r="O31" i="25" s="1"/>
  <c r="M34" i="25"/>
  <c r="O34" i="25" s="1"/>
  <c r="K64" i="28"/>
  <c r="O57" i="28"/>
  <c r="O64" i="28"/>
  <c r="K57" i="28"/>
  <c r="O87" i="25"/>
  <c r="M110" i="25"/>
  <c r="O110" i="25" s="1"/>
  <c r="O35" i="25"/>
  <c r="O120" i="25"/>
  <c r="O65" i="25"/>
  <c r="O41" i="25"/>
  <c r="O30" i="25"/>
  <c r="O50" i="25"/>
  <c r="O84" i="25"/>
  <c r="O115" i="25"/>
  <c r="O116" i="25"/>
  <c r="O121" i="25"/>
  <c r="M109" i="25"/>
  <c r="O109" i="25" s="1"/>
  <c r="O86" i="25"/>
  <c r="M108" i="25"/>
  <c r="O108" i="25" s="1"/>
  <c r="O103" i="25"/>
  <c r="O88" i="25"/>
  <c r="O21" i="25"/>
  <c r="O60" i="25"/>
  <c r="O22" i="25"/>
  <c r="O59" i="25"/>
  <c r="O18" i="25"/>
  <c r="O40" i="25"/>
  <c r="O16" i="25"/>
  <c r="O32" i="25"/>
  <c r="O44" i="25"/>
  <c r="O14" i="25"/>
  <c r="O75" i="25"/>
  <c r="O83" i="25"/>
  <c r="O89" i="25"/>
  <c r="O96" i="25"/>
  <c r="O78" i="25"/>
  <c r="O61" i="25"/>
  <c r="O33" i="25"/>
  <c r="O76" i="25"/>
  <c r="O29" i="25"/>
  <c r="O62" i="25"/>
  <c r="O117" i="25"/>
  <c r="O80" i="25"/>
  <c r="O97" i="25"/>
  <c r="O102" i="25"/>
  <c r="O28" i="25"/>
  <c r="O19" i="25"/>
  <c r="O43" i="25"/>
  <c r="O95" i="25"/>
  <c r="O13" i="25"/>
  <c r="O67" i="25"/>
  <c r="O68" i="25"/>
  <c r="I12" i="25"/>
  <c r="J12" i="28"/>
  <c r="K12" i="28" s="1"/>
  <c r="K15" i="28" s="1"/>
  <c r="N16" i="26"/>
  <c r="N119" i="26"/>
  <c r="Q54" i="29"/>
  <c r="N117" i="26"/>
  <c r="N29" i="26"/>
  <c r="N13" i="26"/>
  <c r="N72" i="26"/>
  <c r="N113" i="26"/>
  <c r="N79" i="26"/>
  <c r="N12" i="26"/>
  <c r="N18" i="26"/>
  <c r="N62" i="26"/>
  <c r="N83" i="26"/>
  <c r="N87" i="26"/>
  <c r="T51" i="29"/>
  <c r="T29" i="29"/>
  <c r="T30" i="29"/>
  <c r="T69" i="29"/>
  <c r="T25" i="29"/>
  <c r="T71" i="29"/>
  <c r="I76" i="28"/>
  <c r="J23" i="28"/>
  <c r="K23" i="28" s="1"/>
  <c r="N15" i="26"/>
  <c r="N116" i="26"/>
  <c r="N58" i="26"/>
  <c r="N40" i="26"/>
  <c r="N31" i="26"/>
  <c r="N32" i="26"/>
  <c r="N86" i="26"/>
  <c r="N56" i="26"/>
  <c r="N112" i="26"/>
  <c r="N10" i="26"/>
  <c r="N63" i="26"/>
  <c r="N100" i="26"/>
  <c r="N19" i="26"/>
  <c r="N17" i="26"/>
  <c r="N78" i="26"/>
  <c r="N25" i="26"/>
  <c r="N77" i="26"/>
  <c r="N26" i="26"/>
  <c r="N92" i="26"/>
  <c r="N118" i="26"/>
  <c r="N54" i="26"/>
  <c r="N11" i="26"/>
  <c r="N76" i="26"/>
  <c r="N64" i="26"/>
  <c r="N27" i="26"/>
  <c r="N38" i="26"/>
  <c r="N106" i="26"/>
  <c r="T67" i="29"/>
  <c r="T24" i="29"/>
  <c r="T60" i="29"/>
  <c r="T52" i="29"/>
  <c r="T28" i="29"/>
  <c r="T16" i="29"/>
  <c r="T58" i="29"/>
  <c r="T66" i="29"/>
  <c r="T36" i="29"/>
  <c r="T59" i="29"/>
  <c r="T31" i="29"/>
  <c r="T47" i="29"/>
  <c r="T27" i="29"/>
  <c r="T21" i="29"/>
  <c r="T23" i="29"/>
  <c r="T65" i="29"/>
  <c r="T35" i="29"/>
  <c r="T11" i="29"/>
  <c r="T46" i="29"/>
  <c r="T26" i="29"/>
  <c r="T32" i="29"/>
  <c r="T33" i="29"/>
  <c r="T38" i="29"/>
  <c r="T72" i="29"/>
  <c r="T10" i="29"/>
  <c r="T53" i="29"/>
  <c r="T37" i="29"/>
  <c r="T40" i="29"/>
  <c r="T70" i="29"/>
  <c r="T39" i="29"/>
  <c r="T68" i="29"/>
  <c r="T45" i="29"/>
  <c r="I44" i="28"/>
  <c r="J67" i="28"/>
  <c r="K67" i="28" s="1"/>
  <c r="K76" i="28" s="1"/>
  <c r="I20" i="28"/>
  <c r="J47" i="28"/>
  <c r="J18" i="28"/>
  <c r="I51" i="28"/>
  <c r="J64" i="28"/>
  <c r="I69" i="26"/>
  <c r="J111" i="26"/>
  <c r="J120" i="26" s="1"/>
  <c r="J9" i="29"/>
  <c r="J12" i="29" s="1"/>
  <c r="I12" i="29"/>
  <c r="J44" i="29"/>
  <c r="K44" i="29" s="1"/>
  <c r="L44" i="29" s="1"/>
  <c r="I48" i="29"/>
  <c r="J15" i="29"/>
  <c r="K15" i="29" s="1"/>
  <c r="L15" i="29" s="1"/>
  <c r="I17" i="29"/>
  <c r="I61" i="29"/>
  <c r="I41" i="29"/>
  <c r="I73" i="29"/>
  <c r="I15" i="28"/>
  <c r="I104" i="26"/>
  <c r="I46" i="26"/>
  <c r="J57" i="29"/>
  <c r="J61" i="29" s="1"/>
  <c r="J20" i="29"/>
  <c r="J41" i="29" s="1"/>
  <c r="J64" i="29"/>
  <c r="J73" i="29" s="1"/>
  <c r="I53" i="26"/>
  <c r="I36" i="26"/>
  <c r="I114" i="25"/>
  <c r="I23" i="26"/>
  <c r="I91" i="26"/>
  <c r="J104" i="25"/>
  <c r="G75" i="29"/>
  <c r="G78" i="28"/>
  <c r="G20" i="26"/>
  <c r="G108" i="26"/>
  <c r="I26" i="25"/>
  <c r="G36" i="25"/>
  <c r="G66" i="26"/>
  <c r="G95" i="26"/>
  <c r="E50" i="26"/>
  <c r="E122" i="26" s="1"/>
  <c r="I107" i="25"/>
  <c r="G111" i="25"/>
  <c r="G101" i="26"/>
  <c r="G98" i="25"/>
  <c r="I94" i="25"/>
  <c r="G88" i="26"/>
  <c r="I72" i="25"/>
  <c r="G91" i="25"/>
  <c r="I56" i="25"/>
  <c r="G69" i="25"/>
  <c r="G104" i="25"/>
  <c r="I49" i="25"/>
  <c r="G51" i="25"/>
  <c r="G48" i="26"/>
  <c r="G33" i="26"/>
  <c r="G46" i="25"/>
  <c r="I39" i="25"/>
  <c r="G23" i="25"/>
  <c r="G43" i="26"/>
  <c r="G123" i="25"/>
  <c r="K101" i="26" l="1"/>
  <c r="K111" i="26"/>
  <c r="G82" i="28"/>
  <c r="O101" i="25"/>
  <c r="O104" i="25" s="1"/>
  <c r="K18" i="28"/>
  <c r="K20" i="28" s="1"/>
  <c r="M12" i="28"/>
  <c r="K47" i="28"/>
  <c r="J49" i="25"/>
  <c r="K49" i="25" s="1"/>
  <c r="J26" i="25"/>
  <c r="K26" i="25" s="1"/>
  <c r="K36" i="25" s="1"/>
  <c r="J39" i="25"/>
  <c r="K39" i="25" s="1"/>
  <c r="K46" i="25" s="1"/>
  <c r="J56" i="25"/>
  <c r="J12" i="25"/>
  <c r="G53" i="25"/>
  <c r="N15" i="29"/>
  <c r="N9" i="29"/>
  <c r="N20" i="29"/>
  <c r="K9" i="29"/>
  <c r="L9" i="29" s="1"/>
  <c r="N44" i="29"/>
  <c r="K12" i="29"/>
  <c r="L12" i="29" s="1"/>
  <c r="N64" i="29"/>
  <c r="K64" i="29"/>
  <c r="L64" i="29" s="1"/>
  <c r="K61" i="29"/>
  <c r="L61" i="29" s="1"/>
  <c r="Q61" i="29" s="1"/>
  <c r="K41" i="29"/>
  <c r="L41" i="29" s="1"/>
  <c r="K20" i="29"/>
  <c r="L20" i="29" s="1"/>
  <c r="K73" i="29"/>
  <c r="L73" i="29" s="1"/>
  <c r="K57" i="29"/>
  <c r="L57" i="29" s="1"/>
  <c r="Q57" i="29" s="1"/>
  <c r="J51" i="28"/>
  <c r="J44" i="28"/>
  <c r="J20" i="28"/>
  <c r="N65" i="26"/>
  <c r="N24" i="26"/>
  <c r="N98" i="26"/>
  <c r="N57" i="26"/>
  <c r="N75" i="26"/>
  <c r="N93" i="26"/>
  <c r="N82" i="26"/>
  <c r="N94" i="26"/>
  <c r="N47" i="26"/>
  <c r="N99" i="26"/>
  <c r="N61" i="26"/>
  <c r="N85" i="26"/>
  <c r="J94" i="25"/>
  <c r="K94" i="25" s="1"/>
  <c r="K98" i="25" s="1"/>
  <c r="J107" i="25"/>
  <c r="K107" i="25" s="1"/>
  <c r="J72" i="25"/>
  <c r="K72" i="25" s="1"/>
  <c r="J114" i="25"/>
  <c r="T61" i="29"/>
  <c r="T54" i="29"/>
  <c r="J17" i="29"/>
  <c r="K17" i="29" s="1"/>
  <c r="L17" i="29" s="1"/>
  <c r="J76" i="28"/>
  <c r="J48" i="29"/>
  <c r="K48" i="29" s="1"/>
  <c r="L48" i="29" s="1"/>
  <c r="J9" i="26"/>
  <c r="I78" i="28"/>
  <c r="I82" i="28" s="1"/>
  <c r="J69" i="26"/>
  <c r="I88" i="26"/>
  <c r="J104" i="26"/>
  <c r="J108" i="26" s="1"/>
  <c r="J36" i="26"/>
  <c r="I75" i="29"/>
  <c r="J15" i="28"/>
  <c r="I33" i="26"/>
  <c r="I66" i="26"/>
  <c r="I108" i="26"/>
  <c r="K108" i="26" s="1"/>
  <c r="I95" i="26"/>
  <c r="I48" i="26"/>
  <c r="I20" i="26"/>
  <c r="I43" i="26"/>
  <c r="J53" i="26"/>
  <c r="J46" i="26"/>
  <c r="J48" i="26" s="1"/>
  <c r="J91" i="26"/>
  <c r="J23" i="26"/>
  <c r="K23" i="26" s="1"/>
  <c r="I104" i="25"/>
  <c r="I91" i="25"/>
  <c r="I36" i="25"/>
  <c r="I23" i="25"/>
  <c r="G50" i="26"/>
  <c r="I123" i="25"/>
  <c r="I51" i="25"/>
  <c r="I98" i="25"/>
  <c r="I111" i="25"/>
  <c r="I69" i="25"/>
  <c r="I46" i="25"/>
  <c r="K69" i="26" l="1"/>
  <c r="J88" i="26"/>
  <c r="K91" i="26"/>
  <c r="K95" i="26" s="1"/>
  <c r="J95" i="26"/>
  <c r="K36" i="26"/>
  <c r="J43" i="26"/>
  <c r="K46" i="26"/>
  <c r="K48" i="26" s="1"/>
  <c r="K53" i="26"/>
  <c r="M53" i="26" s="1"/>
  <c r="M66" i="26" s="1"/>
  <c r="J66" i="26"/>
  <c r="N101" i="26"/>
  <c r="K33" i="26"/>
  <c r="M23" i="26"/>
  <c r="N23" i="26" s="1"/>
  <c r="M69" i="26"/>
  <c r="M88" i="26" s="1"/>
  <c r="K88" i="26"/>
  <c r="M91" i="26"/>
  <c r="M95" i="26" s="1"/>
  <c r="K43" i="26"/>
  <c r="M36" i="26"/>
  <c r="M43" i="26" s="1"/>
  <c r="K120" i="26"/>
  <c r="M111" i="26"/>
  <c r="J20" i="26"/>
  <c r="K9" i="26"/>
  <c r="K20" i="26" s="1"/>
  <c r="K104" i="26"/>
  <c r="M104" i="26" s="1"/>
  <c r="K114" i="25"/>
  <c r="K123" i="25" s="1"/>
  <c r="M39" i="25"/>
  <c r="M46" i="25" s="1"/>
  <c r="K51" i="25"/>
  <c r="M49" i="25"/>
  <c r="M51" i="25" s="1"/>
  <c r="M94" i="25"/>
  <c r="M72" i="25"/>
  <c r="K56" i="25"/>
  <c r="K12" i="25"/>
  <c r="K23" i="25" s="1"/>
  <c r="O39" i="25"/>
  <c r="O46" i="25" s="1"/>
  <c r="M26" i="25"/>
  <c r="K82" i="28"/>
  <c r="O15" i="28"/>
  <c r="O12" i="28"/>
  <c r="O44" i="28"/>
  <c r="O23" i="28"/>
  <c r="O67" i="28"/>
  <c r="O94" i="25"/>
  <c r="O98" i="25" s="1"/>
  <c r="J51" i="25"/>
  <c r="J23" i="25"/>
  <c r="J46" i="25"/>
  <c r="M107" i="25"/>
  <c r="O107" i="25" s="1"/>
  <c r="J69" i="25"/>
  <c r="J36" i="25"/>
  <c r="J91" i="25"/>
  <c r="M108" i="26"/>
  <c r="N108" i="26" s="1"/>
  <c r="J111" i="25"/>
  <c r="K111" i="25" s="1"/>
  <c r="O111" i="25" s="1"/>
  <c r="I53" i="25"/>
  <c r="O64" i="29"/>
  <c r="Q64" i="29" s="1"/>
  <c r="N73" i="29"/>
  <c r="O73" i="29" s="1"/>
  <c r="Q73" i="29" s="1"/>
  <c r="N17" i="29"/>
  <c r="O17" i="29" s="1"/>
  <c r="Q17" i="29" s="1"/>
  <c r="O15" i="29"/>
  <c r="Q15" i="29" s="1"/>
  <c r="N12" i="29"/>
  <c r="O9" i="29"/>
  <c r="Q9" i="29" s="1"/>
  <c r="N41" i="29"/>
  <c r="O41" i="29" s="1"/>
  <c r="Q41" i="29" s="1"/>
  <c r="O20" i="29"/>
  <c r="Q20" i="29" s="1"/>
  <c r="O44" i="29"/>
  <c r="Q44" i="29" s="1"/>
  <c r="N48" i="29"/>
  <c r="O48" i="29" s="1"/>
  <c r="Q48" i="29" s="1"/>
  <c r="N69" i="26"/>
  <c r="N88" i="26" s="1"/>
  <c r="N104" i="26"/>
  <c r="J98" i="25"/>
  <c r="J123" i="25"/>
  <c r="J75" i="29"/>
  <c r="K75" i="29" s="1"/>
  <c r="G122" i="26"/>
  <c r="G125" i="25"/>
  <c r="J78" i="28"/>
  <c r="J82" i="28" s="1"/>
  <c r="J33" i="26"/>
  <c r="M33" i="26" s="1"/>
  <c r="N33" i="26" s="1"/>
  <c r="I50" i="26"/>
  <c r="K66" i="26" l="1"/>
  <c r="M46" i="26"/>
  <c r="M48" i="26" s="1"/>
  <c r="N46" i="26"/>
  <c r="N48" i="26" s="1"/>
  <c r="N91" i="26"/>
  <c r="N95" i="26" s="1"/>
  <c r="J50" i="26"/>
  <c r="K50" i="26"/>
  <c r="K122" i="26" s="1"/>
  <c r="M120" i="26"/>
  <c r="N111" i="26"/>
  <c r="N120" i="26" s="1"/>
  <c r="N53" i="26"/>
  <c r="N66" i="26" s="1"/>
  <c r="N36" i="26"/>
  <c r="N43" i="26" s="1"/>
  <c r="M9" i="26"/>
  <c r="O76" i="28"/>
  <c r="O89" i="28" s="1"/>
  <c r="O91" i="28" s="1"/>
  <c r="M89" i="28"/>
  <c r="M91" i="28" s="1"/>
  <c r="O72" i="25"/>
  <c r="O91" i="25" s="1"/>
  <c r="K125" i="25"/>
  <c r="K129" i="25" s="1"/>
  <c r="M84" i="28"/>
  <c r="M114" i="25"/>
  <c r="O49" i="25"/>
  <c r="O51" i="25" s="1"/>
  <c r="M56" i="25"/>
  <c r="M12" i="25"/>
  <c r="M36" i="25"/>
  <c r="O26" i="25"/>
  <c r="O36" i="25" s="1"/>
  <c r="O84" i="28"/>
  <c r="O51" i="28"/>
  <c r="O47" i="28"/>
  <c r="O20" i="28"/>
  <c r="O18" i="28"/>
  <c r="J53" i="25"/>
  <c r="G129" i="25"/>
  <c r="L75" i="29"/>
  <c r="N75" i="29"/>
  <c r="O75" i="29" s="1"/>
  <c r="O12" i="29"/>
  <c r="Q12" i="29" s="1"/>
  <c r="I122" i="26"/>
  <c r="T9" i="29"/>
  <c r="T12" i="29" s="1"/>
  <c r="T20" i="29"/>
  <c r="T41" i="29" s="1"/>
  <c r="T44" i="29"/>
  <c r="T48" i="29" s="1"/>
  <c r="T15" i="29"/>
  <c r="T17" i="29" s="1"/>
  <c r="T64" i="29"/>
  <c r="T73" i="29" s="1"/>
  <c r="J122" i="26"/>
  <c r="I125" i="25"/>
  <c r="I129" i="25" s="1"/>
  <c r="M20" i="26" l="1"/>
  <c r="M50" i="26" s="1"/>
  <c r="N9" i="26"/>
  <c r="N20" i="26" s="1"/>
  <c r="N50" i="26" s="1"/>
  <c r="M122" i="26"/>
  <c r="M123" i="25"/>
  <c r="M135" i="25" s="1"/>
  <c r="M137" i="25" s="1"/>
  <c r="O114" i="25"/>
  <c r="O123" i="25" s="1"/>
  <c r="O135" i="25" s="1"/>
  <c r="O137" i="25" s="1"/>
  <c r="O56" i="25"/>
  <c r="O69" i="25" s="1"/>
  <c r="M23" i="25"/>
  <c r="O12" i="25"/>
  <c r="O23" i="25" s="1"/>
  <c r="O53" i="25" s="1"/>
  <c r="M78" i="28"/>
  <c r="J125" i="25"/>
  <c r="P125" i="25" s="1"/>
  <c r="Q75" i="29"/>
  <c r="T75" i="29"/>
  <c r="O125" i="25" l="1"/>
  <c r="O129" i="25" s="1"/>
  <c r="M125" i="25"/>
  <c r="M129" i="25" s="1"/>
  <c r="O78" i="28"/>
  <c r="O82" i="28" s="1"/>
  <c r="M82" i="28"/>
  <c r="J129" i="25"/>
  <c r="M131" i="25" s="1"/>
  <c r="N122" i="26"/>
  <c r="O131" i="25" l="1"/>
  <c r="C124" i="27"/>
</calcChain>
</file>

<file path=xl/sharedStrings.xml><?xml version="1.0" encoding="utf-8"?>
<sst xmlns="http://schemas.openxmlformats.org/spreadsheetml/2006/main" count="642" uniqueCount="233">
  <si>
    <t>Total</t>
  </si>
  <si>
    <t>Adjusted</t>
  </si>
  <si>
    <t>Transmission</t>
  </si>
  <si>
    <t>Total Transmission</t>
  </si>
  <si>
    <t>Distribution</t>
  </si>
  <si>
    <t>Total Distribution</t>
  </si>
  <si>
    <t>Customer Accounts</t>
  </si>
  <si>
    <t>Total Cust Accounts</t>
  </si>
  <si>
    <t>Cust Service &amp; Info</t>
  </si>
  <si>
    <t>Total Cust Svc &amp; Info</t>
  </si>
  <si>
    <t>Sales</t>
  </si>
  <si>
    <t>Total Sales</t>
  </si>
  <si>
    <t>Admin &amp; General</t>
  </si>
  <si>
    <t>Total Admin &amp; General</t>
  </si>
  <si>
    <t>Direct</t>
  </si>
  <si>
    <t>Alloc</t>
  </si>
  <si>
    <t>Allocated</t>
  </si>
  <si>
    <t>TOTAL</t>
  </si>
  <si>
    <t>Number of Cust</t>
  </si>
  <si>
    <t>Distr Op Exp</t>
  </si>
  <si>
    <t>4-Factor</t>
  </si>
  <si>
    <t>Total Allocated</t>
  </si>
  <si>
    <t>Percentage Increase Adjustments</t>
  </si>
  <si>
    <t>AVISTA UTILITIES</t>
  </si>
  <si>
    <t>Natural Gas System Labor Dollars</t>
  </si>
  <si>
    <t>Throughput</t>
  </si>
  <si>
    <t>a</t>
  </si>
  <si>
    <t>UNION</t>
  </si>
  <si>
    <t>Total Production</t>
  </si>
  <si>
    <t>Total Underground Storage</t>
  </si>
  <si>
    <t>Total WA</t>
  </si>
  <si>
    <t>Production</t>
  </si>
  <si>
    <t>Steam</t>
  </si>
  <si>
    <t>Supervision &amp; Eng.</t>
  </si>
  <si>
    <t>Fuel</t>
  </si>
  <si>
    <t>Steam Expense</t>
  </si>
  <si>
    <t>Electric Expense</t>
  </si>
  <si>
    <t>Misc. Steam Pwr. Exp.</t>
  </si>
  <si>
    <t>Structures</t>
  </si>
  <si>
    <t>Boiler Plant</t>
  </si>
  <si>
    <t>Electric Plant</t>
  </si>
  <si>
    <t>Misc. Steam Plant</t>
  </si>
  <si>
    <t>Total Steam</t>
  </si>
  <si>
    <t>Hydro</t>
  </si>
  <si>
    <t>Water For Power</t>
  </si>
  <si>
    <t>Hydraulic Expense</t>
  </si>
  <si>
    <t>Misc. Hydro Expense</t>
  </si>
  <si>
    <t>Res., Dams &amp; Wtrways</t>
  </si>
  <si>
    <t>Misc. Hydro Plant</t>
  </si>
  <si>
    <t>Total Hydro</t>
  </si>
  <si>
    <t>Other Generation</t>
  </si>
  <si>
    <t>Generation Expense</t>
  </si>
  <si>
    <t>Misc. Other Gen.</t>
  </si>
  <si>
    <t>Gen. &amp; Elec. Equip.</t>
  </si>
  <si>
    <t>Misc. Other Gen. Plant</t>
  </si>
  <si>
    <t>Total Other Generation</t>
  </si>
  <si>
    <t>Other Power Supply</t>
  </si>
  <si>
    <t>Sys. Cntrol &amp; Ld. Disp.</t>
  </si>
  <si>
    <t>Other Expense</t>
  </si>
  <si>
    <t>Total Other Power Supply</t>
  </si>
  <si>
    <t>Load Dispatching</t>
  </si>
  <si>
    <t>Station Expense</t>
  </si>
  <si>
    <t>Overhead Line Exp.</t>
  </si>
  <si>
    <t>Underground Line Exp.</t>
  </si>
  <si>
    <t>Misc. Trans. Exp.</t>
  </si>
  <si>
    <t>Station Equip.</t>
  </si>
  <si>
    <t>Overhead Lines</t>
  </si>
  <si>
    <t>Underground Lines</t>
  </si>
  <si>
    <t>Misc. Trans. Plant</t>
  </si>
  <si>
    <t>St. Lt. &amp; Signl. Sys.</t>
  </si>
  <si>
    <t>Meter Expense</t>
  </si>
  <si>
    <t>Cust. Install. Expense</t>
  </si>
  <si>
    <t>Misc. Dist. Expense</t>
  </si>
  <si>
    <t>Rent</t>
  </si>
  <si>
    <t>Station Equipment</t>
  </si>
  <si>
    <t>Undergrd. Lines</t>
  </si>
  <si>
    <t>Line Transformers</t>
  </si>
  <si>
    <t xml:space="preserve">St. Lt. &amp; Signl. Sys. </t>
  </si>
  <si>
    <t>Meters</t>
  </si>
  <si>
    <t>Supervision</t>
  </si>
  <si>
    <t>Meter Reading Exp.</t>
  </si>
  <si>
    <t>Cust. Records &amp; Coll.</t>
  </si>
  <si>
    <t>Misc. Cust. Accts.</t>
  </si>
  <si>
    <t>Cust. Assistance Exp.</t>
  </si>
  <si>
    <t>Advertising</t>
  </si>
  <si>
    <t>Miscellaneous</t>
  </si>
  <si>
    <t>Demonstrating &amp; Selling</t>
  </si>
  <si>
    <t>Misc Cust Serv &amp; Info</t>
  </si>
  <si>
    <t>Salaries</t>
  </si>
  <si>
    <t>Office Supplies &amp; Exp.</t>
  </si>
  <si>
    <t>Outside Services</t>
  </si>
  <si>
    <t>Injuries &amp; Damages</t>
  </si>
  <si>
    <t>Empl. Pensions &amp; Bene.</t>
  </si>
  <si>
    <t>Franchise Requirements</t>
  </si>
  <si>
    <t>Reg. Comm. Expenses</t>
  </si>
  <si>
    <t>Misc. General Exp.</t>
  </si>
  <si>
    <t>Mtce. of Gen. Plant</t>
  </si>
  <si>
    <t>Total Electric Labor</t>
  </si>
  <si>
    <t>Adjusted Electric Labor Dollars - Idaho</t>
  </si>
  <si>
    <t>Total ID</t>
  </si>
  <si>
    <t>Electric System Labor Dollars</t>
  </si>
  <si>
    <t>Wash</t>
  </si>
  <si>
    <t>Idaho</t>
  </si>
  <si>
    <t>WA</t>
  </si>
  <si>
    <t>ID</t>
  </si>
  <si>
    <t>P/T Ratio</t>
  </si>
  <si>
    <t>Total Admin &amp; Gen</t>
  </si>
  <si>
    <t>Adjusted Natural Gas System Labor Dollars - Washington</t>
  </si>
  <si>
    <t>Underground Storage</t>
  </si>
  <si>
    <t>Adjusted Natural Gas System Labor Dollars - Idaho</t>
  </si>
  <si>
    <t>Four Factor</t>
  </si>
  <si>
    <t>Therms Purchased</t>
  </si>
  <si>
    <t>System Contract Demand</t>
  </si>
  <si>
    <t>Summary</t>
  </si>
  <si>
    <t>Washington and Idaho</t>
  </si>
  <si>
    <t>Total WA &amp; ID Gas Labor</t>
  </si>
  <si>
    <t>Total ID Adj</t>
  </si>
  <si>
    <t>Total ID Gas Labor</t>
  </si>
  <si>
    <t>Source:  E-ALL-12A</t>
  </si>
  <si>
    <t>Source:  G-ALL-12A</t>
  </si>
  <si>
    <t>Sum</t>
  </si>
  <si>
    <t>807.xx</t>
  </si>
  <si>
    <t>807-Administrative Expenses</t>
  </si>
  <si>
    <t>807-Purchased Gas Expenses</t>
  </si>
  <si>
    <t>813-Other Gas Expenses</t>
  </si>
  <si>
    <t>814-Oper. supervision &amp; engineering</t>
  </si>
  <si>
    <t>820-Meas. &amp; reg. station expenses</t>
  </si>
  <si>
    <t>870-Oper. supervision &amp; engineering</t>
  </si>
  <si>
    <t>871-Distribution Load Dispatching</t>
  </si>
  <si>
    <t>874-Mains &amp; services expenses</t>
  </si>
  <si>
    <t>875-Meas. &amp; reg. station exp.-General</t>
  </si>
  <si>
    <t>876-Meas. &amp; reg. station exp.-Industrial</t>
  </si>
  <si>
    <t>877-Meas. &amp; reg. station exp.-City gate</t>
  </si>
  <si>
    <t>878-Meter &amp; house regulator expenses</t>
  </si>
  <si>
    <t>879-Customer installations expenses</t>
  </si>
  <si>
    <t>880-Other expenses</t>
  </si>
  <si>
    <t>885-Maint. supervision &amp; engineering</t>
  </si>
  <si>
    <t>886-Structures &amp; Improvements</t>
  </si>
  <si>
    <t>887-Maint. of mains</t>
  </si>
  <si>
    <t>889-Maint. meas. &amp; reg. st. equip.-General</t>
  </si>
  <si>
    <t>890-Maint. meas. &amp; reg. st. equip.-Indust</t>
  </si>
  <si>
    <t>891-Maint. meas. &amp; reg. st. equip.-City gate</t>
  </si>
  <si>
    <t>892-Maint. of services &amp; lines</t>
  </si>
  <si>
    <t>893-Maint. meters &amp; house regulators</t>
  </si>
  <si>
    <t>901-Supervision</t>
  </si>
  <si>
    <t>902-Meter reading expenses</t>
  </si>
  <si>
    <t>903-Customer records &amp; collection exp</t>
  </si>
  <si>
    <t>905- Misc. customer accounts expenses</t>
  </si>
  <si>
    <t>908-Customer assistance expenses</t>
  </si>
  <si>
    <t>909-Advertising</t>
  </si>
  <si>
    <t>910-Misc Customer Service &amp; Info Exp</t>
  </si>
  <si>
    <t>911-Supervision</t>
  </si>
  <si>
    <t>912-Demonstrating &amp; selling expenses</t>
  </si>
  <si>
    <t>913-Advertising</t>
  </si>
  <si>
    <t>916- Misc Sales Expense</t>
  </si>
  <si>
    <t>920-Administrative &amp; general salaries</t>
  </si>
  <si>
    <t>923-Outside services employed</t>
  </si>
  <si>
    <t>924-Property insurance</t>
  </si>
  <si>
    <t>925-Injuries &amp; damages</t>
  </si>
  <si>
    <t>928-Regulatory commission expenses</t>
  </si>
  <si>
    <t>930-Misc. general expenses</t>
  </si>
  <si>
    <t>935-Maintenance of general plant</t>
  </si>
  <si>
    <t>890-Maint. meas. &amp; reg. st. equip.-Industrial</t>
  </si>
  <si>
    <t>903-Customer records &amp; collection expenses</t>
  </si>
  <si>
    <t xml:space="preserve">ADMIN </t>
  </si>
  <si>
    <t>Total Oth Power Supply</t>
  </si>
  <si>
    <t>Allocation Factors</t>
  </si>
  <si>
    <t xml:space="preserve">Allocation Factors: </t>
  </si>
  <si>
    <t>881-Rents</t>
  </si>
  <si>
    <t>Ferc Acct</t>
  </si>
  <si>
    <t>2011 to 2013</t>
  </si>
  <si>
    <t>Adjusted Electric Labor Dollars - Washington</t>
  </si>
  <si>
    <t>Acct Year</t>
  </si>
  <si>
    <t>Amount to Allocate</t>
  </si>
  <si>
    <t>Direct Washington</t>
  </si>
  <si>
    <t>Transmission Rent</t>
  </si>
  <si>
    <t>Admin Expense</t>
  </si>
  <si>
    <t>Transmission Rents</t>
  </si>
  <si>
    <t>557/558</t>
  </si>
  <si>
    <t>WA Total</t>
  </si>
  <si>
    <t>ID Total</t>
  </si>
  <si>
    <t>Electric Adjusted Total</t>
  </si>
  <si>
    <t>Pro-Forma Labor</t>
  </si>
  <si>
    <t>I</t>
  </si>
  <si>
    <t>Test Period Labor</t>
  </si>
  <si>
    <t>FLB-TP 2.02</t>
  </si>
  <si>
    <t>Test Period</t>
  </si>
  <si>
    <t>2016 incentive</t>
  </si>
  <si>
    <t>2016 Adjustment</t>
  </si>
  <si>
    <t xml:space="preserve">YE 2016 </t>
  </si>
  <si>
    <t>YE 2018</t>
  </si>
  <si>
    <t xml:space="preserve">Total  </t>
  </si>
  <si>
    <t>Total To Allocated AA and AN</t>
  </si>
  <si>
    <t xml:space="preserve">*excludes Officer </t>
  </si>
  <si>
    <t>Adjustment</t>
  </si>
  <si>
    <t>Total Customer Accounts</t>
  </si>
  <si>
    <t>Total Labor</t>
  </si>
  <si>
    <t>check</t>
  </si>
  <si>
    <t>Natural Gas</t>
  </si>
  <si>
    <t>Electric</t>
  </si>
  <si>
    <t>Note: Expenses primarily comprised of regular labor, paid time off loading, and overtime (does not include payroll tax).</t>
  </si>
  <si>
    <t>Adjustment % to annualize Increase</t>
  </si>
  <si>
    <t>2018-2020</t>
  </si>
  <si>
    <t>March 26, 2018 increase</t>
  </si>
  <si>
    <t>Factor to adjust Jan 1 2018 - March 26, 2018</t>
  </si>
  <si>
    <t>Annualize</t>
  </si>
  <si>
    <t>2018 Increase</t>
  </si>
  <si>
    <t>2019 Adjustment</t>
  </si>
  <si>
    <t>2020 Adjustment</t>
  </si>
  <si>
    <t>Subtotal Actual  Electric Labor</t>
  </si>
  <si>
    <t>Hydro One Reclass Labor</t>
  </si>
  <si>
    <t>Union Only</t>
  </si>
  <si>
    <t>Sub Total WA  Gas Labor</t>
  </si>
  <si>
    <t>Hydro One Labor Reclass</t>
  </si>
  <si>
    <t>Total WA Gas Labor</t>
  </si>
  <si>
    <t>Alloc Factor</t>
  </si>
  <si>
    <t>March 5, 2018 increase</t>
  </si>
  <si>
    <t>Actual</t>
  </si>
  <si>
    <t>Hydro One Reclass</t>
  </si>
  <si>
    <t>Annualize 2018</t>
  </si>
  <si>
    <t>March 27, 2019 - March 26, 2020</t>
  </si>
  <si>
    <t>This annualizes 12 ME 12.31.2018</t>
  </si>
  <si>
    <t>(Reflects 9 months of March Increase)</t>
  </si>
  <si>
    <t>Factor to adjust Jan 1 2018 - March 4, 2018</t>
  </si>
  <si>
    <t>March 5, 2019 - March 4, 2020</t>
  </si>
  <si>
    <t>March 5, 2020 - December 31, 2020</t>
  </si>
  <si>
    <t>March 27, 2020 - December 31, 2020</t>
  </si>
  <si>
    <t>(Reflects 10 months of March Increase)</t>
  </si>
  <si>
    <t>(January 1, 2021 - Dec 31, 2021)</t>
  </si>
  <si>
    <t>(reflects 3 months of 2020 increase, plus 9 months of 2021 increase)</t>
  </si>
  <si>
    <t>2021 Adjustment</t>
  </si>
  <si>
    <t>(reflects 2 months of 2020 increase, plus 10 months of 2021 increase)</t>
  </si>
  <si>
    <t>Crane 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</si>
</sst>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Union &quot;0.000%"/>
    <numFmt numFmtId="166" formatCode="_(* #,##0_);_(* \(#,##0\);_(* &quot;-&quot;??_);_(@_)"/>
    <numFmt numFmtId="167" formatCode="&quot;Admin &quot;0.000%"/>
    <numFmt numFmtId="168" formatCode="#,###,###,###,###.00"/>
    <numFmt numFmtId="169" formatCode="_(&quot;$&quot;* #,##0_);_(&quot;$&quot;* \(#,##0\);_(&quot;$&quot;* &quot;-&quot;??_);_(@_)"/>
    <numFmt numFmtId="170" formatCode="0.000"/>
  </numFmts>
  <fonts count="42">
    <font>
      <sz val="10"/>
      <name val="Times New Roman"/>
    </font>
    <font>
      <sz val="10"/>
      <name val="Times New Roman"/>
      <family val="1"/>
    </font>
    <font>
      <sz val="10"/>
      <name val="Geneva"/>
    </font>
    <font>
      <u/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8"/>
      <color indexed="10"/>
      <name val="Times New Roman"/>
      <family val="1"/>
    </font>
    <font>
      <sz val="10"/>
      <color indexed="12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  <font>
      <sz val="10"/>
      <color indexed="8"/>
      <name val="MS Sans Serif"/>
      <family val="2"/>
    </font>
    <font>
      <i/>
      <sz val="10"/>
      <name val="Times New Roman"/>
      <family val="1"/>
    </font>
    <font>
      <i/>
      <sz val="10"/>
      <color indexed="10"/>
      <name val="Times New Roman"/>
      <family val="1"/>
    </font>
    <font>
      <b/>
      <i/>
      <sz val="10"/>
      <name val="Times New Roman"/>
      <family val="1"/>
    </font>
    <font>
      <i/>
      <sz val="10"/>
      <color indexed="12"/>
      <name val="Times New Roman"/>
      <family val="1"/>
    </font>
    <font>
      <sz val="10"/>
      <color indexed="14"/>
      <name val="Times New Roman"/>
      <family val="1"/>
    </font>
    <font>
      <b/>
      <sz val="10"/>
      <color indexed="12"/>
      <name val="Times New Roman"/>
      <family val="1"/>
    </font>
    <font>
      <sz val="9"/>
      <name val="Times New Roman"/>
      <family val="1"/>
    </font>
    <font>
      <u/>
      <sz val="9.9499999999999993"/>
      <color indexed="8"/>
      <name val="Times New Roman"/>
      <family val="1"/>
    </font>
    <font>
      <sz val="10"/>
      <name val="Tahoma"/>
      <family val="2"/>
    </font>
    <font>
      <sz val="10"/>
      <name val="NewCenturySchlbk"/>
    </font>
    <font>
      <sz val="10"/>
      <name val="NewCenturySchlbk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theme="0"/>
      <name val="Times New Roman"/>
      <family val="1"/>
    </font>
    <font>
      <u/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sz val="8"/>
      <color indexed="10"/>
      <name val="Times New Roman"/>
      <family val="1"/>
    </font>
    <font>
      <b/>
      <u/>
      <sz val="10"/>
      <color rgb="FFFF0000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rgb="FF3333FF"/>
      <name val="Times New Roman"/>
      <family val="1"/>
    </font>
    <font>
      <b/>
      <sz val="12"/>
      <color rgb="FF3333FF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8"/>
      </left>
      <right/>
      <top style="double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1" fillId="0" borderId="0"/>
    <xf numFmtId="0" fontId="5" fillId="0" borderId="0"/>
    <xf numFmtId="0" fontId="1" fillId="0" borderId="0"/>
    <xf numFmtId="0" fontId="2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96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39" fontId="6" fillId="0" borderId="0" xfId="0" applyNumberFormat="1" applyFont="1"/>
    <xf numFmtId="39" fontId="6" fillId="0" borderId="0" xfId="0" applyNumberFormat="1" applyFont="1" applyBorder="1"/>
    <xf numFmtId="0" fontId="4" fillId="0" borderId="0" xfId="11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4" fillId="0" borderId="0" xfId="10" applyFont="1" applyAlignment="1">
      <alignment horizontal="left"/>
    </xf>
    <xf numFmtId="0" fontId="6" fillId="0" borderId="0" xfId="10" applyFont="1"/>
    <xf numFmtId="0" fontId="6" fillId="0" borderId="0" xfId="10" applyFont="1" applyAlignment="1">
      <alignment horizontal="left"/>
    </xf>
    <xf numFmtId="0" fontId="6" fillId="0" borderId="0" xfId="10" applyFont="1" applyAlignment="1">
      <alignment horizontal="right"/>
    </xf>
    <xf numFmtId="37" fontId="6" fillId="0" borderId="0" xfId="0" applyNumberFormat="1" applyFont="1"/>
    <xf numFmtId="37" fontId="6" fillId="0" borderId="0" xfId="0" applyNumberFormat="1" applyFont="1" applyBorder="1"/>
    <xf numFmtId="37" fontId="4" fillId="0" borderId="0" xfId="1" applyNumberFormat="1" applyFont="1"/>
    <xf numFmtId="37" fontId="6" fillId="0" borderId="0" xfId="1" applyNumberFormat="1" applyFont="1"/>
    <xf numFmtId="37" fontId="6" fillId="0" borderId="2" xfId="10" applyNumberFormat="1" applyFont="1" applyBorder="1"/>
    <xf numFmtId="37" fontId="6" fillId="0" borderId="0" xfId="10" applyNumberFormat="1" applyFont="1"/>
    <xf numFmtId="0" fontId="10" fillId="0" borderId="0" xfId="11" applyFont="1"/>
    <xf numFmtId="0" fontId="13" fillId="0" borderId="0" xfId="0" applyFont="1"/>
    <xf numFmtId="0" fontId="6" fillId="0" borderId="0" xfId="0" applyFont="1" applyBorder="1" applyAlignment="1">
      <alignment horizontal="center"/>
    </xf>
    <xf numFmtId="37" fontId="6" fillId="0" borderId="0" xfId="10" applyNumberFormat="1" applyFont="1" applyBorder="1"/>
    <xf numFmtId="0" fontId="12" fillId="0" borderId="0" xfId="11" applyFont="1" applyBorder="1"/>
    <xf numFmtId="164" fontId="14" fillId="0" borderId="0" xfId="11" applyNumberFormat="1" applyFont="1" applyBorder="1"/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4" fillId="0" borderId="0" xfId="0" applyFont="1" applyAlignment="1">
      <alignment horizontal="left"/>
    </xf>
    <xf numFmtId="0" fontId="7" fillId="0" borderId="0" xfId="0" applyFont="1"/>
    <xf numFmtId="37" fontId="6" fillId="0" borderId="2" xfId="0" applyNumberFormat="1" applyFont="1" applyBorder="1"/>
    <xf numFmtId="0" fontId="15" fillId="0" borderId="0" xfId="0" applyFont="1"/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39" fontId="8" fillId="0" borderId="0" xfId="0" applyNumberFormat="1" applyFont="1"/>
    <xf numFmtId="164" fontId="6" fillId="0" borderId="0" xfId="0" applyNumberFormat="1" applyFont="1"/>
    <xf numFmtId="39" fontId="6" fillId="0" borderId="2" xfId="0" applyNumberFormat="1" applyFont="1" applyBorder="1"/>
    <xf numFmtId="37" fontId="6" fillId="0" borderId="0" xfId="1" applyNumberFormat="1" applyFont="1" applyBorder="1"/>
    <xf numFmtId="37" fontId="4" fillId="0" borderId="0" xfId="1" applyNumberFormat="1" applyFont="1" applyBorder="1"/>
    <xf numFmtId="0" fontId="6" fillId="0" borderId="1" xfId="10" applyFont="1" applyBorder="1" applyAlignment="1">
      <alignment horizontal="right"/>
    </xf>
    <xf numFmtId="164" fontId="6" fillId="0" borderId="0" xfId="10" applyNumberFormat="1" applyFont="1"/>
    <xf numFmtId="39" fontId="6" fillId="0" borderId="0" xfId="10" applyNumberFormat="1" applyFont="1"/>
    <xf numFmtId="39" fontId="6" fillId="0" borderId="2" xfId="10" applyNumberFormat="1" applyFont="1" applyBorder="1"/>
    <xf numFmtId="37" fontId="4" fillId="0" borderId="0" xfId="0" applyNumberFormat="1" applyFont="1"/>
    <xf numFmtId="0" fontId="9" fillId="0" borderId="0" xfId="10" applyFont="1" applyAlignment="1">
      <alignment horizontal="left"/>
    </xf>
    <xf numFmtId="164" fontId="4" fillId="0" borderId="0" xfId="11" applyNumberFormat="1" applyFont="1" applyBorder="1"/>
    <xf numFmtId="39" fontId="8" fillId="0" borderId="0" xfId="10" applyNumberFormat="1" applyFont="1"/>
    <xf numFmtId="2" fontId="6" fillId="0" borderId="0" xfId="10" applyNumberFormat="1" applyFont="1" applyAlignment="1">
      <alignment horizontal="left"/>
    </xf>
    <xf numFmtId="0" fontId="6" fillId="2" borderId="0" xfId="0" applyFont="1" applyFill="1"/>
    <xf numFmtId="39" fontId="6" fillId="2" borderId="2" xfId="0" applyNumberFormat="1" applyFont="1" applyFill="1" applyBorder="1"/>
    <xf numFmtId="39" fontId="6" fillId="2" borderId="2" xfId="10" applyNumberFormat="1" applyFont="1" applyFill="1" applyBorder="1"/>
    <xf numFmtId="0" fontId="6" fillId="3" borderId="0" xfId="0" applyFont="1" applyFill="1" applyAlignment="1">
      <alignment horizontal="left"/>
    </xf>
    <xf numFmtId="0" fontId="6" fillId="3" borderId="0" xfId="0" applyFont="1" applyFill="1"/>
    <xf numFmtId="0" fontId="6" fillId="3" borderId="0" xfId="10" applyFont="1" applyFill="1" applyAlignment="1">
      <alignment horizontal="left"/>
    </xf>
    <xf numFmtId="10" fontId="16" fillId="0" borderId="0" xfId="11" applyNumberFormat="1" applyFont="1" applyFill="1"/>
    <xf numFmtId="39" fontId="6" fillId="0" borderId="0" xfId="0" applyNumberFormat="1" applyFont="1" applyFill="1"/>
    <xf numFmtId="37" fontId="6" fillId="2" borderId="2" xfId="10" applyNumberFormat="1" applyFont="1" applyFill="1" applyBorder="1"/>
    <xf numFmtId="0" fontId="8" fillId="0" borderId="0" xfId="0" applyFont="1" applyAlignment="1">
      <alignment horizontal="center"/>
    </xf>
    <xf numFmtId="0" fontId="8" fillId="0" borderId="0" xfId="11" applyFont="1"/>
    <xf numFmtId="0" fontId="18" fillId="0" borderId="0" xfId="10" applyFont="1" applyAlignment="1">
      <alignment horizontal="left"/>
    </xf>
    <xf numFmtId="0" fontId="18" fillId="0" borderId="0" xfId="0" applyFont="1"/>
    <xf numFmtId="0" fontId="6" fillId="0" borderId="0" xfId="0" applyFont="1" applyFill="1" applyBorder="1"/>
    <xf numFmtId="39" fontId="6" fillId="0" borderId="2" xfId="10" applyNumberFormat="1" applyFont="1" applyFill="1" applyBorder="1"/>
    <xf numFmtId="10" fontId="8" fillId="0" borderId="0" xfId="11" applyNumberFormat="1" applyFont="1" applyFill="1"/>
    <xf numFmtId="0" fontId="8" fillId="0" borderId="0" xfId="11" applyFont="1" applyFill="1" applyAlignment="1">
      <alignment horizontal="center"/>
    </xf>
    <xf numFmtId="164" fontId="6" fillId="0" borderId="0" xfId="10" applyNumberFormat="1" applyFont="1" applyFill="1"/>
    <xf numFmtId="43" fontId="6" fillId="0" borderId="0" xfId="10" applyNumberFormat="1" applyFont="1"/>
    <xf numFmtId="39" fontId="6" fillId="0" borderId="0" xfId="0" applyNumberFormat="1" applyFont="1" applyFill="1" applyBorder="1"/>
    <xf numFmtId="0" fontId="6" fillId="0" borderId="0" xfId="10" applyFont="1" applyFill="1"/>
    <xf numFmtId="39" fontId="12" fillId="0" borderId="0" xfId="0" applyNumberFormat="1" applyFont="1"/>
    <xf numFmtId="39" fontId="12" fillId="0" borderId="2" xfId="0" applyNumberFormat="1" applyFont="1" applyBorder="1"/>
    <xf numFmtId="43" fontId="6" fillId="0" borderId="0" xfId="0" applyNumberFormat="1" applyFont="1"/>
    <xf numFmtId="0" fontId="4" fillId="0" borderId="0" xfId="0" applyFont="1"/>
    <xf numFmtId="0" fontId="17" fillId="0" borderId="0" xfId="0" applyFont="1" applyBorder="1" applyAlignment="1">
      <alignment horizontal="center"/>
    </xf>
    <xf numFmtId="0" fontId="4" fillId="0" borderId="0" xfId="0" applyFont="1" applyBorder="1"/>
    <xf numFmtId="164" fontId="4" fillId="0" borderId="0" xfId="11" applyNumberFormat="1" applyFont="1" applyFill="1" applyBorder="1"/>
    <xf numFmtId="0" fontId="6" fillId="5" borderId="0" xfId="10" applyFont="1" applyFill="1"/>
    <xf numFmtId="0" fontId="6" fillId="5" borderId="0" xfId="0" applyFont="1" applyFill="1"/>
    <xf numFmtId="0" fontId="4" fillId="0" borderId="5" xfId="0" applyFont="1" applyFill="1" applyBorder="1"/>
    <xf numFmtId="0" fontId="6" fillId="0" borderId="1" xfId="1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4" fontId="8" fillId="0" borderId="0" xfId="0" applyNumberFormat="1" applyFont="1" applyFill="1"/>
    <xf numFmtId="164" fontId="6" fillId="0" borderId="0" xfId="0" applyNumberFormat="1" applyFont="1" applyFill="1"/>
    <xf numFmtId="0" fontId="4" fillId="0" borderId="5" xfId="10" applyFont="1" applyFill="1" applyBorder="1"/>
    <xf numFmtId="0" fontId="6" fillId="0" borderId="5" xfId="10" applyFont="1" applyFill="1" applyBorder="1"/>
    <xf numFmtId="0" fontId="6" fillId="0" borderId="0" xfId="10" applyFont="1" applyFill="1" applyAlignment="1">
      <alignment horizontal="right"/>
    </xf>
    <xf numFmtId="164" fontId="8" fillId="0" borderId="0" xfId="10" applyNumberFormat="1" applyFont="1" applyFill="1"/>
    <xf numFmtId="37" fontId="1" fillId="0" borderId="0" xfId="0" applyNumberFormat="1" applyFont="1"/>
    <xf numFmtId="43" fontId="6" fillId="0" borderId="0" xfId="10" applyNumberFormat="1" applyFont="1" applyFill="1"/>
    <xf numFmtId="37" fontId="1" fillId="0" borderId="2" xfId="0" applyNumberFormat="1" applyFont="1" applyBorder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66" fontId="25" fillId="0" borderId="0" xfId="1" applyNumberFormat="1" applyFont="1"/>
    <xf numFmtId="37" fontId="24" fillId="0" borderId="0" xfId="0" applyNumberFormat="1" applyFont="1" applyAlignment="1">
      <alignment horizontal="center"/>
    </xf>
    <xf numFmtId="37" fontId="24" fillId="0" borderId="0" xfId="10" applyNumberFormat="1" applyFont="1"/>
    <xf numFmtId="0" fontId="24" fillId="0" borderId="0" xfId="0" applyFont="1"/>
    <xf numFmtId="0" fontId="24" fillId="0" borderId="0" xfId="10" applyFont="1"/>
    <xf numFmtId="43" fontId="24" fillId="0" borderId="0" xfId="0" applyNumberFormat="1" applyFont="1" applyFill="1" applyAlignment="1">
      <alignment horizontal="center"/>
    </xf>
    <xf numFmtId="43" fontId="24" fillId="0" borderId="0" xfId="0" applyNumberFormat="1" applyFont="1" applyAlignment="1">
      <alignment horizontal="center"/>
    </xf>
    <xf numFmtId="39" fontId="6" fillId="0" borderId="2" xfId="0" applyNumberFormat="1" applyFont="1" applyFill="1" applyBorder="1"/>
    <xf numFmtId="39" fontId="12" fillId="0" borderId="2" xfId="0" applyNumberFormat="1" applyFont="1" applyFill="1" applyBorder="1"/>
    <xf numFmtId="39" fontId="12" fillId="0" borderId="0" xfId="0" applyNumberFormat="1" applyFont="1" applyFill="1"/>
    <xf numFmtId="39" fontId="13" fillId="0" borderId="2" xfId="0" applyNumberFormat="1" applyFont="1" applyFill="1" applyBorder="1"/>
    <xf numFmtId="39" fontId="13" fillId="0" borderId="0" xfId="0" applyNumberFormat="1" applyFont="1" applyFill="1"/>
    <xf numFmtId="0" fontId="23" fillId="0" borderId="0" xfId="11" applyFont="1"/>
    <xf numFmtId="165" fontId="26" fillId="0" borderId="0" xfId="0" applyNumberFormat="1" applyFont="1" applyAlignment="1">
      <alignment horizontal="center"/>
    </xf>
    <xf numFmtId="167" fontId="23" fillId="0" borderId="0" xfId="0" applyNumberFormat="1" applyFont="1" applyAlignment="1">
      <alignment horizontal="center"/>
    </xf>
    <xf numFmtId="0" fontId="27" fillId="0" borderId="0" xfId="0" applyFont="1"/>
    <xf numFmtId="0" fontId="27" fillId="0" borderId="0" xfId="0" applyFont="1" applyBorder="1"/>
    <xf numFmtId="0" fontId="1" fillId="0" borderId="0" xfId="11" applyFont="1"/>
    <xf numFmtId="0" fontId="1" fillId="0" borderId="0" xfId="11" applyFont="1" applyBorder="1"/>
    <xf numFmtId="0" fontId="6" fillId="6" borderId="0" xfId="0" applyFont="1" applyFill="1"/>
    <xf numFmtId="0" fontId="1" fillId="0" borderId="1" xfId="11" applyFont="1" applyFill="1" applyBorder="1"/>
    <xf numFmtId="0" fontId="23" fillId="0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39" fontId="23" fillId="0" borderId="3" xfId="0" applyNumberFormat="1" applyFont="1" applyFill="1" applyBorder="1"/>
    <xf numFmtId="164" fontId="23" fillId="0" borderId="0" xfId="0" applyNumberFormat="1" applyFont="1" applyFill="1" applyBorder="1"/>
    <xf numFmtId="164" fontId="6" fillId="0" borderId="0" xfId="0" applyNumberFormat="1" applyFont="1" applyBorder="1"/>
    <xf numFmtId="43" fontId="6" fillId="0" borderId="0" xfId="0" applyNumberFormat="1" applyFont="1" applyBorder="1"/>
    <xf numFmtId="0" fontId="1" fillId="0" borderId="0" xfId="11" applyFont="1" applyBorder="1" applyAlignment="1">
      <alignment horizontal="center"/>
    </xf>
    <xf numFmtId="0" fontId="16" fillId="0" borderId="0" xfId="11" applyFont="1"/>
    <xf numFmtId="0" fontId="28" fillId="0" borderId="0" xfId="11" applyFont="1"/>
    <xf numFmtId="164" fontId="1" fillId="5" borderId="4" xfId="11" applyNumberFormat="1" applyFont="1" applyFill="1" applyBorder="1"/>
    <xf numFmtId="164" fontId="24" fillId="0" borderId="0" xfId="11" applyNumberFormat="1" applyFont="1" applyBorder="1"/>
    <xf numFmtId="0" fontId="23" fillId="0" borderId="0" xfId="11" applyFont="1" applyBorder="1"/>
    <xf numFmtId="0" fontId="23" fillId="0" borderId="0" xfId="11" applyFont="1" applyFill="1" applyBorder="1"/>
    <xf numFmtId="0" fontId="25" fillId="0" borderId="0" xfId="11" applyFont="1" applyFill="1" applyBorder="1"/>
    <xf numFmtId="0" fontId="10" fillId="0" borderId="0" xfId="0" applyFont="1" applyBorder="1" applyAlignment="1">
      <alignment horizontal="center"/>
    </xf>
    <xf numFmtId="10" fontId="4" fillId="0" borderId="0" xfId="12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37" fontId="1" fillId="0" borderId="0" xfId="10" applyNumberFormat="1" applyFont="1"/>
    <xf numFmtId="37" fontId="1" fillId="0" borderId="0" xfId="0" applyNumberFormat="1" applyFont="1" applyBorder="1"/>
    <xf numFmtId="0" fontId="1" fillId="0" borderId="0" xfId="11" applyFont="1" applyFill="1"/>
    <xf numFmtId="39" fontId="6" fillId="0" borderId="3" xfId="0" applyNumberFormat="1" applyFont="1" applyFill="1" applyBorder="1"/>
    <xf numFmtId="37" fontId="4" fillId="0" borderId="2" xfId="0" applyNumberFormat="1" applyFont="1" applyBorder="1"/>
    <xf numFmtId="0" fontId="8" fillId="0" borderId="0" xfId="0" applyFont="1" applyBorder="1" applyAlignment="1">
      <alignment horizontal="center"/>
    </xf>
    <xf numFmtId="167" fontId="23" fillId="0" borderId="0" xfId="0" applyNumberFormat="1" applyFont="1" applyBorder="1" applyAlignment="1">
      <alignment horizontal="center"/>
    </xf>
    <xf numFmtId="165" fontId="26" fillId="0" borderId="0" xfId="0" applyNumberFormat="1" applyFont="1" applyBorder="1" applyAlignment="1">
      <alignment horizontal="center"/>
    </xf>
    <xf numFmtId="0" fontId="7" fillId="0" borderId="0" xfId="0" applyFont="1" applyBorder="1"/>
    <xf numFmtId="39" fontId="27" fillId="0" borderId="0" xfId="0" applyNumberFormat="1" applyFont="1" applyBorder="1"/>
    <xf numFmtId="0" fontId="17" fillId="5" borderId="20" xfId="0" applyFont="1" applyFill="1" applyBorder="1" applyAlignment="1">
      <alignment horizontal="center"/>
    </xf>
    <xf numFmtId="167" fontId="24" fillId="0" borderId="0" xfId="0" applyNumberFormat="1" applyFont="1" applyBorder="1" applyAlignment="1">
      <alignment horizontal="center"/>
    </xf>
    <xf numFmtId="165" fontId="30" fillId="0" borderId="0" xfId="0" applyNumberFormat="1" applyFont="1" applyBorder="1" applyAlignment="1">
      <alignment horizontal="center"/>
    </xf>
    <xf numFmtId="37" fontId="6" fillId="0" borderId="3" xfId="10" applyNumberFormat="1" applyFont="1" applyBorder="1"/>
    <xf numFmtId="0" fontId="6" fillId="5" borderId="20" xfId="10" applyFont="1" applyFill="1" applyBorder="1" applyAlignment="1">
      <alignment horizontal="right"/>
    </xf>
    <xf numFmtId="0" fontId="6" fillId="5" borderId="21" xfId="10" applyFont="1" applyFill="1" applyBorder="1" applyAlignment="1">
      <alignment horizontal="right"/>
    </xf>
    <xf numFmtId="0" fontId="6" fillId="5" borderId="22" xfId="10" applyFont="1" applyFill="1" applyBorder="1"/>
    <xf numFmtId="39" fontId="6" fillId="5" borderId="22" xfId="10" applyNumberFormat="1" applyFont="1" applyFill="1" applyBorder="1"/>
    <xf numFmtId="39" fontId="6" fillId="5" borderId="23" xfId="10" applyNumberFormat="1" applyFont="1" applyFill="1" applyBorder="1"/>
    <xf numFmtId="39" fontId="6" fillId="5" borderId="24" xfId="10" applyNumberFormat="1" applyFont="1" applyFill="1" applyBorder="1"/>
    <xf numFmtId="37" fontId="24" fillId="0" borderId="0" xfId="0" applyNumberFormat="1" applyFont="1" applyBorder="1"/>
    <xf numFmtId="39" fontId="23" fillId="0" borderId="0" xfId="0" applyNumberFormat="1" applyFont="1" applyFill="1" applyBorder="1"/>
    <xf numFmtId="0" fontId="6" fillId="5" borderId="20" xfId="0" applyFont="1" applyFill="1" applyBorder="1" applyAlignment="1">
      <alignment horizontal="right"/>
    </xf>
    <xf numFmtId="0" fontId="6" fillId="5" borderId="21" xfId="0" applyFont="1" applyFill="1" applyBorder="1" applyAlignment="1">
      <alignment horizontal="right"/>
    </xf>
    <xf numFmtId="0" fontId="6" fillId="5" borderId="22" xfId="0" applyFont="1" applyFill="1" applyBorder="1"/>
    <xf numFmtId="39" fontId="6" fillId="5" borderId="22" xfId="0" applyNumberFormat="1" applyFont="1" applyFill="1" applyBorder="1"/>
    <xf numFmtId="39" fontId="6" fillId="5" borderId="23" xfId="0" applyNumberFormat="1" applyFont="1" applyFill="1" applyBorder="1"/>
    <xf numFmtId="39" fontId="6" fillId="5" borderId="24" xfId="0" applyNumberFormat="1" applyFont="1" applyFill="1" applyBorder="1"/>
    <xf numFmtId="37" fontId="6" fillId="5" borderId="22" xfId="0" applyNumberFormat="1" applyFont="1" applyFill="1" applyBorder="1"/>
    <xf numFmtId="167" fontId="24" fillId="5" borderId="22" xfId="0" applyNumberFormat="1" applyFont="1" applyFill="1" applyBorder="1" applyAlignment="1">
      <alignment horizontal="center"/>
    </xf>
    <xf numFmtId="165" fontId="30" fillId="5" borderId="22" xfId="0" applyNumberFormat="1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37" fontId="6" fillId="5" borderId="23" xfId="10" applyNumberFormat="1" applyFont="1" applyFill="1" applyBorder="1"/>
    <xf numFmtId="37" fontId="6" fillId="5" borderId="22" xfId="10" applyNumberFormat="1" applyFont="1" applyFill="1" applyBorder="1"/>
    <xf numFmtId="37" fontId="6" fillId="5" borderId="24" xfId="10" applyNumberFormat="1" applyFont="1" applyFill="1" applyBorder="1"/>
    <xf numFmtId="168" fontId="32" fillId="4" borderId="7" xfId="7" applyNumberFormat="1" applyFont="1" applyFill="1" applyBorder="1" applyAlignment="1">
      <alignment horizontal="right" vertical="top"/>
    </xf>
    <xf numFmtId="0" fontId="32" fillId="0" borderId="7" xfId="0" applyFont="1" applyFill="1" applyBorder="1" applyAlignment="1">
      <alignment horizontal="left" vertical="top"/>
    </xf>
    <xf numFmtId="0" fontId="31" fillId="0" borderId="0" xfId="0" applyFont="1" applyFill="1"/>
    <xf numFmtId="0" fontId="31" fillId="0" borderId="0" xfId="0" applyFont="1" applyFill="1" applyBorder="1"/>
    <xf numFmtId="0" fontId="33" fillId="0" borderId="0" xfId="0" applyFont="1" applyFill="1"/>
    <xf numFmtId="0" fontId="34" fillId="0" borderId="7" xfId="0" applyFont="1" applyFill="1" applyBorder="1" applyAlignment="1">
      <alignment horizontal="left" vertical="top"/>
    </xf>
    <xf numFmtId="43" fontId="32" fillId="0" borderId="8" xfId="1" applyFont="1" applyFill="1" applyBorder="1" applyAlignment="1">
      <alignment horizontal="right" vertical="top"/>
    </xf>
    <xf numFmtId="43" fontId="32" fillId="0" borderId="9" xfId="1" applyFont="1" applyFill="1" applyBorder="1" applyAlignment="1">
      <alignment horizontal="right" vertical="top"/>
    </xf>
    <xf numFmtId="0" fontId="34" fillId="0" borderId="7" xfId="0" applyFont="1" applyFill="1" applyBorder="1" applyAlignment="1">
      <alignment horizontal="center" vertical="top" wrapText="1"/>
    </xf>
    <xf numFmtId="43" fontId="34" fillId="0" borderId="15" xfId="1" applyFont="1" applyFill="1" applyBorder="1" applyAlignment="1">
      <alignment horizontal="center" vertical="center" wrapText="1"/>
    </xf>
    <xf numFmtId="43" fontId="34" fillId="0" borderId="12" xfId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/>
    </xf>
    <xf numFmtId="43" fontId="32" fillId="0" borderId="13" xfId="1" applyFont="1" applyFill="1" applyBorder="1" applyAlignment="1">
      <alignment horizontal="right" vertical="top"/>
    </xf>
    <xf numFmtId="168" fontId="32" fillId="4" borderId="7" xfId="0" applyNumberFormat="1" applyFont="1" applyFill="1" applyBorder="1" applyAlignment="1">
      <alignment horizontal="right" vertical="top"/>
    </xf>
    <xf numFmtId="0" fontId="31" fillId="0" borderId="0" xfId="0" applyFont="1" applyFill="1" applyBorder="1" applyAlignment="1">
      <alignment horizontal="center"/>
    </xf>
    <xf numFmtId="168" fontId="32" fillId="0" borderId="0" xfId="0" applyNumberFormat="1" applyFont="1" applyFill="1" applyBorder="1" applyAlignment="1">
      <alignment horizontal="right" vertical="top"/>
    </xf>
    <xf numFmtId="10" fontId="31" fillId="0" borderId="0" xfId="0" applyNumberFormat="1" applyFont="1" applyFill="1" applyBorder="1"/>
    <xf numFmtId="43" fontId="31" fillId="0" borderId="0" xfId="1" applyFont="1" applyFill="1" applyBorder="1"/>
    <xf numFmtId="0" fontId="32" fillId="0" borderId="10" xfId="0" applyFont="1" applyFill="1" applyBorder="1" applyAlignment="1">
      <alignment horizontal="left" vertical="top"/>
    </xf>
    <xf numFmtId="0" fontId="33" fillId="0" borderId="16" xfId="0" applyFont="1" applyFill="1" applyBorder="1" applyAlignment="1">
      <alignment horizontal="left"/>
    </xf>
    <xf numFmtId="43" fontId="33" fillId="7" borderId="17" xfId="1" applyFont="1" applyFill="1" applyBorder="1" applyAlignment="1">
      <alignment horizontal="right"/>
    </xf>
    <xf numFmtId="0" fontId="31" fillId="0" borderId="0" xfId="0" applyFont="1" applyFill="1" applyAlignment="1">
      <alignment horizontal="left"/>
    </xf>
    <xf numFmtId="43" fontId="31" fillId="0" borderId="0" xfId="1" applyFont="1" applyFill="1" applyAlignment="1">
      <alignment horizontal="right"/>
    </xf>
    <xf numFmtId="43" fontId="34" fillId="0" borderId="11" xfId="1" applyFont="1" applyFill="1" applyBorder="1" applyAlignment="1">
      <alignment horizontal="right" vertical="top"/>
    </xf>
    <xf numFmtId="169" fontId="31" fillId="0" borderId="0" xfId="3" applyNumberFormat="1" applyFont="1" applyFill="1"/>
    <xf numFmtId="0" fontId="31" fillId="0" borderId="6" xfId="0" applyFont="1" applyFill="1" applyBorder="1" applyAlignment="1">
      <alignment horizontal="left"/>
    </xf>
    <xf numFmtId="0" fontId="33" fillId="0" borderId="6" xfId="0" applyFont="1" applyFill="1" applyBorder="1"/>
    <xf numFmtId="43" fontId="33" fillId="5" borderId="14" xfId="1" applyFont="1" applyFill="1" applyBorder="1" applyAlignment="1">
      <alignment horizontal="right"/>
    </xf>
    <xf numFmtId="43" fontId="31" fillId="0" borderId="0" xfId="1" applyFont="1" applyFill="1" applyBorder="1" applyAlignment="1">
      <alignment horizontal="right"/>
    </xf>
    <xf numFmtId="10" fontId="1" fillId="5" borderId="4" xfId="11" applyNumberFormat="1" applyFont="1" applyFill="1" applyBorder="1"/>
    <xf numFmtId="37" fontId="1" fillId="0" borderId="2" xfId="10" applyNumberFormat="1" applyFont="1" applyBorder="1"/>
    <xf numFmtId="0" fontId="6" fillId="0" borderId="1" xfId="10" applyFont="1" applyFill="1" applyBorder="1" applyAlignment="1">
      <alignment horizontal="right"/>
    </xf>
    <xf numFmtId="39" fontId="8" fillId="0" borderId="0" xfId="0" applyNumberFormat="1" applyFont="1" applyFill="1"/>
    <xf numFmtId="39" fontId="6" fillId="0" borderId="0" xfId="10" applyNumberFormat="1" applyFont="1" applyFill="1"/>
    <xf numFmtId="43" fontId="34" fillId="0" borderId="19" xfId="1" applyFont="1" applyFill="1" applyBorder="1" applyAlignment="1">
      <alignment horizontal="center" vertical="center" wrapText="1"/>
    </xf>
    <xf numFmtId="43" fontId="34" fillId="0" borderId="18" xfId="1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" fillId="0" borderId="0" xfId="11" applyFont="1"/>
    <xf numFmtId="0" fontId="8" fillId="0" borderId="0" xfId="0" applyFont="1" applyFill="1" applyBorder="1" applyAlignment="1">
      <alignment horizontal="center"/>
    </xf>
    <xf numFmtId="167" fontId="23" fillId="0" borderId="0" xfId="0" applyNumberFormat="1" applyFont="1" applyFill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7" fontId="6" fillId="0" borderId="0" xfId="0" applyNumberFormat="1" applyFont="1" applyFill="1" applyBorder="1"/>
    <xf numFmtId="37" fontId="6" fillId="0" borderId="0" xfId="10" applyNumberFormat="1" applyFont="1" applyFill="1" applyBorder="1"/>
    <xf numFmtId="0" fontId="24" fillId="0" borderId="0" xfId="0" applyFont="1" applyFill="1" applyBorder="1" applyAlignment="1">
      <alignment horizontal="center"/>
    </xf>
    <xf numFmtId="166" fontId="25" fillId="0" borderId="0" xfId="1" applyNumberFormat="1" applyFont="1" applyFill="1" applyBorder="1"/>
    <xf numFmtId="0" fontId="6" fillId="0" borderId="0" xfId="0" applyFont="1" applyFill="1" applyBorder="1" applyAlignment="1">
      <alignment horizontal="center"/>
    </xf>
    <xf numFmtId="3" fontId="6" fillId="0" borderId="0" xfId="0" quotePrefix="1" applyNumberFormat="1" applyFont="1" applyFill="1" applyBorder="1" applyAlignment="1">
      <alignment horizontal="center"/>
    </xf>
    <xf numFmtId="0" fontId="34" fillId="0" borderId="10" xfId="0" applyFont="1" applyFill="1" applyBorder="1" applyAlignment="1">
      <alignment horizontal="left" vertical="top"/>
    </xf>
    <xf numFmtId="0" fontId="34" fillId="0" borderId="26" xfId="0" applyFont="1" applyFill="1" applyBorder="1" applyAlignment="1">
      <alignment horizontal="left" vertical="top"/>
    </xf>
    <xf numFmtId="0" fontId="34" fillId="0" borderId="25" xfId="0" applyFont="1" applyFill="1" applyBorder="1" applyAlignment="1">
      <alignment horizontal="center" vertical="center" wrapText="1"/>
    </xf>
    <xf numFmtId="43" fontId="34" fillId="0" borderId="26" xfId="1" applyFont="1" applyFill="1" applyBorder="1" applyAlignment="1">
      <alignment horizontal="right" vertical="top"/>
    </xf>
    <xf numFmtId="0" fontId="4" fillId="0" borderId="0" xfId="0" applyFont="1" applyFill="1"/>
    <xf numFmtId="0" fontId="4" fillId="0" borderId="0" xfId="10" applyFont="1"/>
    <xf numFmtId="37" fontId="4" fillId="0" borderId="0" xfId="10" applyNumberFormat="1" applyFont="1"/>
    <xf numFmtId="0" fontId="1" fillId="0" borderId="0" xfId="10" applyFont="1"/>
    <xf numFmtId="43" fontId="34" fillId="0" borderId="27" xfId="1" applyFont="1" applyFill="1" applyBorder="1" applyAlignment="1">
      <alignment horizontal="center" vertical="center"/>
    </xf>
    <xf numFmtId="43" fontId="34" fillId="0" borderId="28" xfId="1" applyFont="1" applyFill="1" applyBorder="1" applyAlignment="1">
      <alignment horizontal="right" vertical="top"/>
    </xf>
    <xf numFmtId="168" fontId="32" fillId="4" borderId="29" xfId="7" applyNumberFormat="1" applyFont="1" applyFill="1" applyBorder="1" applyAlignment="1">
      <alignment horizontal="right" vertical="top"/>
    </xf>
    <xf numFmtId="43" fontId="34" fillId="0" borderId="32" xfId="1" applyFont="1" applyFill="1" applyBorder="1" applyAlignment="1">
      <alignment horizontal="right" vertical="top"/>
    </xf>
    <xf numFmtId="168" fontId="32" fillId="4" borderId="33" xfId="7" applyNumberFormat="1" applyFont="1" applyFill="1" applyBorder="1" applyAlignment="1">
      <alignment horizontal="right" vertical="top"/>
    </xf>
    <xf numFmtId="43" fontId="33" fillId="5" borderId="34" xfId="1" applyFont="1" applyFill="1" applyBorder="1" applyAlignment="1">
      <alignment horizontal="right"/>
    </xf>
    <xf numFmtId="43" fontId="34" fillId="0" borderId="31" xfId="1" applyFont="1" applyFill="1" applyBorder="1" applyAlignment="1">
      <alignment horizontal="center" vertical="center" wrapText="1"/>
    </xf>
    <xf numFmtId="0" fontId="4" fillId="0" borderId="0" xfId="11" applyFont="1" applyFill="1"/>
    <xf numFmtId="168" fontId="32" fillId="0" borderId="7" xfId="7" applyNumberFormat="1" applyFont="1" applyFill="1" applyBorder="1" applyAlignment="1">
      <alignment horizontal="right" vertical="top"/>
    </xf>
    <xf numFmtId="17" fontId="1" fillId="0" borderId="0" xfId="11" quotePrefix="1" applyNumberFormat="1" applyFont="1"/>
    <xf numFmtId="15" fontId="1" fillId="0" borderId="0" xfId="11" quotePrefix="1" applyNumberFormat="1" applyFont="1"/>
    <xf numFmtId="16" fontId="1" fillId="0" borderId="0" xfId="11" applyNumberFormat="1" applyFont="1"/>
    <xf numFmtId="44" fontId="6" fillId="0" borderId="0" xfId="3" applyFont="1"/>
    <xf numFmtId="0" fontId="6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0" fontId="36" fillId="0" borderId="6" xfId="0" applyFont="1" applyBorder="1" applyAlignment="1">
      <alignment horizontal="center"/>
    </xf>
    <xf numFmtId="165" fontId="26" fillId="0" borderId="0" xfId="0" applyNumberFormat="1" applyFont="1" applyFill="1" applyAlignment="1">
      <alignment horizontal="center"/>
    </xf>
    <xf numFmtId="169" fontId="4" fillId="0" borderId="0" xfId="3" applyNumberFormat="1" applyFont="1"/>
    <xf numFmtId="9" fontId="6" fillId="0" borderId="0" xfId="12" applyFont="1"/>
    <xf numFmtId="37" fontId="27" fillId="0" borderId="0" xfId="0" applyNumberFormat="1" applyFont="1"/>
    <xf numFmtId="0" fontId="4" fillId="0" borderId="0" xfId="0" applyFont="1" applyBorder="1" applyAlignment="1">
      <alignment horizontal="center"/>
    </xf>
    <xf numFmtId="0" fontId="29" fillId="0" borderId="0" xfId="0" applyFont="1" applyBorder="1"/>
    <xf numFmtId="37" fontId="4" fillId="0" borderId="0" xfId="0" applyNumberFormat="1" applyFont="1" applyBorder="1"/>
    <xf numFmtId="37" fontId="24" fillId="0" borderId="0" xfId="0" applyNumberFormat="1" applyFont="1" applyBorder="1" applyAlignment="1">
      <alignment horizontal="center"/>
    </xf>
    <xf numFmtId="37" fontId="24" fillId="0" borderId="4" xfId="0" applyNumberFormat="1" applyFont="1" applyBorder="1"/>
    <xf numFmtId="37" fontId="1" fillId="0" borderId="0" xfId="1" applyNumberFormat="1" applyFont="1" applyBorder="1"/>
    <xf numFmtId="0" fontId="36" fillId="0" borderId="35" xfId="0" applyFont="1" applyBorder="1" applyAlignment="1">
      <alignment horizontal="center"/>
    </xf>
    <xf numFmtId="44" fontId="39" fillId="0" borderId="0" xfId="0" applyNumberFormat="1" applyFont="1" applyAlignment="1">
      <alignment horizontal="center"/>
    </xf>
    <xf numFmtId="169" fontId="40" fillId="0" borderId="0" xfId="3" applyNumberFormat="1" applyFont="1"/>
    <xf numFmtId="0" fontId="4" fillId="0" borderId="0" xfId="0" applyFont="1" applyFill="1" applyBorder="1"/>
    <xf numFmtId="37" fontId="1" fillId="0" borderId="0" xfId="10" applyNumberFormat="1" applyFont="1" applyBorder="1"/>
    <xf numFmtId="0" fontId="24" fillId="0" borderId="0" xfId="0" applyFont="1" applyFill="1" applyBorder="1"/>
    <xf numFmtId="37" fontId="1" fillId="0" borderId="0" xfId="0" applyNumberFormat="1" applyFont="1" applyAlignment="1">
      <alignment horizontal="center"/>
    </xf>
    <xf numFmtId="0" fontId="1" fillId="0" borderId="0" xfId="0" applyFont="1" applyFill="1" applyBorder="1"/>
    <xf numFmtId="37" fontId="4" fillId="0" borderId="0" xfId="0" applyNumberFormat="1" applyFont="1" applyAlignment="1">
      <alignment horizontal="center"/>
    </xf>
    <xf numFmtId="37" fontId="4" fillId="0" borderId="2" xfId="10" applyNumberFormat="1" applyFont="1" applyBorder="1"/>
    <xf numFmtId="37" fontId="4" fillId="0" borderId="0" xfId="10" applyNumberFormat="1" applyFont="1" applyBorder="1"/>
    <xf numFmtId="37" fontId="41" fillId="0" borderId="2" xfId="0" applyNumberFormat="1" applyFont="1" applyBorder="1"/>
    <xf numFmtId="39" fontId="41" fillId="0" borderId="0" xfId="0" applyNumberFormat="1" applyFont="1" applyBorder="1"/>
    <xf numFmtId="37" fontId="4" fillId="0" borderId="2" xfId="1" applyNumberFormat="1" applyFont="1" applyBorder="1"/>
    <xf numFmtId="0" fontId="6" fillId="0" borderId="0" xfId="0" applyNumberFormat="1" applyFont="1" applyFill="1"/>
    <xf numFmtId="0" fontId="8" fillId="0" borderId="0" xfId="0" applyNumberFormat="1" applyFont="1" applyFill="1" applyAlignment="1">
      <alignment horizontal="center"/>
    </xf>
    <xf numFmtId="43" fontId="33" fillId="6" borderId="14" xfId="1" applyFont="1" applyFill="1" applyBorder="1" applyAlignment="1">
      <alignment horizontal="right"/>
    </xf>
    <xf numFmtId="43" fontId="33" fillId="6" borderId="30" xfId="1" applyFont="1" applyFill="1" applyBorder="1" applyAlignment="1">
      <alignment horizontal="right"/>
    </xf>
    <xf numFmtId="37" fontId="6" fillId="0" borderId="1" xfId="0" applyNumberFormat="1" applyFont="1" applyBorder="1"/>
    <xf numFmtId="0" fontId="8" fillId="0" borderId="0" xfId="0" applyFont="1" applyFill="1" applyAlignment="1">
      <alignment horizontal="center"/>
    </xf>
    <xf numFmtId="167" fontId="23" fillId="0" borderId="0" xfId="0" applyNumberFormat="1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7" fillId="0" borderId="0" xfId="0" applyFont="1" applyFill="1"/>
    <xf numFmtId="37" fontId="4" fillId="0" borderId="0" xfId="1" applyNumberFormat="1" applyFont="1" applyFill="1"/>
    <xf numFmtId="37" fontId="6" fillId="0" borderId="0" xfId="1" applyNumberFormat="1" applyFont="1" applyFill="1"/>
    <xf numFmtId="37" fontId="6" fillId="0" borderId="2" xfId="0" applyNumberFormat="1" applyFont="1" applyFill="1" applyBorder="1"/>
    <xf numFmtId="37" fontId="6" fillId="0" borderId="0" xfId="0" applyNumberFormat="1" applyFont="1" applyFill="1"/>
    <xf numFmtId="169" fontId="1" fillId="0" borderId="0" xfId="3" applyNumberFormat="1" applyFont="1" applyFill="1"/>
    <xf numFmtId="0" fontId="8" fillId="0" borderId="36" xfId="0" applyFont="1" applyBorder="1" applyAlignment="1">
      <alignment horizontal="center"/>
    </xf>
    <xf numFmtId="167" fontId="23" fillId="0" borderId="37" xfId="0" applyNumberFormat="1" applyFont="1" applyBorder="1" applyAlignment="1">
      <alignment horizontal="center"/>
    </xf>
    <xf numFmtId="165" fontId="26" fillId="0" borderId="37" xfId="0" applyNumberFormat="1" applyFont="1" applyBorder="1" applyAlignment="1">
      <alignment horizontal="center"/>
    </xf>
    <xf numFmtId="0" fontId="6" fillId="0" borderId="37" xfId="0" applyFont="1" applyBorder="1"/>
    <xf numFmtId="37" fontId="4" fillId="0" borderId="37" xfId="1" applyNumberFormat="1" applyFont="1" applyBorder="1"/>
    <xf numFmtId="37" fontId="6" fillId="0" borderId="37" xfId="1" applyNumberFormat="1" applyFont="1" applyBorder="1"/>
    <xf numFmtId="37" fontId="6" fillId="0" borderId="38" xfId="0" applyNumberFormat="1" applyFont="1" applyBorder="1"/>
    <xf numFmtId="37" fontId="6" fillId="0" borderId="37" xfId="0" applyNumberFormat="1" applyFont="1" applyBorder="1"/>
    <xf numFmtId="37" fontId="1" fillId="0" borderId="38" xfId="0" applyNumberFormat="1" applyFont="1" applyBorder="1"/>
    <xf numFmtId="37" fontId="6" fillId="0" borderId="39" xfId="0" applyNumberFormat="1" applyFont="1" applyBorder="1"/>
    <xf numFmtId="170" fontId="1" fillId="0" borderId="1" xfId="11" applyNumberFormat="1" applyFont="1" applyFill="1" applyBorder="1"/>
    <xf numFmtId="164" fontId="1" fillId="0" borderId="0" xfId="11" applyNumberFormat="1" applyFont="1" applyFill="1" applyBorder="1"/>
    <xf numFmtId="0" fontId="37" fillId="0" borderId="0" xfId="0" applyFont="1" applyAlignment="1">
      <alignment horizontal="center"/>
    </xf>
    <xf numFmtId="0" fontId="38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</cellXfs>
  <cellStyles count="14">
    <cellStyle name="Comma" xfId="1" builtinId="3"/>
    <cellStyle name="Comma 2" xfId="2" xr:uid="{00000000-0005-0000-0000-000001000000}"/>
    <cellStyle name="Currency" xfId="3" builtinId="4"/>
    <cellStyle name="Currency 2" xfId="4" xr:uid="{00000000-0005-0000-0000-000003000000}"/>
    <cellStyle name="Currency 3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  <cellStyle name="Normal_1296GasLabor$" xfId="10" xr:uid="{00000000-0005-0000-0000-00000A000000}"/>
    <cellStyle name="Normal_LaborAdj%" xfId="11" xr:uid="{00000000-0005-0000-0000-00000B000000}"/>
    <cellStyle name="Percent" xfId="12" builtinId="5"/>
    <cellStyle name="Percent 2" xfId="13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2\2012%20WA%20GRC\Adjustments\Adjustments\PF%20-%20Labor&amp;Benefit\2012%20Info\Downloads\Total%20Labor%20for%20Pension-Medic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tabColor rgb="FFFFFF00"/>
  </sheetPr>
  <dimension ref="A1:P141"/>
  <sheetViews>
    <sheetView zoomScaleNormal="100" workbookViewId="0">
      <pane ySplit="8" topLeftCell="A103" activePane="bottomLeft" state="frozen"/>
      <selection activeCell="I6" sqref="I6:K7"/>
      <selection pane="bottomLeft" activeCell="I125" sqref="I125"/>
    </sheetView>
  </sheetViews>
  <sheetFormatPr defaultColWidth="9.33203125" defaultRowHeight="12.75" outlineLevelRow="2"/>
  <cols>
    <col min="1" max="1" width="20.83203125" style="2" customWidth="1"/>
    <col min="2" max="2" width="15.6640625" style="2" customWidth="1"/>
    <col min="3" max="3" width="16.33203125" style="2" customWidth="1"/>
    <col min="4" max="4" width="2.33203125" style="11" customWidth="1"/>
    <col min="5" max="5" width="13.1640625" style="2" customWidth="1"/>
    <col min="6" max="6" width="14.1640625" style="2" customWidth="1"/>
    <col min="7" max="7" width="13.83203125" style="2" customWidth="1"/>
    <col min="8" max="8" width="3.5" style="2" customWidth="1"/>
    <col min="9" max="9" width="13.83203125" style="2" customWidth="1"/>
    <col min="10" max="10" width="13.1640625" style="2" customWidth="1"/>
    <col min="11" max="11" width="2.83203125" style="24" customWidth="1"/>
    <col min="12" max="12" width="13.83203125" style="2" customWidth="1"/>
    <col min="13" max="13" width="1.83203125" style="11" customWidth="1"/>
    <col min="14" max="14" width="4.5" style="2" customWidth="1"/>
    <col min="15" max="16" width="9.33203125" style="2"/>
    <col min="17" max="17" width="16.6640625" style="2" customWidth="1"/>
    <col min="18" max="16384" width="9.33203125" style="2"/>
  </cols>
  <sheetData>
    <row r="1" spans="1:16">
      <c r="A1" s="31" t="s">
        <v>23</v>
      </c>
    </row>
    <row r="2" spans="1:16">
      <c r="A2" s="1" t="s">
        <v>114</v>
      </c>
    </row>
    <row r="3" spans="1:16">
      <c r="A3" s="1" t="s">
        <v>100</v>
      </c>
    </row>
    <row r="4" spans="1:16">
      <c r="A4" s="1"/>
    </row>
    <row r="6" spans="1:16" ht="13.5" thickBot="1"/>
    <row r="7" spans="1:16">
      <c r="A7" s="9"/>
      <c r="F7" s="9" t="s">
        <v>15</v>
      </c>
      <c r="G7" s="156" t="s">
        <v>0</v>
      </c>
      <c r="H7" s="12"/>
      <c r="I7" s="9" t="s">
        <v>14</v>
      </c>
      <c r="J7" s="9" t="s">
        <v>15</v>
      </c>
      <c r="K7" s="35"/>
      <c r="L7" s="156" t="s">
        <v>0</v>
      </c>
      <c r="M7" s="12"/>
      <c r="N7" s="9"/>
      <c r="O7" s="9"/>
      <c r="P7" s="9"/>
    </row>
    <row r="8" spans="1:16" ht="25.5">
      <c r="A8" s="9"/>
      <c r="B8" s="117" t="s">
        <v>0</v>
      </c>
      <c r="C8" s="117" t="s">
        <v>173</v>
      </c>
      <c r="D8" s="117"/>
      <c r="E8" s="117" t="s">
        <v>174</v>
      </c>
      <c r="F8" s="10" t="s">
        <v>101</v>
      </c>
      <c r="G8" s="157" t="s">
        <v>101</v>
      </c>
      <c r="H8" s="10"/>
      <c r="I8" s="10" t="s">
        <v>102</v>
      </c>
      <c r="J8" s="10" t="s">
        <v>102</v>
      </c>
      <c r="K8" s="36"/>
      <c r="L8" s="157" t="s">
        <v>102</v>
      </c>
      <c r="M8" s="12"/>
      <c r="N8" s="9"/>
      <c r="O8" s="9"/>
      <c r="P8" s="9"/>
    </row>
    <row r="9" spans="1:16" hidden="1" outlineLevel="1">
      <c r="A9" s="2" t="s">
        <v>31</v>
      </c>
      <c r="B9" s="11"/>
      <c r="C9" s="11"/>
      <c r="E9" s="11"/>
      <c r="G9" s="158"/>
      <c r="H9" s="11"/>
      <c r="L9" s="158"/>
    </row>
    <row r="10" spans="1:16" hidden="1" outlineLevel="1">
      <c r="A10" s="2" t="s">
        <v>32</v>
      </c>
      <c r="B10" s="11"/>
      <c r="C10" s="11"/>
      <c r="E10" s="11"/>
      <c r="G10" s="158"/>
      <c r="H10" s="11"/>
      <c r="L10" s="158"/>
    </row>
    <row r="11" spans="1:16" hidden="1" outlineLevel="1">
      <c r="A11" s="1">
        <v>500</v>
      </c>
      <c r="B11" s="7">
        <f>VLOOKUP(A11,'Total Electric Download'!$A$6:$E$85,5,0)</f>
        <v>219477</v>
      </c>
      <c r="C11" s="7">
        <f>SUMIF('Total Electric Download'!A:A,A11,'Total Electric Download'!B:B)</f>
        <v>219477</v>
      </c>
      <c r="D11" s="7"/>
      <c r="E11" s="7">
        <f>SUMIF('Total Electric Download'!A:A,A11,'Total Electric Download'!D:D)</f>
        <v>0</v>
      </c>
      <c r="F11" s="6">
        <f>C11*$C$128</f>
        <v>143516.01</v>
      </c>
      <c r="G11" s="159">
        <f t="shared" ref="G11:G21" si="0">E11+F11</f>
        <v>143516.01</v>
      </c>
      <c r="H11" s="7"/>
      <c r="I11" s="6">
        <f>SUMIF('Total Electric Download'!A:A,A11,'Total Electric Download'!C:C)</f>
        <v>0</v>
      </c>
      <c r="J11" s="6">
        <f>$C11*$E$128</f>
        <v>75960.990000000005</v>
      </c>
      <c r="K11" s="72"/>
      <c r="L11" s="159">
        <f>I11+J11+K11</f>
        <v>75960.990000000005</v>
      </c>
      <c r="M11" s="7"/>
    </row>
    <row r="12" spans="1:16" hidden="1" outlineLevel="1">
      <c r="A12" s="1">
        <v>501</v>
      </c>
      <c r="B12" s="7">
        <f>'Total Electric Download'!E7</f>
        <v>876309</v>
      </c>
      <c r="C12" s="7">
        <f>'Total Electric Download'!B7</f>
        <v>876309</v>
      </c>
      <c r="D12" s="7"/>
      <c r="E12" s="7">
        <f>SUMIF('Total Electric Download'!A:A,A12,'Total Electric Download'!D:D)</f>
        <v>0</v>
      </c>
      <c r="F12" s="6">
        <f t="shared" ref="F12:F21" si="1">C12*$C$128</f>
        <v>573018.46</v>
      </c>
      <c r="G12" s="159">
        <f t="shared" si="0"/>
        <v>573018.46</v>
      </c>
      <c r="H12" s="7"/>
      <c r="I12" s="6">
        <f>SUMIF('Total Electric Download'!A:A,A12,'Total Electric Download'!C:C)</f>
        <v>0</v>
      </c>
      <c r="J12" s="6">
        <f t="shared" ref="J12:J21" si="2">C12*$E$128</f>
        <v>303290.53999999998</v>
      </c>
      <c r="K12" s="72"/>
      <c r="L12" s="159">
        <f t="shared" ref="L12:L21" si="3">I12+J12+K12</f>
        <v>303290.53999999998</v>
      </c>
      <c r="M12" s="7"/>
    </row>
    <row r="13" spans="1:16" hidden="1" outlineLevel="1">
      <c r="A13" s="1">
        <v>502</v>
      </c>
      <c r="B13" s="7">
        <f>VLOOKUP(A13,'Total Electric Download'!$A$6:$E$85,5,0)</f>
        <v>509264</v>
      </c>
      <c r="C13" s="7">
        <f>SUMIF('Total Electric Download'!A:A,A13,'Total Electric Download'!B:B)</f>
        <v>509264</v>
      </c>
      <c r="D13" s="7"/>
      <c r="E13" s="7">
        <f>SUMIF('Total Electric Download'!A:A,A13,'Total Electric Download'!D:D)</f>
        <v>0</v>
      </c>
      <c r="F13" s="6">
        <f t="shared" si="1"/>
        <v>333007.73</v>
      </c>
      <c r="G13" s="159">
        <f t="shared" si="0"/>
        <v>333007.73</v>
      </c>
      <c r="H13" s="7"/>
      <c r="I13" s="6">
        <f>SUMIF('Total Electric Download'!A:A,A13,'Total Electric Download'!C:C)</f>
        <v>0</v>
      </c>
      <c r="J13" s="6">
        <f t="shared" si="2"/>
        <v>176256.27</v>
      </c>
      <c r="K13" s="72"/>
      <c r="L13" s="159">
        <f t="shared" si="3"/>
        <v>176256.27</v>
      </c>
      <c r="M13" s="7"/>
    </row>
    <row r="14" spans="1:16" hidden="1" outlineLevel="1">
      <c r="A14" s="1">
        <v>505</v>
      </c>
      <c r="B14" s="7">
        <f>VLOOKUP(A14,'Total Electric Download'!$A$6:$E$85,5,0)</f>
        <v>532112</v>
      </c>
      <c r="C14" s="7">
        <f>SUMIF('Total Electric Download'!A:A,A14,'Total Electric Download'!B:B)</f>
        <v>532112</v>
      </c>
      <c r="D14" s="7"/>
      <c r="E14" s="7">
        <f>SUMIF('Total Electric Download'!A:A,A14,'Total Electric Download'!D:D)</f>
        <v>0</v>
      </c>
      <c r="F14" s="6">
        <f t="shared" si="1"/>
        <v>347948.04</v>
      </c>
      <c r="G14" s="159">
        <f t="shared" si="0"/>
        <v>347948.04</v>
      </c>
      <c r="H14" s="7"/>
      <c r="I14" s="6">
        <f>SUMIF('Total Electric Download'!A:A,A14,'Total Electric Download'!C:C)</f>
        <v>0</v>
      </c>
      <c r="J14" s="6">
        <f t="shared" si="2"/>
        <v>184163.96</v>
      </c>
      <c r="K14" s="72"/>
      <c r="L14" s="159">
        <f t="shared" si="3"/>
        <v>184163.96</v>
      </c>
      <c r="M14" s="7"/>
    </row>
    <row r="15" spans="1:16" hidden="1" outlineLevel="1">
      <c r="A15" s="1">
        <v>506</v>
      </c>
      <c r="B15" s="7">
        <f>VLOOKUP(A15,'Total Electric Download'!$A$6:$E$85,5,0)</f>
        <v>188142</v>
      </c>
      <c r="C15" s="7">
        <f>SUMIF('Total Electric Download'!A:A,A15,'Total Electric Download'!B:B)</f>
        <v>188142</v>
      </c>
      <c r="D15" s="7"/>
      <c r="E15" s="7">
        <f>SUMIF('Total Electric Download'!A:A,A15,'Total Electric Download'!D:D)</f>
        <v>0</v>
      </c>
      <c r="F15" s="6">
        <f t="shared" si="1"/>
        <v>123026.05</v>
      </c>
      <c r="G15" s="159">
        <f t="shared" si="0"/>
        <v>123026.05</v>
      </c>
      <c r="H15" s="7"/>
      <c r="I15" s="6">
        <f>SUMIF('Total Electric Download'!A:A,A15,'Total Electric Download'!C:C)</f>
        <v>0</v>
      </c>
      <c r="J15" s="6">
        <f t="shared" si="2"/>
        <v>65115.95</v>
      </c>
      <c r="K15" s="72"/>
      <c r="L15" s="159">
        <f t="shared" si="3"/>
        <v>65115.95</v>
      </c>
      <c r="M15" s="7"/>
    </row>
    <row r="16" spans="1:16" hidden="1" outlineLevel="1">
      <c r="A16" s="1">
        <v>507</v>
      </c>
      <c r="B16" s="7">
        <v>0</v>
      </c>
      <c r="C16" s="7">
        <f>SUMIF('Total Electric Download'!A:A,A16,'Total Electric Download'!B:B)</f>
        <v>0</v>
      </c>
      <c r="D16" s="7"/>
      <c r="E16" s="7">
        <v>0</v>
      </c>
      <c r="F16" s="6">
        <f t="shared" si="1"/>
        <v>0</v>
      </c>
      <c r="G16" s="159">
        <f t="shared" si="0"/>
        <v>0</v>
      </c>
      <c r="H16" s="7"/>
      <c r="I16" s="6">
        <v>0</v>
      </c>
      <c r="J16" s="6">
        <f t="shared" si="2"/>
        <v>0</v>
      </c>
      <c r="K16" s="72"/>
      <c r="L16" s="159">
        <f t="shared" si="3"/>
        <v>0</v>
      </c>
      <c r="M16" s="7"/>
    </row>
    <row r="17" spans="1:13" hidden="1" outlineLevel="1">
      <c r="A17" s="1">
        <v>510</v>
      </c>
      <c r="B17" s="7">
        <f>VLOOKUP(A17,'Total Electric Download'!$A$6:$E$85,5,0)</f>
        <v>100374</v>
      </c>
      <c r="C17" s="7">
        <f>SUMIF('Total Electric Download'!A:A,A17,'Total Electric Download'!B:B)</f>
        <v>100374</v>
      </c>
      <c r="D17" s="7"/>
      <c r="E17" s="7">
        <f>SUMIF('Total Electric Download'!A:A,A17,'Total Electric Download'!D:D)</f>
        <v>0</v>
      </c>
      <c r="F17" s="6">
        <f t="shared" si="1"/>
        <v>65634.559999999998</v>
      </c>
      <c r="G17" s="159">
        <f t="shared" si="0"/>
        <v>65634.559999999998</v>
      </c>
      <c r="H17" s="7"/>
      <c r="I17" s="6">
        <f>SUMIF('Total Electric Download'!A:A,A17,'Total Electric Download'!C:C)</f>
        <v>0</v>
      </c>
      <c r="J17" s="6">
        <f t="shared" si="2"/>
        <v>34739.440000000002</v>
      </c>
      <c r="K17" s="72"/>
      <c r="L17" s="159">
        <f t="shared" si="3"/>
        <v>34739.440000000002</v>
      </c>
      <c r="M17" s="7"/>
    </row>
    <row r="18" spans="1:13" hidden="1" outlineLevel="1">
      <c r="A18" s="1">
        <v>511</v>
      </c>
      <c r="B18" s="7">
        <f>VLOOKUP(A18,'Total Electric Download'!$A$6:$E$85,5,0)</f>
        <v>7907</v>
      </c>
      <c r="C18" s="7">
        <f>SUMIF('Total Electric Download'!A:A,A18,'Total Electric Download'!B:B)</f>
        <v>7907</v>
      </c>
      <c r="D18" s="7"/>
      <c r="E18" s="7">
        <f>SUMIF('Total Electric Download'!A:A,A18,'Total Electric Download'!D:D)</f>
        <v>0</v>
      </c>
      <c r="F18" s="6">
        <f t="shared" si="1"/>
        <v>5170.3900000000003</v>
      </c>
      <c r="G18" s="159">
        <f t="shared" si="0"/>
        <v>5170.3900000000003</v>
      </c>
      <c r="H18" s="7"/>
      <c r="I18" s="6">
        <f>SUMIF('Total Electric Download'!A:A,A18,'Total Electric Download'!C:C)</f>
        <v>0</v>
      </c>
      <c r="J18" s="6">
        <f t="shared" si="2"/>
        <v>2736.61</v>
      </c>
      <c r="K18" s="72"/>
      <c r="L18" s="159">
        <f t="shared" si="3"/>
        <v>2736.61</v>
      </c>
      <c r="M18" s="7"/>
    </row>
    <row r="19" spans="1:13" hidden="1" outlineLevel="1">
      <c r="A19" s="1">
        <v>512</v>
      </c>
      <c r="B19" s="7">
        <f>VLOOKUP(A19,'Total Electric Download'!$A$6:$E$85,5,0)</f>
        <v>679481</v>
      </c>
      <c r="C19" s="7">
        <f>SUMIF('Total Electric Download'!A:A,A19,'Total Electric Download'!B:B)</f>
        <v>679481</v>
      </c>
      <c r="D19" s="7"/>
      <c r="E19" s="7">
        <f>SUMIF('Total Electric Download'!A:A,A19,'Total Electric Download'!D:D)</f>
        <v>0</v>
      </c>
      <c r="F19" s="6">
        <f t="shared" si="1"/>
        <v>444312.63</v>
      </c>
      <c r="G19" s="159">
        <f t="shared" si="0"/>
        <v>444312.63</v>
      </c>
      <c r="H19" s="7"/>
      <c r="I19" s="6">
        <f>SUMIF('Total Electric Download'!A:A,A19,'Total Electric Download'!C:C)</f>
        <v>0</v>
      </c>
      <c r="J19" s="6">
        <f t="shared" si="2"/>
        <v>235168.37</v>
      </c>
      <c r="K19" s="72"/>
      <c r="L19" s="159">
        <f t="shared" si="3"/>
        <v>235168.37</v>
      </c>
      <c r="M19" s="7"/>
    </row>
    <row r="20" spans="1:13" hidden="1" outlineLevel="1">
      <c r="A20" s="1">
        <v>513</v>
      </c>
      <c r="B20" s="7">
        <f>VLOOKUP(A20,'Total Electric Download'!$A$6:$E$85,5,0)</f>
        <v>284767</v>
      </c>
      <c r="C20" s="7">
        <f>SUMIF('Total Electric Download'!A:A,A20,'Total Electric Download'!B:B)</f>
        <v>284767</v>
      </c>
      <c r="D20" s="7"/>
      <c r="E20" s="7">
        <f>SUMIF('Total Electric Download'!A:A,A20,'Total Electric Download'!D:D)</f>
        <v>0</v>
      </c>
      <c r="F20" s="6">
        <f t="shared" si="1"/>
        <v>186209.14</v>
      </c>
      <c r="G20" s="159">
        <f t="shared" si="0"/>
        <v>186209.14</v>
      </c>
      <c r="H20" s="7"/>
      <c r="I20" s="6">
        <f>SUMIF('Total Electric Download'!A:A,A20,'Total Electric Download'!C:C)</f>
        <v>0</v>
      </c>
      <c r="J20" s="6">
        <f t="shared" si="2"/>
        <v>98557.86</v>
      </c>
      <c r="K20" s="72"/>
      <c r="L20" s="159">
        <f t="shared" si="3"/>
        <v>98557.86</v>
      </c>
      <c r="M20" s="7"/>
    </row>
    <row r="21" spans="1:13" hidden="1" outlineLevel="1">
      <c r="A21" s="1">
        <v>514</v>
      </c>
      <c r="B21" s="7">
        <f>VLOOKUP(A21,'Total Electric Download'!$A$6:$E$85,5,0)</f>
        <v>124847</v>
      </c>
      <c r="C21" s="7">
        <f>SUMIF('Total Electric Download'!A:A,A21,'Total Electric Download'!B:B)</f>
        <v>124847</v>
      </c>
      <c r="D21" s="7"/>
      <c r="E21" s="7">
        <f>SUMIF('Total Electric Download'!A:A,A21,'Total Electric Download'!D:D)</f>
        <v>0</v>
      </c>
      <c r="F21" s="6">
        <f t="shared" si="1"/>
        <v>81637.45</v>
      </c>
      <c r="G21" s="159">
        <f t="shared" si="0"/>
        <v>81637.45</v>
      </c>
      <c r="H21" s="7"/>
      <c r="I21" s="6">
        <f>SUMIF('Total Electric Download'!A:A,A21,'Total Electric Download'!C:C)</f>
        <v>0</v>
      </c>
      <c r="J21" s="6">
        <f t="shared" si="2"/>
        <v>43209.55</v>
      </c>
      <c r="K21" s="72"/>
      <c r="L21" s="159">
        <f t="shared" si="3"/>
        <v>43209.55</v>
      </c>
      <c r="M21" s="7"/>
    </row>
    <row r="22" spans="1:13" hidden="1" outlineLevel="1">
      <c r="A22" s="2" t="s">
        <v>42</v>
      </c>
      <c r="B22" s="39">
        <f>SUM(B11:B21)</f>
        <v>3522680</v>
      </c>
      <c r="C22" s="39">
        <f t="shared" ref="C22:J22" si="4">SUM(C11:C21)</f>
        <v>3522680</v>
      </c>
      <c r="D22" s="102"/>
      <c r="E22" s="39">
        <f t="shared" si="4"/>
        <v>0</v>
      </c>
      <c r="F22" s="39">
        <f t="shared" si="4"/>
        <v>2303480.46</v>
      </c>
      <c r="G22" s="160">
        <f t="shared" si="4"/>
        <v>2303480.46</v>
      </c>
      <c r="H22" s="39"/>
      <c r="I22" s="39">
        <f t="shared" si="4"/>
        <v>0</v>
      </c>
      <c r="J22" s="39">
        <f t="shared" si="4"/>
        <v>1219199.54</v>
      </c>
      <c r="K22" s="73"/>
      <c r="L22" s="160">
        <f>SUM(L11:L21)</f>
        <v>1219199.54</v>
      </c>
      <c r="M22" s="7"/>
    </row>
    <row r="23" spans="1:13" ht="11.1" hidden="1" customHeight="1" outlineLevel="1">
      <c r="B23" s="7"/>
      <c r="C23" s="7"/>
      <c r="D23" s="7"/>
      <c r="E23" s="7"/>
      <c r="F23" s="6"/>
      <c r="G23" s="159"/>
      <c r="H23" s="7"/>
      <c r="I23" s="6"/>
      <c r="J23" s="6"/>
      <c r="K23" s="72"/>
      <c r="L23" s="159"/>
      <c r="M23" s="7"/>
    </row>
    <row r="24" spans="1:13" hidden="1" outlineLevel="1">
      <c r="A24" s="2" t="s">
        <v>43</v>
      </c>
      <c r="B24" s="7"/>
      <c r="C24" s="7"/>
      <c r="D24" s="7"/>
      <c r="E24" s="7"/>
      <c r="F24" s="6"/>
      <c r="G24" s="159"/>
      <c r="H24" s="7"/>
      <c r="I24" s="6"/>
      <c r="J24" s="6"/>
      <c r="K24" s="72"/>
      <c r="L24" s="159"/>
      <c r="M24" s="7"/>
    </row>
    <row r="25" spans="1:13" hidden="1" outlineLevel="1">
      <c r="A25" s="1">
        <v>535</v>
      </c>
      <c r="B25" s="7">
        <f>VLOOKUP(A25,'Total Electric Download'!$A$6:$E$85,5,0)</f>
        <v>1445488</v>
      </c>
      <c r="C25" s="7">
        <f>SUMIF('Total Electric Download'!A:A,A25,'Total Electric Download'!B:B)</f>
        <v>1445488</v>
      </c>
      <c r="D25" s="7"/>
      <c r="E25" s="7">
        <f>SUMIF('Total Electric Download'!A:A,A25,'Total Electric Download'!D:D)</f>
        <v>0</v>
      </c>
      <c r="F25" s="6">
        <f t="shared" ref="F25:F34" si="5">C25*$C$128</f>
        <v>945204.6</v>
      </c>
      <c r="G25" s="159">
        <f t="shared" ref="G25:G34" si="6">E25+F25</f>
        <v>945204.6</v>
      </c>
      <c r="H25" s="7"/>
      <c r="I25" s="6">
        <f>SUMIF('Total Electric Download'!A:A,A25,'Total Electric Download'!C:C)</f>
        <v>0</v>
      </c>
      <c r="J25" s="6">
        <f t="shared" ref="J25:J34" si="7">C25*$E$128</f>
        <v>500283.4</v>
      </c>
      <c r="K25" s="72"/>
      <c r="L25" s="159">
        <f t="shared" ref="L25:L34" si="8">I25+J25+K25</f>
        <v>500283.4</v>
      </c>
      <c r="M25" s="7"/>
    </row>
    <row r="26" spans="1:13" hidden="1" outlineLevel="1">
      <c r="A26" s="1">
        <v>536</v>
      </c>
      <c r="B26" s="7">
        <f>VLOOKUP(A26,'Total Electric Download'!$A$6:$E$85,5,0)</f>
        <v>8480</v>
      </c>
      <c r="C26" s="7">
        <f>SUMIF('Total Electric Download'!A:A,A26,'Total Electric Download'!B:B)</f>
        <v>8480</v>
      </c>
      <c r="D26" s="7"/>
      <c r="E26" s="7">
        <f>SUMIF('Total Electric Download'!A:A,A26,'Total Electric Download'!D:D)</f>
        <v>0</v>
      </c>
      <c r="F26" s="6">
        <f t="shared" si="5"/>
        <v>5545.07</v>
      </c>
      <c r="G26" s="159">
        <f t="shared" si="6"/>
        <v>5545.07</v>
      </c>
      <c r="H26" s="7"/>
      <c r="I26" s="6">
        <f>SUMIF('Total Electric Download'!A:A,A26,'Total Electric Download'!C:C)</f>
        <v>0</v>
      </c>
      <c r="J26" s="6">
        <f t="shared" si="7"/>
        <v>2934.93</v>
      </c>
      <c r="K26" s="72"/>
      <c r="L26" s="159">
        <f t="shared" si="8"/>
        <v>2934.93</v>
      </c>
      <c r="M26" s="7"/>
    </row>
    <row r="27" spans="1:13" hidden="1" outlineLevel="1">
      <c r="A27" s="1">
        <v>537</v>
      </c>
      <c r="B27" s="7">
        <f>VLOOKUP(A27,'Total Electric Download'!$A$6:$E$85,5,0)</f>
        <v>516125</v>
      </c>
      <c r="C27" s="7">
        <f>SUMIF('Total Electric Download'!A:A,A27,'Total Electric Download'!B:B)</f>
        <v>516125</v>
      </c>
      <c r="D27" s="7"/>
      <c r="E27" s="7">
        <f>SUMIF('Total Electric Download'!A:A,A27,'Total Electric Download'!D:D)</f>
        <v>0</v>
      </c>
      <c r="F27" s="6">
        <f t="shared" si="5"/>
        <v>337494.14</v>
      </c>
      <c r="G27" s="159">
        <f t="shared" si="6"/>
        <v>337494.14</v>
      </c>
      <c r="H27" s="7"/>
      <c r="I27" s="6">
        <f>SUMIF('Total Electric Download'!A:A,A27,'Total Electric Download'!C:C)</f>
        <v>0</v>
      </c>
      <c r="J27" s="6">
        <f t="shared" si="7"/>
        <v>178630.86</v>
      </c>
      <c r="K27" s="72"/>
      <c r="L27" s="159">
        <f t="shared" si="8"/>
        <v>178630.86</v>
      </c>
      <c r="M27" s="7"/>
    </row>
    <row r="28" spans="1:13" hidden="1" outlineLevel="1">
      <c r="A28" s="1">
        <v>538</v>
      </c>
      <c r="B28" s="7">
        <f>VLOOKUP(A28,'Total Electric Download'!$A$6:$E$85,5,0)</f>
        <v>4978809</v>
      </c>
      <c r="C28" s="7">
        <f>SUMIF('Total Electric Download'!A:A,A28,'Total Electric Download'!B:B)</f>
        <v>4978809</v>
      </c>
      <c r="D28" s="7"/>
      <c r="E28" s="7">
        <f>SUMIF('Total Electric Download'!A:A,A28,'Total Electric Download'!D:D)</f>
        <v>0</v>
      </c>
      <c r="F28" s="6">
        <f t="shared" si="5"/>
        <v>3255643.21</v>
      </c>
      <c r="G28" s="159">
        <f t="shared" si="6"/>
        <v>3255643.21</v>
      </c>
      <c r="H28" s="7"/>
      <c r="I28" s="6">
        <f>SUMIF('Total Electric Download'!A:A,A28,'Total Electric Download'!C:C)</f>
        <v>0</v>
      </c>
      <c r="J28" s="6">
        <f t="shared" si="7"/>
        <v>1723165.79</v>
      </c>
      <c r="K28" s="72"/>
      <c r="L28" s="159">
        <f t="shared" si="8"/>
        <v>1723165.79</v>
      </c>
      <c r="M28" s="7"/>
    </row>
    <row r="29" spans="1:13" hidden="1" outlineLevel="1">
      <c r="A29" s="1">
        <v>539</v>
      </c>
      <c r="B29" s="7">
        <f>VLOOKUP(A29,'Total Electric Download'!$A$6:$E$85,5,0)</f>
        <v>189424</v>
      </c>
      <c r="C29" s="7">
        <f>SUMIF('Total Electric Download'!A:A,A29,'Total Electric Download'!B:B)</f>
        <v>189424</v>
      </c>
      <c r="D29" s="7"/>
      <c r="E29" s="7">
        <f>SUMIF('Total Electric Download'!A:A,A29,'Total Electric Download'!D:D)</f>
        <v>0</v>
      </c>
      <c r="F29" s="6">
        <f t="shared" si="5"/>
        <v>123864.35</v>
      </c>
      <c r="G29" s="159">
        <f t="shared" si="6"/>
        <v>123864.35</v>
      </c>
      <c r="H29" s="7"/>
      <c r="I29" s="6">
        <f>SUMIF('Total Electric Download'!A:A,A29,'Total Electric Download'!C:C)</f>
        <v>0</v>
      </c>
      <c r="J29" s="6">
        <f t="shared" si="7"/>
        <v>65559.649999999994</v>
      </c>
      <c r="K29" s="72"/>
      <c r="L29" s="159">
        <f t="shared" si="8"/>
        <v>65559.649999999994</v>
      </c>
      <c r="M29" s="7"/>
    </row>
    <row r="30" spans="1:13" hidden="1" outlineLevel="1">
      <c r="A30" s="1">
        <v>541</v>
      </c>
      <c r="B30" s="7">
        <f>VLOOKUP(A30,'Total Electric Download'!$A$6:$E$85,5,0)</f>
        <v>452506</v>
      </c>
      <c r="C30" s="7">
        <f>SUMIF('Total Electric Download'!A:A,A30,'Total Electric Download'!B:B)</f>
        <v>452506</v>
      </c>
      <c r="D30" s="7"/>
      <c r="E30" s="7">
        <f>SUMIF('Total Electric Download'!A:A,A30,'Total Electric Download'!D:D)</f>
        <v>0</v>
      </c>
      <c r="F30" s="6">
        <f t="shared" si="5"/>
        <v>295893.67</v>
      </c>
      <c r="G30" s="159">
        <f t="shared" si="6"/>
        <v>295893.67</v>
      </c>
      <c r="H30" s="7"/>
      <c r="I30" s="6">
        <f>SUMIF('Total Electric Download'!A:A,A30,'Total Electric Download'!C:C)</f>
        <v>0</v>
      </c>
      <c r="J30" s="6">
        <f t="shared" si="7"/>
        <v>156612.32999999999</v>
      </c>
      <c r="K30" s="72"/>
      <c r="L30" s="159">
        <f t="shared" si="8"/>
        <v>156612.32999999999</v>
      </c>
      <c r="M30" s="7"/>
    </row>
    <row r="31" spans="1:13" hidden="1" outlineLevel="1">
      <c r="A31" s="1">
        <v>542</v>
      </c>
      <c r="B31" s="7">
        <f>VLOOKUP(A31,'Total Electric Download'!$A$6:$E$85,5,0)</f>
        <v>186087</v>
      </c>
      <c r="C31" s="7">
        <f>SUMIF('Total Electric Download'!A:A,A31,'Total Electric Download'!B:B)</f>
        <v>186087</v>
      </c>
      <c r="D31" s="7"/>
      <c r="E31" s="7">
        <f>SUMIF('Total Electric Download'!A:A,A31,'Total Electric Download'!D:D)</f>
        <v>0</v>
      </c>
      <c r="F31" s="6">
        <f t="shared" si="5"/>
        <v>121682.29</v>
      </c>
      <c r="G31" s="159">
        <f t="shared" si="6"/>
        <v>121682.29</v>
      </c>
      <c r="H31" s="7"/>
      <c r="I31" s="6">
        <f>SUMIF('Total Electric Download'!A:A,A31,'Total Electric Download'!C:C)</f>
        <v>0</v>
      </c>
      <c r="J31" s="6">
        <f t="shared" si="7"/>
        <v>64404.71</v>
      </c>
      <c r="K31" s="72"/>
      <c r="L31" s="159">
        <f t="shared" si="8"/>
        <v>64404.71</v>
      </c>
      <c r="M31" s="7"/>
    </row>
    <row r="32" spans="1:13" hidden="1" outlineLevel="1">
      <c r="A32" s="1">
        <v>543</v>
      </c>
      <c r="B32" s="7">
        <f>VLOOKUP(A32,'Total Electric Download'!$A$6:$E$85,5,0)</f>
        <v>557147</v>
      </c>
      <c r="C32" s="7">
        <f>SUMIF('Total Electric Download'!A:A,A32,'Total Electric Download'!B:B)</f>
        <v>557147</v>
      </c>
      <c r="D32" s="7"/>
      <c r="E32" s="7">
        <f>SUMIF('Total Electric Download'!A:A,A32,'Total Electric Download'!D:D)</f>
        <v>0</v>
      </c>
      <c r="F32" s="6">
        <f t="shared" si="5"/>
        <v>364318.42</v>
      </c>
      <c r="G32" s="159">
        <f t="shared" si="6"/>
        <v>364318.42</v>
      </c>
      <c r="H32" s="7"/>
      <c r="I32" s="6">
        <f>SUMIF('Total Electric Download'!A:A,A32,'Total Electric Download'!C:C)</f>
        <v>0</v>
      </c>
      <c r="J32" s="6">
        <f t="shared" si="7"/>
        <v>192828.58</v>
      </c>
      <c r="K32" s="72"/>
      <c r="L32" s="159">
        <f t="shared" si="8"/>
        <v>192828.58</v>
      </c>
      <c r="M32" s="7"/>
    </row>
    <row r="33" spans="1:13" hidden="1" outlineLevel="1">
      <c r="A33" s="1">
        <v>544</v>
      </c>
      <c r="B33" s="7">
        <f>VLOOKUP(A33,'Total Electric Download'!$A$6:$E$85,5,0)</f>
        <v>2019540</v>
      </c>
      <c r="C33" s="7">
        <f>SUMIF('Total Electric Download'!A:A,A33,'Total Electric Download'!B:B)</f>
        <v>2019540</v>
      </c>
      <c r="D33" s="7"/>
      <c r="E33" s="7">
        <f>SUMIF('Total Electric Download'!A:A,A33,'Total Electric Download'!D:D)</f>
        <v>0</v>
      </c>
      <c r="F33" s="6">
        <f t="shared" si="5"/>
        <v>1320577.21</v>
      </c>
      <c r="G33" s="159">
        <f t="shared" si="6"/>
        <v>1320577.21</v>
      </c>
      <c r="H33" s="7"/>
      <c r="I33" s="6">
        <f>SUMIF('Total Electric Download'!A:A,A33,'Total Electric Download'!C:C)</f>
        <v>0</v>
      </c>
      <c r="J33" s="6">
        <f t="shared" si="7"/>
        <v>698962.79</v>
      </c>
      <c r="K33" s="72"/>
      <c r="L33" s="159">
        <f t="shared" si="8"/>
        <v>698962.79</v>
      </c>
      <c r="M33" s="7"/>
    </row>
    <row r="34" spans="1:13" hidden="1" outlineLevel="1">
      <c r="A34" s="1">
        <v>545</v>
      </c>
      <c r="B34" s="7">
        <f>VLOOKUP(A34,'Total Electric Download'!$A$6:$E$85,5,0)+691</f>
        <v>660896</v>
      </c>
      <c r="C34" s="7">
        <f>SUMIF('Total Electric Download'!A:A,A34,'Total Electric Download'!B:B)</f>
        <v>660205</v>
      </c>
      <c r="D34" s="7"/>
      <c r="E34" s="7">
        <f>SUMIF('Total Electric Download'!A:A,A34,'Total Electric Download'!D:D)</f>
        <v>0</v>
      </c>
      <c r="F34" s="6">
        <f t="shared" si="5"/>
        <v>431708.05</v>
      </c>
      <c r="G34" s="159">
        <f t="shared" si="6"/>
        <v>431708.05</v>
      </c>
      <c r="H34" s="7"/>
      <c r="I34" s="6">
        <f>SUMIF('Total Electric Download'!A:A,A34,'Total Electric Download'!C:C)</f>
        <v>0</v>
      </c>
      <c r="J34" s="6">
        <f t="shared" si="7"/>
        <v>228496.95</v>
      </c>
      <c r="K34" s="72"/>
      <c r="L34" s="159">
        <f t="shared" si="8"/>
        <v>228496.95</v>
      </c>
      <c r="M34" s="7"/>
    </row>
    <row r="35" spans="1:13" hidden="1" outlineLevel="1">
      <c r="A35" s="2" t="s">
        <v>49</v>
      </c>
      <c r="B35" s="39">
        <f>SUM(B25:B34)</f>
        <v>11014502</v>
      </c>
      <c r="C35" s="39">
        <f t="shared" ref="C35:J35" si="9">SUM(C25:C34)</f>
        <v>11013811</v>
      </c>
      <c r="D35" s="102"/>
      <c r="E35" s="39">
        <f t="shared" si="9"/>
        <v>0</v>
      </c>
      <c r="F35" s="39">
        <f t="shared" si="9"/>
        <v>7201931.0099999998</v>
      </c>
      <c r="G35" s="160">
        <f t="shared" si="9"/>
        <v>7201931.0099999998</v>
      </c>
      <c r="H35" s="39"/>
      <c r="I35" s="39">
        <f t="shared" si="9"/>
        <v>0</v>
      </c>
      <c r="J35" s="39">
        <f t="shared" si="9"/>
        <v>3811879.99</v>
      </c>
      <c r="K35" s="73"/>
      <c r="L35" s="160">
        <f>SUM(L25:L34)</f>
        <v>3811879.99</v>
      </c>
      <c r="M35" s="7"/>
    </row>
    <row r="36" spans="1:13" ht="11.1" hidden="1" customHeight="1" outlineLevel="1">
      <c r="B36" s="7"/>
      <c r="C36" s="7"/>
      <c r="D36" s="7"/>
      <c r="E36" s="7"/>
      <c r="F36" s="6"/>
      <c r="G36" s="159"/>
      <c r="H36" s="7"/>
      <c r="I36" s="6"/>
      <c r="J36" s="6"/>
      <c r="K36" s="72"/>
      <c r="L36" s="159"/>
      <c r="M36" s="7"/>
    </row>
    <row r="37" spans="1:13" hidden="1" outlineLevel="1">
      <c r="A37" s="2" t="s">
        <v>50</v>
      </c>
      <c r="B37" s="7"/>
      <c r="C37" s="7"/>
      <c r="D37" s="7"/>
      <c r="E37" s="7"/>
      <c r="F37" s="6"/>
      <c r="G37" s="159"/>
      <c r="H37" s="7"/>
      <c r="I37" s="6"/>
      <c r="J37" s="6"/>
      <c r="K37" s="72"/>
      <c r="L37" s="159"/>
      <c r="M37" s="7"/>
    </row>
    <row r="38" spans="1:13" hidden="1" outlineLevel="1">
      <c r="A38" s="1">
        <v>546</v>
      </c>
      <c r="B38" s="7">
        <f>VLOOKUP(A38,'Total Electric Download'!$A$6:$E$85,5,0)</f>
        <v>112771</v>
      </c>
      <c r="C38" s="7">
        <f>SUMIF('Total Electric Download'!A:A,A38,'Total Electric Download'!B:B)</f>
        <v>112771</v>
      </c>
      <c r="D38" s="7"/>
      <c r="E38" s="7">
        <f>SUMIF('Total Electric Download'!A:A,A38,'Total Electric Download'!D:D)</f>
        <v>0</v>
      </c>
      <c r="F38" s="6">
        <f t="shared" ref="F38:F44" si="10">C38*$C$128</f>
        <v>73740.960000000006</v>
      </c>
      <c r="G38" s="159">
        <f t="shared" ref="G38:G44" si="11">E38+F38</f>
        <v>73740.960000000006</v>
      </c>
      <c r="H38" s="7"/>
      <c r="I38" s="6">
        <f>SUMIF('Total Electric Download'!A:A,A38,'Total Electric Download'!C:C)</f>
        <v>0</v>
      </c>
      <c r="J38" s="6">
        <f t="shared" ref="J38:J44" si="12">C38*$E$128</f>
        <v>39030.04</v>
      </c>
      <c r="K38" s="72"/>
      <c r="L38" s="159">
        <f t="shared" ref="L38:L44" si="13">I38+J38+K38</f>
        <v>39030.04</v>
      </c>
      <c r="M38" s="7"/>
    </row>
    <row r="39" spans="1:13" hidden="1" outlineLevel="1">
      <c r="A39" s="1">
        <v>548</v>
      </c>
      <c r="B39" s="7">
        <f>VLOOKUP(A39,'Total Electric Download'!$A$6:$E$85,5,0)</f>
        <v>294048</v>
      </c>
      <c r="C39" s="7">
        <f>SUMIF('Total Electric Download'!A:A,A39,'Total Electric Download'!B:B)</f>
        <v>294048</v>
      </c>
      <c r="D39" s="7"/>
      <c r="E39" s="7">
        <f>SUMIF('Total Electric Download'!A:A,A39,'Total Electric Download'!D:D)</f>
        <v>0</v>
      </c>
      <c r="F39" s="6">
        <f t="shared" si="10"/>
        <v>192277.99</v>
      </c>
      <c r="G39" s="159">
        <f t="shared" si="11"/>
        <v>192277.99</v>
      </c>
      <c r="H39" s="7"/>
      <c r="I39" s="6">
        <f>SUMIF('Total Electric Download'!A:A,A39,'Total Electric Download'!C:C)</f>
        <v>0</v>
      </c>
      <c r="J39" s="6">
        <f t="shared" si="12"/>
        <v>101770.01</v>
      </c>
      <c r="K39" s="72"/>
      <c r="L39" s="159">
        <f t="shared" si="13"/>
        <v>101770.01</v>
      </c>
      <c r="M39" s="7"/>
    </row>
    <row r="40" spans="1:13" hidden="1" outlineLevel="1">
      <c r="A40" s="1">
        <v>549</v>
      </c>
      <c r="B40" s="7">
        <f>VLOOKUP(A40,'Total Electric Download'!$A$6:$E$85,5,0)</f>
        <v>64067</v>
      </c>
      <c r="C40" s="7">
        <f>SUMIF('Total Electric Download'!A:A,A40,'Total Electric Download'!B:B)</f>
        <v>64067</v>
      </c>
      <c r="D40" s="7"/>
      <c r="E40" s="7">
        <f>SUMIF('Total Electric Download'!A:A,A40,'Total Electric Download'!D:D)</f>
        <v>0</v>
      </c>
      <c r="F40" s="6">
        <f t="shared" si="10"/>
        <v>41893.410000000003</v>
      </c>
      <c r="G40" s="159">
        <f t="shared" si="11"/>
        <v>41893.410000000003</v>
      </c>
      <c r="H40" s="7"/>
      <c r="I40" s="6">
        <f>SUMIF('Total Electric Download'!A:A,A40,'Total Electric Download'!C:C)</f>
        <v>0</v>
      </c>
      <c r="J40" s="6">
        <f t="shared" si="12"/>
        <v>22173.59</v>
      </c>
      <c r="K40" s="72"/>
      <c r="L40" s="159">
        <f t="shared" si="13"/>
        <v>22173.59</v>
      </c>
      <c r="M40" s="7"/>
    </row>
    <row r="41" spans="1:13" hidden="1" outlineLevel="1">
      <c r="A41" s="1">
        <v>551</v>
      </c>
      <c r="B41" s="7">
        <f>VLOOKUP(A41,'Total Electric Download'!$A$6:$E$85,5,0)</f>
        <v>316212</v>
      </c>
      <c r="C41" s="7">
        <f>SUMIF('Total Electric Download'!A:A,A41,'Total Electric Download'!B:B)</f>
        <v>316212</v>
      </c>
      <c r="D41" s="7"/>
      <c r="E41" s="7">
        <f>SUMIF('Total Electric Download'!A:A,A41,'Total Electric Download'!D:D)</f>
        <v>0</v>
      </c>
      <c r="F41" s="6">
        <f t="shared" si="10"/>
        <v>206771.03</v>
      </c>
      <c r="G41" s="159">
        <f t="shared" si="11"/>
        <v>206771.03</v>
      </c>
      <c r="H41" s="7"/>
      <c r="I41" s="6">
        <f>SUMIF('Total Electric Download'!A:A,A41,'Total Electric Download'!C:C)</f>
        <v>0</v>
      </c>
      <c r="J41" s="6">
        <f t="shared" si="12"/>
        <v>109440.97</v>
      </c>
      <c r="K41" s="72"/>
      <c r="L41" s="159">
        <f t="shared" si="13"/>
        <v>109440.97</v>
      </c>
      <c r="M41" s="7"/>
    </row>
    <row r="42" spans="1:13" hidden="1" outlineLevel="1">
      <c r="A42" s="1">
        <v>552</v>
      </c>
      <c r="B42" s="7">
        <f>VLOOKUP(A42,'Total Electric Download'!$A$6:$E$85,5,0)</f>
        <v>579</v>
      </c>
      <c r="C42" s="7">
        <f>SUMIF('Total Electric Download'!A:A,A42,'Total Electric Download'!B:B)</f>
        <v>579</v>
      </c>
      <c r="D42" s="7"/>
      <c r="E42" s="7">
        <f>SUMIF('Total Electric Download'!A:A,A42,'Total Electric Download'!D:D)</f>
        <v>0</v>
      </c>
      <c r="F42" s="6">
        <f t="shared" si="10"/>
        <v>378.61</v>
      </c>
      <c r="G42" s="159">
        <f t="shared" si="11"/>
        <v>378.61</v>
      </c>
      <c r="H42" s="7"/>
      <c r="I42" s="6">
        <f>SUMIF('Total Electric Download'!A:A,A42,'Total Electric Download'!C:C)</f>
        <v>0</v>
      </c>
      <c r="J42" s="6">
        <f t="shared" si="12"/>
        <v>200.39</v>
      </c>
      <c r="K42" s="72"/>
      <c r="L42" s="159">
        <f t="shared" si="13"/>
        <v>200.39</v>
      </c>
      <c r="M42" s="7"/>
    </row>
    <row r="43" spans="1:13" hidden="1" outlineLevel="1">
      <c r="A43" s="1">
        <v>553</v>
      </c>
      <c r="B43" s="7">
        <f>VLOOKUP(A43,'Total Electric Download'!$A$6:$E$85,5,0)</f>
        <v>319991</v>
      </c>
      <c r="C43" s="7">
        <f>SUMIF('Total Electric Download'!A:A,A43,'Total Electric Download'!B:B)</f>
        <v>319991</v>
      </c>
      <c r="D43" s="7"/>
      <c r="E43" s="7">
        <f>SUMIF('Total Electric Download'!A:A,A43,'Total Electric Download'!D:D)</f>
        <v>0</v>
      </c>
      <c r="F43" s="6">
        <f t="shared" si="10"/>
        <v>209242.11</v>
      </c>
      <c r="G43" s="159">
        <f t="shared" si="11"/>
        <v>209242.11</v>
      </c>
      <c r="H43" s="7"/>
      <c r="I43" s="6">
        <f>SUMIF('Total Electric Download'!A:A,A43,'Total Electric Download'!C:C)</f>
        <v>0</v>
      </c>
      <c r="J43" s="6">
        <f t="shared" si="12"/>
        <v>110748.89</v>
      </c>
      <c r="K43" s="72"/>
      <c r="L43" s="159">
        <f t="shared" si="13"/>
        <v>110748.89</v>
      </c>
      <c r="M43" s="7"/>
    </row>
    <row r="44" spans="1:13" hidden="1" outlineLevel="1">
      <c r="A44" s="1">
        <v>554</v>
      </c>
      <c r="B44" s="7">
        <f>VLOOKUP(A44,'Total Electric Download'!$A$6:$E$85,5,0)</f>
        <v>68008</v>
      </c>
      <c r="C44" s="7">
        <f>SUMIF('Total Electric Download'!A:A,A44,'Total Electric Download'!B:B)</f>
        <v>68008</v>
      </c>
      <c r="D44" s="7"/>
      <c r="E44" s="7">
        <f>SUMIF('Total Electric Download'!A:A,A44,'Total Electric Download'!D:D)</f>
        <v>0</v>
      </c>
      <c r="F44" s="6">
        <f t="shared" si="10"/>
        <v>44470.43</v>
      </c>
      <c r="G44" s="159">
        <f t="shared" si="11"/>
        <v>44470.43</v>
      </c>
      <c r="H44" s="7"/>
      <c r="I44" s="6">
        <f>SUMIF('Total Electric Download'!A:A,A44,'Total Electric Download'!C:C)</f>
        <v>0</v>
      </c>
      <c r="J44" s="6">
        <f t="shared" si="12"/>
        <v>23537.57</v>
      </c>
      <c r="K44" s="72"/>
      <c r="L44" s="159">
        <f t="shared" si="13"/>
        <v>23537.57</v>
      </c>
      <c r="M44" s="7"/>
    </row>
    <row r="45" spans="1:13" hidden="1" outlineLevel="1">
      <c r="A45" s="63" t="s">
        <v>55</v>
      </c>
      <c r="B45" s="39">
        <f>SUM(B38:B44)</f>
        <v>1175676</v>
      </c>
      <c r="C45" s="39">
        <f t="shared" ref="C45:J45" si="14">SUM(C38:C44)</f>
        <v>1175676</v>
      </c>
      <c r="D45" s="102"/>
      <c r="E45" s="39">
        <f t="shared" si="14"/>
        <v>0</v>
      </c>
      <c r="F45" s="39">
        <f t="shared" si="14"/>
        <v>768774.54</v>
      </c>
      <c r="G45" s="160">
        <f t="shared" si="14"/>
        <v>768774.54</v>
      </c>
      <c r="H45" s="39"/>
      <c r="I45" s="39">
        <f t="shared" si="14"/>
        <v>0</v>
      </c>
      <c r="J45" s="39">
        <f t="shared" si="14"/>
        <v>406901.46</v>
      </c>
      <c r="K45" s="73"/>
      <c r="L45" s="160">
        <f>SUM(L38:L44)</f>
        <v>406901.46</v>
      </c>
      <c r="M45" s="7"/>
    </row>
    <row r="46" spans="1:13" ht="9.9499999999999993" hidden="1" customHeight="1" outlineLevel="1">
      <c r="B46" s="7"/>
      <c r="C46" s="7"/>
      <c r="D46" s="7"/>
      <c r="E46" s="7"/>
      <c r="F46" s="6"/>
      <c r="G46" s="159"/>
      <c r="H46" s="7"/>
      <c r="I46" s="6"/>
      <c r="J46" s="6"/>
      <c r="K46" s="72"/>
      <c r="L46" s="159"/>
      <c r="M46" s="7"/>
    </row>
    <row r="47" spans="1:13" hidden="1" outlineLevel="1">
      <c r="A47" s="2" t="s">
        <v>56</v>
      </c>
      <c r="B47" s="7"/>
      <c r="C47" s="7"/>
      <c r="D47" s="7"/>
      <c r="E47" s="7"/>
      <c r="F47" s="6"/>
      <c r="G47" s="159"/>
      <c r="H47" s="7"/>
      <c r="I47" s="6"/>
      <c r="J47" s="6"/>
      <c r="K47" s="72"/>
      <c r="L47" s="159"/>
      <c r="M47" s="7"/>
    </row>
    <row r="48" spans="1:13" hidden="1" outlineLevel="1">
      <c r="A48" s="1">
        <v>556</v>
      </c>
      <c r="B48" s="7">
        <f>VLOOKUP(A48,'Total Electric Download'!$A$6:$E$85,5,0)</f>
        <v>257755</v>
      </c>
      <c r="C48" s="7">
        <f>SUMIF('Total Electric Download'!A:A,A48,'Total Electric Download'!B:B)</f>
        <v>257755</v>
      </c>
      <c r="D48" s="7"/>
      <c r="E48" s="7">
        <f>SUMIF('Total Electric Download'!A:A,A48,'Total Electric Download'!D:D)</f>
        <v>0</v>
      </c>
      <c r="F48" s="6">
        <f>C48*$C$128</f>
        <v>168545.99</v>
      </c>
      <c r="G48" s="159">
        <f>E48+F48</f>
        <v>168545.99</v>
      </c>
      <c r="H48" s="7"/>
      <c r="I48" s="6">
        <f>SUMIF('Total Electric Download'!A:A,A48,'Total Electric Download'!C:C)</f>
        <v>0</v>
      </c>
      <c r="J48" s="6">
        <f>C48*$E$128</f>
        <v>89209.01</v>
      </c>
      <c r="K48" s="72"/>
      <c r="L48" s="159">
        <f>I48+J48+K48</f>
        <v>89209.01</v>
      </c>
      <c r="M48" s="7"/>
    </row>
    <row r="49" spans="1:13" hidden="1" outlineLevel="1">
      <c r="A49" s="1">
        <v>557</v>
      </c>
      <c r="B49" s="7">
        <f>VLOOKUP(A49,'Total Electric Download'!$A$6:$E$85,5,0)</f>
        <v>3797406</v>
      </c>
      <c r="C49" s="7">
        <f>SUMIF('Total Electric Download'!A:A,A49,'Total Electric Download'!B:B)</f>
        <v>3797406</v>
      </c>
      <c r="D49" s="7"/>
      <c r="E49" s="7">
        <f>SUMIF('Total Electric Download'!A:A,A49,'Total Electric Download'!D:D)</f>
        <v>0</v>
      </c>
      <c r="F49" s="6">
        <f>C49*$C$128</f>
        <v>2483123.7799999998</v>
      </c>
      <c r="G49" s="159">
        <f>E49+F49</f>
        <v>2483123.7799999998</v>
      </c>
      <c r="H49" s="7"/>
      <c r="I49" s="6">
        <f>SUMIF('Total Electric Download'!A:A,A49,'Total Electric Download'!C:C)</f>
        <v>0</v>
      </c>
      <c r="J49" s="6">
        <f>C49*$E$128</f>
        <v>1314282.22</v>
      </c>
      <c r="K49" s="72"/>
      <c r="L49" s="159">
        <f>I49+J49+K49</f>
        <v>1314282.22</v>
      </c>
      <c r="M49" s="7"/>
    </row>
    <row r="50" spans="1:13" hidden="1" outlineLevel="1">
      <c r="A50" s="63" t="s">
        <v>165</v>
      </c>
      <c r="B50" s="39">
        <f t="shared" ref="B50" si="15">SUM(B48:B49)</f>
        <v>4055161</v>
      </c>
      <c r="C50" s="39">
        <f t="shared" ref="C50:J50" si="16">SUM(C48:C49)</f>
        <v>4055161</v>
      </c>
      <c r="D50" s="102"/>
      <c r="E50" s="39">
        <f t="shared" si="16"/>
        <v>0</v>
      </c>
      <c r="F50" s="39">
        <f t="shared" si="16"/>
        <v>2651669.77</v>
      </c>
      <c r="G50" s="160">
        <f t="shared" si="16"/>
        <v>2651669.77</v>
      </c>
      <c r="H50" s="39"/>
      <c r="I50" s="39">
        <f t="shared" si="16"/>
        <v>0</v>
      </c>
      <c r="J50" s="39">
        <f t="shared" si="16"/>
        <v>1403491.23</v>
      </c>
      <c r="K50" s="73"/>
      <c r="L50" s="160">
        <f>SUM(L48:L49)</f>
        <v>1403491.23</v>
      </c>
      <c r="M50" s="7"/>
    </row>
    <row r="51" spans="1:13" ht="9.9499999999999993" hidden="1" customHeight="1" outlineLevel="1">
      <c r="B51" s="7"/>
      <c r="C51" s="7"/>
      <c r="D51" s="7"/>
      <c r="E51" s="7"/>
      <c r="F51" s="6"/>
      <c r="G51" s="159"/>
      <c r="H51" s="7"/>
      <c r="I51" s="6"/>
      <c r="J51" s="6"/>
      <c r="K51" s="72"/>
      <c r="L51" s="159"/>
      <c r="M51" s="7"/>
    </row>
    <row r="52" spans="1:13" collapsed="1">
      <c r="A52" s="2" t="s">
        <v>28</v>
      </c>
      <c r="B52" s="39">
        <f>B22+B35+B45+B50</f>
        <v>19768019</v>
      </c>
      <c r="C52" s="39">
        <f>C22+C35+C45+C50</f>
        <v>19767328</v>
      </c>
      <c r="D52" s="39"/>
      <c r="E52" s="39">
        <f>E22+E35+E45+E50</f>
        <v>0</v>
      </c>
      <c r="F52" s="39">
        <f>F22+F35+F45+F50</f>
        <v>12925855.779999999</v>
      </c>
      <c r="G52" s="160">
        <f>G22+G35+G45+G50</f>
        <v>12925855.779999999</v>
      </c>
      <c r="H52" s="102"/>
      <c r="I52" s="102">
        <f>I22+I35+I45+I50</f>
        <v>0</v>
      </c>
      <c r="J52" s="102">
        <f>J22+J35+J45+J50</f>
        <v>6841472.2199999997</v>
      </c>
      <c r="K52" s="103"/>
      <c r="L52" s="160">
        <f>L22+L35+L45+L50</f>
        <v>6841472.2199999997</v>
      </c>
      <c r="M52" s="7"/>
    </row>
    <row r="53" spans="1:13" ht="9.9499999999999993" customHeight="1">
      <c r="B53" s="7"/>
      <c r="C53" s="7"/>
      <c r="D53" s="7"/>
      <c r="E53" s="7"/>
      <c r="F53" s="6"/>
      <c r="G53" s="159"/>
      <c r="H53" s="7"/>
      <c r="I53" s="6"/>
      <c r="J53" s="6"/>
      <c r="K53" s="72"/>
      <c r="L53" s="159"/>
      <c r="M53" s="7"/>
    </row>
    <row r="54" spans="1:13" hidden="1" outlineLevel="1">
      <c r="A54" s="2" t="s">
        <v>2</v>
      </c>
      <c r="B54" s="7"/>
      <c r="C54" s="7"/>
      <c r="D54" s="7"/>
      <c r="E54" s="7"/>
      <c r="F54" s="6"/>
      <c r="G54" s="159"/>
      <c r="H54" s="7"/>
      <c r="I54" s="6"/>
      <c r="J54" s="6"/>
      <c r="K54" s="72"/>
      <c r="L54" s="159"/>
      <c r="M54" s="7"/>
    </row>
    <row r="55" spans="1:13" hidden="1" outlineLevel="1">
      <c r="A55" s="1">
        <v>560</v>
      </c>
      <c r="B55" s="7">
        <f>VLOOKUP(A55,'Total Electric Download'!$A$6:$E$85,5,0)</f>
        <v>1241294</v>
      </c>
      <c r="C55" s="7">
        <f>SUMIF('Total Electric Download'!A:A,A55,'Total Electric Download'!B:B)</f>
        <v>1241294</v>
      </c>
      <c r="D55" s="7"/>
      <c r="E55" s="7">
        <f>SUMIF('Total Electric Download'!A:A,A55,'Total Electric Download'!D:D)</f>
        <v>0</v>
      </c>
      <c r="F55" s="6">
        <f t="shared" ref="F55:F67" si="17">C55*$C$128</f>
        <v>811682.15</v>
      </c>
      <c r="G55" s="159">
        <f t="shared" ref="G55:G67" si="18">E55+F55</f>
        <v>811682.15</v>
      </c>
      <c r="H55" s="7"/>
      <c r="I55" s="6">
        <f>SUMIF('Total Electric Download'!A:A,A55,'Total Electric Download'!C:C)</f>
        <v>0</v>
      </c>
      <c r="J55" s="6">
        <f t="shared" ref="J55:J67" si="19">C55*$E$128</f>
        <v>429611.85</v>
      </c>
      <c r="K55" s="72"/>
      <c r="L55" s="159">
        <f t="shared" ref="L55:L67" si="20">I55+J55+K55</f>
        <v>429611.85</v>
      </c>
      <c r="M55" s="7"/>
    </row>
    <row r="56" spans="1:13" hidden="1" outlineLevel="1">
      <c r="A56" s="1">
        <v>561</v>
      </c>
      <c r="B56" s="7">
        <f>'Total Electric Download'!E36+'Total Electric Download'!E37+'Total Electric Download'!E38</f>
        <v>1916681</v>
      </c>
      <c r="C56" s="7">
        <f>SUMIF('Total Electric Download'!A:A,A56,'Total Electric Download'!B:B)</f>
        <v>1916681</v>
      </c>
      <c r="D56" s="7"/>
      <c r="E56" s="7">
        <f>SUMIF('Total Electric Download'!A:A,A56,'Total Electric Download'!D:D)</f>
        <v>0</v>
      </c>
      <c r="F56" s="6">
        <f t="shared" si="17"/>
        <v>1253317.71</v>
      </c>
      <c r="G56" s="159">
        <f t="shared" si="18"/>
        <v>1253317.71</v>
      </c>
      <c r="H56" s="7"/>
      <c r="I56" s="6">
        <f>SUMIF('Total Electric Download'!A:A,A56,'Total Electric Download'!C:C)</f>
        <v>0</v>
      </c>
      <c r="J56" s="6">
        <f t="shared" si="19"/>
        <v>663363.29</v>
      </c>
      <c r="K56" s="72"/>
      <c r="L56" s="159">
        <f t="shared" si="20"/>
        <v>663363.29</v>
      </c>
      <c r="M56" s="7"/>
    </row>
    <row r="57" spans="1:13" hidden="1" outlineLevel="1">
      <c r="A57" s="1">
        <v>562</v>
      </c>
      <c r="B57" s="7">
        <f>VLOOKUP(A57,'Total Electric Download'!$A$6:$E$85,5,0)</f>
        <v>136618</v>
      </c>
      <c r="C57" s="7">
        <f>SUMIF('Total Electric Download'!A:A,A57,'Total Electric Download'!B:B)</f>
        <v>136618</v>
      </c>
      <c r="D57" s="7"/>
      <c r="E57" s="7">
        <f>SUMIF('Total Electric Download'!A:A,A57,'Total Electric Download'!D:D)</f>
        <v>0</v>
      </c>
      <c r="F57" s="6">
        <f t="shared" si="17"/>
        <v>89334.51</v>
      </c>
      <c r="G57" s="159">
        <f t="shared" si="18"/>
        <v>89334.51</v>
      </c>
      <c r="H57" s="7"/>
      <c r="I57" s="6">
        <f>SUMIF('Total Electric Download'!A:A,A57,'Total Electric Download'!C:C)</f>
        <v>0</v>
      </c>
      <c r="J57" s="6">
        <f t="shared" si="19"/>
        <v>47283.49</v>
      </c>
      <c r="K57" s="72"/>
      <c r="L57" s="159">
        <f t="shared" si="20"/>
        <v>47283.49</v>
      </c>
      <c r="M57" s="7"/>
    </row>
    <row r="58" spans="1:13" hidden="1" outlineLevel="1">
      <c r="A58" s="1">
        <v>563</v>
      </c>
      <c r="B58" s="7">
        <f>VLOOKUP(A58,'Total Electric Download'!$A$6:$E$85,5,0)</f>
        <v>68932</v>
      </c>
      <c r="C58" s="7">
        <f>SUMIF('Total Electric Download'!A:A,A58,'Total Electric Download'!B:B)</f>
        <v>68932</v>
      </c>
      <c r="D58" s="7"/>
      <c r="E58" s="7">
        <f>SUMIF('Total Electric Download'!A:A,A58,'Total Electric Download'!D:D)</f>
        <v>0</v>
      </c>
      <c r="F58" s="6">
        <f t="shared" si="17"/>
        <v>45074.63</v>
      </c>
      <c r="G58" s="159">
        <f t="shared" si="18"/>
        <v>45074.63</v>
      </c>
      <c r="H58" s="7"/>
      <c r="I58" s="6">
        <f>SUMIF('Total Electric Download'!A:A,A58,'Total Electric Download'!C:C)</f>
        <v>0</v>
      </c>
      <c r="J58" s="6">
        <f t="shared" si="19"/>
        <v>23857.37</v>
      </c>
      <c r="K58" s="72"/>
      <c r="L58" s="159">
        <f t="shared" si="20"/>
        <v>23857.37</v>
      </c>
      <c r="M58" s="7"/>
    </row>
    <row r="59" spans="1:13" hidden="1" outlineLevel="1">
      <c r="A59" s="1">
        <v>564</v>
      </c>
      <c r="B59" s="7">
        <v>0</v>
      </c>
      <c r="C59" s="7">
        <f>SUMIF('Total Electric Download'!A:A,A59,'Total Electric Download'!B:B)</f>
        <v>0</v>
      </c>
      <c r="D59" s="7"/>
      <c r="E59" s="7">
        <f>SUMIF('Total Electric Download'!A:A,A59,'Total Electric Download'!D:D)</f>
        <v>0</v>
      </c>
      <c r="F59" s="6">
        <f t="shared" si="17"/>
        <v>0</v>
      </c>
      <c r="G59" s="159">
        <f t="shared" si="18"/>
        <v>0</v>
      </c>
      <c r="H59" s="7"/>
      <c r="I59" s="6">
        <f>SUMIF('Total Electric Download'!A:A,A59,'Total Electric Download'!C:C)</f>
        <v>0</v>
      </c>
      <c r="J59" s="6">
        <f t="shared" si="19"/>
        <v>0</v>
      </c>
      <c r="K59" s="72"/>
      <c r="L59" s="159">
        <f t="shared" si="20"/>
        <v>0</v>
      </c>
      <c r="M59" s="7"/>
    </row>
    <row r="60" spans="1:13" hidden="1" outlineLevel="1">
      <c r="A60" s="1">
        <v>566</v>
      </c>
      <c r="B60" s="7">
        <f>VLOOKUP(A60,'Total Electric Download'!$A$6:$E$85,5,0)</f>
        <v>768043</v>
      </c>
      <c r="C60" s="7">
        <f>SUMIF('Total Electric Download'!A:A,A60,'Total Electric Download'!B:B)</f>
        <v>768043</v>
      </c>
      <c r="D60" s="7"/>
      <c r="E60" s="7">
        <f>SUMIF('Total Electric Download'!A:A,A60,'Total Electric Download'!D:D)</f>
        <v>0</v>
      </c>
      <c r="F60" s="6">
        <f t="shared" si="17"/>
        <v>502223.32</v>
      </c>
      <c r="G60" s="159">
        <f t="shared" si="18"/>
        <v>502223.32</v>
      </c>
      <c r="H60" s="7"/>
      <c r="I60" s="6">
        <f>SUMIF('Total Electric Download'!A:A,A60,'Total Electric Download'!C:C)</f>
        <v>0</v>
      </c>
      <c r="J60" s="6">
        <f t="shared" si="19"/>
        <v>265819.68</v>
      </c>
      <c r="K60" s="72"/>
      <c r="L60" s="159">
        <f t="shared" si="20"/>
        <v>265819.68</v>
      </c>
      <c r="M60" s="7"/>
    </row>
    <row r="61" spans="1:13" hidden="1" outlineLevel="1">
      <c r="A61" s="1">
        <v>567</v>
      </c>
      <c r="B61" s="7">
        <f>VLOOKUP(A61,'Total Electric Download'!$A$6:$E$85,5,0)</f>
        <v>11097</v>
      </c>
      <c r="C61" s="7">
        <f>SUMIF('Total Electric Download'!A:A,A61,'Total Electric Download'!B:B)</f>
        <v>11097</v>
      </c>
      <c r="D61" s="7"/>
      <c r="E61" s="7">
        <f>SUMIF('Total Electric Download'!A:A,A61,'Total Electric Download'!D:D)</f>
        <v>0</v>
      </c>
      <c r="F61" s="6">
        <f t="shared" si="17"/>
        <v>7256.33</v>
      </c>
      <c r="G61" s="159">
        <f t="shared" si="18"/>
        <v>7256.33</v>
      </c>
      <c r="H61" s="7"/>
      <c r="I61" s="6">
        <f>SUMIF('Total Electric Download'!A:A,A61,'Total Electric Download'!C:C)</f>
        <v>0</v>
      </c>
      <c r="J61" s="6">
        <f t="shared" si="19"/>
        <v>3840.67</v>
      </c>
      <c r="K61" s="72"/>
      <c r="L61" s="159">
        <f>I61+J61+K61</f>
        <v>3840.67</v>
      </c>
      <c r="M61" s="7"/>
    </row>
    <row r="62" spans="1:13" hidden="1" outlineLevel="1">
      <c r="A62" s="1">
        <v>568</v>
      </c>
      <c r="B62" s="7">
        <f>VLOOKUP(A62,'Total Electric Download'!$A$6:$E$85,5,0)</f>
        <v>384636</v>
      </c>
      <c r="C62" s="7">
        <f>SUMIF('Total Electric Download'!A:A,A62,'Total Electric Download'!B:B)</f>
        <v>384636</v>
      </c>
      <c r="D62" s="7"/>
      <c r="E62" s="7">
        <f>SUMIF('Total Electric Download'!A:A,A62,'Total Electric Download'!D:D)</f>
        <v>0</v>
      </c>
      <c r="F62" s="6">
        <f t="shared" si="17"/>
        <v>251513.48</v>
      </c>
      <c r="G62" s="159">
        <f t="shared" si="18"/>
        <v>251513.48</v>
      </c>
      <c r="H62" s="7"/>
      <c r="I62" s="6">
        <f>SUMIF('Total Electric Download'!A:A,A62,'Total Electric Download'!C:C)</f>
        <v>0</v>
      </c>
      <c r="J62" s="6">
        <f t="shared" si="19"/>
        <v>133122.51999999999</v>
      </c>
      <c r="K62" s="72"/>
      <c r="L62" s="159">
        <f t="shared" si="20"/>
        <v>133122.51999999999</v>
      </c>
      <c r="M62" s="7"/>
    </row>
    <row r="63" spans="1:13" hidden="1" outlineLevel="1">
      <c r="A63" s="1">
        <v>569</v>
      </c>
      <c r="B63" s="7">
        <f>VLOOKUP(A63,'Total Electric Download'!$A$6:$E$85,5,0)</f>
        <v>370545</v>
      </c>
      <c r="C63" s="7">
        <f>SUMIF('Total Electric Download'!A:A,A63,'Total Electric Download'!B:B)</f>
        <v>370006</v>
      </c>
      <c r="D63" s="7"/>
      <c r="E63" s="7">
        <f>SUMIF('Total Electric Download'!A:A,A63,'Total Electric Download'!D:D)</f>
        <v>0</v>
      </c>
      <c r="F63" s="6">
        <f t="shared" si="17"/>
        <v>241946.92</v>
      </c>
      <c r="G63" s="159">
        <f t="shared" si="18"/>
        <v>241946.92</v>
      </c>
      <c r="H63" s="7"/>
      <c r="I63" s="6">
        <f>SUMIF('Total Electric Download'!A:A,A63,'Total Electric Download'!C:C)</f>
        <v>539</v>
      </c>
      <c r="J63" s="6">
        <f t="shared" si="19"/>
        <v>128059.08</v>
      </c>
      <c r="K63" s="72"/>
      <c r="L63" s="159">
        <f t="shared" si="20"/>
        <v>128598.08</v>
      </c>
      <c r="M63" s="7"/>
    </row>
    <row r="64" spans="1:13" hidden="1" outlineLevel="1">
      <c r="A64" s="1">
        <v>570</v>
      </c>
      <c r="B64" s="7">
        <f>VLOOKUP(A64,'Total Electric Download'!$A$6:$E$85,5,0)</f>
        <v>404826</v>
      </c>
      <c r="C64" s="7">
        <f>SUMIF('Total Electric Download'!A:A,A64,'Total Electric Download'!B:B)</f>
        <v>404826</v>
      </c>
      <c r="D64" s="7"/>
      <c r="E64" s="7">
        <f>SUMIF('Total Electric Download'!A:A,A64,'Total Electric Download'!D:D)</f>
        <v>0</v>
      </c>
      <c r="F64" s="6">
        <f t="shared" si="17"/>
        <v>264715.71999999997</v>
      </c>
      <c r="G64" s="159">
        <f t="shared" si="18"/>
        <v>264715.71999999997</v>
      </c>
      <c r="H64" s="7"/>
      <c r="I64" s="6">
        <f>SUMIF('Total Electric Download'!A:A,A64,'Total Electric Download'!C:C)</f>
        <v>0</v>
      </c>
      <c r="J64" s="6">
        <f t="shared" si="19"/>
        <v>140110.28</v>
      </c>
      <c r="K64" s="72"/>
      <c r="L64" s="159">
        <f t="shared" si="20"/>
        <v>140110.28</v>
      </c>
      <c r="M64" s="7"/>
    </row>
    <row r="65" spans="1:13" hidden="1" outlineLevel="1">
      <c r="A65" s="1">
        <v>571</v>
      </c>
      <c r="B65" s="7">
        <f>VLOOKUP(A65,'Total Electric Download'!$A$6:$E$85,5,0)</f>
        <v>34682</v>
      </c>
      <c r="C65" s="7">
        <f>SUMIF('Total Electric Download'!A:A,A65,'Total Electric Download'!B:B)</f>
        <v>29433</v>
      </c>
      <c r="D65" s="7"/>
      <c r="E65" s="7">
        <f>SUMIF('Total Electric Download'!A:A,A65,'Total Electric Download'!D:D)</f>
        <v>0</v>
      </c>
      <c r="F65" s="6">
        <f t="shared" si="17"/>
        <v>19246.240000000002</v>
      </c>
      <c r="G65" s="159">
        <f t="shared" si="18"/>
        <v>19246.240000000002</v>
      </c>
      <c r="H65" s="7"/>
      <c r="I65" s="6">
        <f>SUMIF('Total Electric Download'!A:A,A65,'Total Electric Download'!C:C)</f>
        <v>5249</v>
      </c>
      <c r="J65" s="6">
        <f t="shared" si="19"/>
        <v>10186.76</v>
      </c>
      <c r="K65" s="72"/>
      <c r="L65" s="159">
        <f t="shared" si="20"/>
        <v>15435.76</v>
      </c>
      <c r="M65" s="7"/>
    </row>
    <row r="66" spans="1:13" hidden="1" outlineLevel="1">
      <c r="A66" s="1">
        <v>572</v>
      </c>
      <c r="B66" s="7">
        <f>VLOOKUP(A66,'Total Electric Download'!$A$6:$E$85,5,0)</f>
        <v>0</v>
      </c>
      <c r="C66" s="7">
        <f>SUMIF('Total Electric Download'!A:A,A66,'Total Electric Download'!B:B)</f>
        <v>0</v>
      </c>
      <c r="D66" s="7"/>
      <c r="E66" s="7">
        <f>SUMIF('Total Electric Download'!A:A,A66,'Total Electric Download'!D:D)</f>
        <v>0</v>
      </c>
      <c r="F66" s="6">
        <f t="shared" si="17"/>
        <v>0</v>
      </c>
      <c r="G66" s="159">
        <f t="shared" si="18"/>
        <v>0</v>
      </c>
      <c r="H66" s="7"/>
      <c r="I66" s="6">
        <f>SUMIF('Total Electric Download'!A:A,A66,'Total Electric Download'!C:C)</f>
        <v>0</v>
      </c>
      <c r="J66" s="6">
        <f t="shared" si="19"/>
        <v>0</v>
      </c>
      <c r="K66" s="72"/>
      <c r="L66" s="159">
        <f t="shared" si="20"/>
        <v>0</v>
      </c>
      <c r="M66" s="7"/>
    </row>
    <row r="67" spans="1:13" hidden="1" outlineLevel="1">
      <c r="A67" s="1">
        <v>573</v>
      </c>
      <c r="B67" s="7">
        <f>VLOOKUP(A67,'Total Electric Download'!$A$6:$E$85,5,0)</f>
        <v>14824</v>
      </c>
      <c r="C67" s="7">
        <f>SUMIF('Total Electric Download'!A:A,A67,'Total Electric Download'!B:B)</f>
        <v>14824</v>
      </c>
      <c r="D67" s="7"/>
      <c r="E67" s="7">
        <f>SUMIF('Total Electric Download'!A:A,A67,'Total Electric Download'!D:D)</f>
        <v>0</v>
      </c>
      <c r="F67" s="6">
        <f t="shared" si="17"/>
        <v>9693.41</v>
      </c>
      <c r="G67" s="159">
        <f t="shared" si="18"/>
        <v>9693.41</v>
      </c>
      <c r="H67" s="7"/>
      <c r="I67" s="6">
        <f>SUMIF('Total Electric Download'!A:A,A67,'Total Electric Download'!C:C)</f>
        <v>0</v>
      </c>
      <c r="J67" s="6">
        <f t="shared" si="19"/>
        <v>5130.59</v>
      </c>
      <c r="K67" s="72"/>
      <c r="L67" s="159">
        <f t="shared" si="20"/>
        <v>5130.59</v>
      </c>
      <c r="M67" s="7"/>
    </row>
    <row r="68" spans="1:13" collapsed="1">
      <c r="A68" s="2" t="s">
        <v>3</v>
      </c>
      <c r="B68" s="102">
        <f>SUM(B55:B67)</f>
        <v>5352178</v>
      </c>
      <c r="C68" s="102">
        <f>SUM(C55:C67)</f>
        <v>5346390</v>
      </c>
      <c r="D68" s="102"/>
      <c r="E68" s="102">
        <f t="shared" ref="E68:J68" si="21">SUM(E55:E67)</f>
        <v>0</v>
      </c>
      <c r="F68" s="102">
        <f t="shared" si="21"/>
        <v>3496004.42</v>
      </c>
      <c r="G68" s="160">
        <f t="shared" si="21"/>
        <v>3496004.42</v>
      </c>
      <c r="H68" s="102"/>
      <c r="I68" s="102">
        <f t="shared" si="21"/>
        <v>5788</v>
      </c>
      <c r="J68" s="102">
        <f t="shared" si="21"/>
        <v>1850385.58</v>
      </c>
      <c r="K68" s="103"/>
      <c r="L68" s="160">
        <f>SUM(L55:L67)</f>
        <v>1856173.58</v>
      </c>
      <c r="M68" s="7"/>
    </row>
    <row r="69" spans="1:13" ht="9.9499999999999993" customHeight="1">
      <c r="B69" s="6"/>
      <c r="C69" s="6"/>
      <c r="D69" s="7"/>
      <c r="E69" s="6"/>
      <c r="F69" s="6"/>
      <c r="G69" s="159"/>
      <c r="H69" s="7"/>
      <c r="I69" s="6"/>
      <c r="J69" s="6"/>
      <c r="K69" s="72"/>
      <c r="L69" s="159"/>
      <c r="M69" s="7"/>
    </row>
    <row r="70" spans="1:13" hidden="1" outlineLevel="1">
      <c r="A70" s="2" t="s">
        <v>4</v>
      </c>
      <c r="B70" s="6"/>
      <c r="C70" s="6"/>
      <c r="D70" s="7"/>
      <c r="E70" s="6"/>
      <c r="F70" s="6"/>
      <c r="G70" s="159"/>
      <c r="H70" s="7"/>
      <c r="I70" s="6"/>
      <c r="J70" s="6"/>
      <c r="K70" s="72"/>
      <c r="L70" s="159"/>
      <c r="M70" s="7"/>
    </row>
    <row r="71" spans="1:13" hidden="1" outlineLevel="1">
      <c r="A71" s="1">
        <v>580</v>
      </c>
      <c r="B71" s="7">
        <f>VLOOKUP(A71,'Total Electric Download'!$A$6:$E$85,5,0)</f>
        <v>2195398</v>
      </c>
      <c r="C71" s="7">
        <f>SUMIF('Total Electric Download'!A:A,A71,'Total Electric Download'!B:B)</f>
        <v>1751844</v>
      </c>
      <c r="D71" s="7"/>
      <c r="E71" s="7">
        <f>SUMIF('Total Electric Download'!A:A,A71,'Total Electric Download'!D:D)</f>
        <v>326769</v>
      </c>
      <c r="F71" s="6">
        <f t="shared" ref="F71:F89" si="22">C71*$C$130</f>
        <v>1187154.6100000001</v>
      </c>
      <c r="G71" s="159">
        <f t="shared" ref="G71:G89" si="23">E71+F71</f>
        <v>1513923.61</v>
      </c>
      <c r="H71" s="7"/>
      <c r="I71" s="6">
        <f>SUMIF('Total Electric Download'!A:A,A71,'Total Electric Download'!C:C)</f>
        <v>116785</v>
      </c>
      <c r="J71" s="6">
        <f t="shared" ref="J71:J89" si="24">C71*$E$130</f>
        <v>564689.39</v>
      </c>
      <c r="K71" s="72"/>
      <c r="L71" s="159">
        <f t="shared" ref="L71:L89" si="25">I71+J71+K71</f>
        <v>681474.39</v>
      </c>
      <c r="M71" s="7"/>
    </row>
    <row r="72" spans="1:13" hidden="1" outlineLevel="1">
      <c r="A72" s="1">
        <v>581</v>
      </c>
      <c r="B72" s="7">
        <v>0</v>
      </c>
      <c r="C72" s="7">
        <f>SUMIF('Total Electric Download'!A:A,A72,'Total Electric Download'!B:B)</f>
        <v>0</v>
      </c>
      <c r="D72" s="7"/>
      <c r="E72" s="7">
        <f>SUMIF('Total Electric Download'!A:A,A72,'Total Electric Download'!D:D)</f>
        <v>0</v>
      </c>
      <c r="F72" s="6">
        <f t="shared" si="22"/>
        <v>0</v>
      </c>
      <c r="G72" s="159">
        <f t="shared" si="23"/>
        <v>0</v>
      </c>
      <c r="H72" s="7"/>
      <c r="I72" s="6">
        <f>SUMIF('Total Electric Download'!A:A,A72,'Total Electric Download'!C:C)</f>
        <v>0</v>
      </c>
      <c r="J72" s="6">
        <f t="shared" si="24"/>
        <v>0</v>
      </c>
      <c r="K72" s="72"/>
      <c r="L72" s="159">
        <f t="shared" si="25"/>
        <v>0</v>
      </c>
      <c r="M72" s="7"/>
    </row>
    <row r="73" spans="1:13" hidden="1" outlineLevel="1">
      <c r="A73" s="1">
        <v>582</v>
      </c>
      <c r="B73" s="7">
        <f>VLOOKUP(A73,'Total Electric Download'!$A$6:$E$85,5,0)</f>
        <v>366701</v>
      </c>
      <c r="C73" s="7">
        <f>SUMIF('Total Electric Download'!A:A,A73,'Total Electric Download'!B:B)</f>
        <v>25867</v>
      </c>
      <c r="D73" s="7"/>
      <c r="E73" s="7">
        <f>SUMIF('Total Electric Download'!A:A,A73,'Total Electric Download'!D:D)</f>
        <v>171026</v>
      </c>
      <c r="F73" s="6">
        <f t="shared" si="22"/>
        <v>17529.03</v>
      </c>
      <c r="G73" s="159">
        <f t="shared" si="23"/>
        <v>188555.03</v>
      </c>
      <c r="H73" s="7"/>
      <c r="I73" s="6">
        <f>SUMIF('Total Electric Download'!A:A,A73,'Total Electric Download'!C:C)</f>
        <v>169808</v>
      </c>
      <c r="J73" s="6">
        <f t="shared" si="24"/>
        <v>8337.9699999999993</v>
      </c>
      <c r="K73" s="72"/>
      <c r="L73" s="159">
        <f t="shared" si="25"/>
        <v>178145.97</v>
      </c>
      <c r="M73" s="7"/>
    </row>
    <row r="74" spans="1:13" hidden="1" outlineLevel="1">
      <c r="A74" s="1">
        <v>583</v>
      </c>
      <c r="B74" s="7">
        <f>VLOOKUP(A74,'Total Electric Download'!$A$6:$E$85,5,0)</f>
        <v>1122076</v>
      </c>
      <c r="C74" s="7">
        <f>SUMIF('Total Electric Download'!A:A,A74,'Total Electric Download'!B:B)</f>
        <v>221761</v>
      </c>
      <c r="D74" s="7"/>
      <c r="E74" s="7">
        <f>SUMIF('Total Electric Download'!A:A,A74,'Total Electric Download'!D:D)</f>
        <v>600348</v>
      </c>
      <c r="F74" s="6">
        <f t="shared" si="22"/>
        <v>150278.56</v>
      </c>
      <c r="G74" s="159">
        <f t="shared" si="23"/>
        <v>750626.56</v>
      </c>
      <c r="H74" s="7"/>
      <c r="I74" s="6">
        <f>SUMIF('Total Electric Download'!A:A,A74,'Total Electric Download'!C:C)</f>
        <v>299967</v>
      </c>
      <c r="J74" s="6">
        <f t="shared" si="24"/>
        <v>71482.44</v>
      </c>
      <c r="K74" s="72"/>
      <c r="L74" s="159">
        <f t="shared" si="25"/>
        <v>371449.44</v>
      </c>
      <c r="M74" s="7"/>
    </row>
    <row r="75" spans="1:13" hidden="1" outlineLevel="1">
      <c r="A75" s="1">
        <v>584</v>
      </c>
      <c r="B75" s="7">
        <f>VLOOKUP(A75,'Total Electric Download'!$A$6:$E$85,5,0)+'Total Electric Download'!E53</f>
        <v>483160</v>
      </c>
      <c r="C75" s="7">
        <f>SUMIF('Total Electric Download'!A:A,A75,'Total Electric Download'!B:B)</f>
        <v>0</v>
      </c>
      <c r="D75" s="7"/>
      <c r="E75" s="7">
        <f>SUMIF('Total Electric Download'!A:A,A75,'Total Electric Download'!D:D)</f>
        <v>261877</v>
      </c>
      <c r="F75" s="6">
        <f t="shared" si="22"/>
        <v>0</v>
      </c>
      <c r="G75" s="159">
        <f t="shared" si="23"/>
        <v>261877</v>
      </c>
      <c r="H75" s="7"/>
      <c r="I75" s="6">
        <f>SUMIF('Total Electric Download'!A:A,A75,'Total Electric Download'!C:C)</f>
        <v>221283</v>
      </c>
      <c r="J75" s="6">
        <f t="shared" si="24"/>
        <v>0</v>
      </c>
      <c r="K75" s="72"/>
      <c r="L75" s="159">
        <f t="shared" si="25"/>
        <v>221283</v>
      </c>
      <c r="M75" s="7"/>
    </row>
    <row r="76" spans="1:13" hidden="1" outlineLevel="1">
      <c r="A76" s="1">
        <v>585</v>
      </c>
      <c r="B76" s="7">
        <f>VLOOKUP(A76,'Total Electric Download'!$A$6:$E$85,5,0)</f>
        <v>3405</v>
      </c>
      <c r="C76" s="7">
        <f>SUMIF('Total Electric Download'!A:A,A76,'Total Electric Download'!B:B)</f>
        <v>0</v>
      </c>
      <c r="D76" s="7"/>
      <c r="E76" s="7">
        <f>SUMIF('Total Electric Download'!A:A,A76,'Total Electric Download'!D:D)</f>
        <v>3405</v>
      </c>
      <c r="F76" s="6">
        <f t="shared" si="22"/>
        <v>0</v>
      </c>
      <c r="G76" s="159">
        <f t="shared" si="23"/>
        <v>3405</v>
      </c>
      <c r="H76" s="7"/>
      <c r="I76" s="6">
        <f>SUMIF('Total Electric Download'!A:A,A76,'Total Electric Download'!C:C)</f>
        <v>0</v>
      </c>
      <c r="J76" s="6">
        <f t="shared" si="24"/>
        <v>0</v>
      </c>
      <c r="K76" s="72"/>
      <c r="L76" s="159">
        <f t="shared" si="25"/>
        <v>0</v>
      </c>
      <c r="M76" s="7"/>
    </row>
    <row r="77" spans="1:13" hidden="1" outlineLevel="1">
      <c r="A77" s="1">
        <v>586</v>
      </c>
      <c r="B77" s="7">
        <f>VLOOKUP(A77,'Total Electric Download'!$A$6:$E$85,5,0)</f>
        <v>1063664</v>
      </c>
      <c r="C77" s="7">
        <f>SUMIF('Total Electric Download'!A:A,A77,'Total Electric Download'!B:B)</f>
        <v>19405</v>
      </c>
      <c r="D77" s="7"/>
      <c r="E77" s="7">
        <f>SUMIF('Total Electric Download'!A:A,A77,'Total Electric Download'!D:D)</f>
        <v>803901</v>
      </c>
      <c r="F77" s="6">
        <f t="shared" si="22"/>
        <v>13149.99</v>
      </c>
      <c r="G77" s="159">
        <f t="shared" si="23"/>
        <v>817050.99</v>
      </c>
      <c r="H77" s="7"/>
      <c r="I77" s="6">
        <f>SUMIF('Total Electric Download'!A:A,A77,'Total Electric Download'!C:C)</f>
        <v>240358</v>
      </c>
      <c r="J77" s="6">
        <f t="shared" si="24"/>
        <v>6255.01</v>
      </c>
      <c r="K77" s="72"/>
      <c r="L77" s="159">
        <f t="shared" si="25"/>
        <v>246613.01</v>
      </c>
      <c r="M77" s="7"/>
    </row>
    <row r="78" spans="1:13" hidden="1" outlineLevel="1">
      <c r="A78" s="1">
        <v>587</v>
      </c>
      <c r="B78" s="7">
        <f>VLOOKUP(A78,'Total Electric Download'!$A$6:$E$85,5,0)</f>
        <v>434089</v>
      </c>
      <c r="C78" s="7">
        <f>SUMIF('Total Electric Download'!A:A,A78,'Total Electric Download'!B:B)</f>
        <v>83660</v>
      </c>
      <c r="D78" s="7"/>
      <c r="E78" s="7">
        <f>SUMIF('Total Electric Download'!A:A,A78,'Total Electric Download'!D:D)</f>
        <v>225188</v>
      </c>
      <c r="F78" s="6">
        <f t="shared" si="22"/>
        <v>56693.04</v>
      </c>
      <c r="G78" s="159">
        <f t="shared" si="23"/>
        <v>281881.03999999998</v>
      </c>
      <c r="H78" s="7"/>
      <c r="I78" s="6">
        <f>SUMIF('Total Electric Download'!A:A,A78,'Total Electric Download'!C:C)</f>
        <v>125241</v>
      </c>
      <c r="J78" s="6">
        <f t="shared" si="24"/>
        <v>26966.959999999999</v>
      </c>
      <c r="K78" s="72"/>
      <c r="L78" s="159">
        <f t="shared" si="25"/>
        <v>152207.96</v>
      </c>
      <c r="M78" s="7"/>
    </row>
    <row r="79" spans="1:13" hidden="1" outlineLevel="1">
      <c r="A79" s="1">
        <v>588</v>
      </c>
      <c r="B79" s="7">
        <f>VLOOKUP(A79,'Total Electric Download'!$A$6:$E$85,5,0)</f>
        <v>4192666</v>
      </c>
      <c r="C79" s="7">
        <f>SUMIF('Total Electric Download'!A:A,A79,'Total Electric Download'!B:B)</f>
        <v>2113167</v>
      </c>
      <c r="D79" s="7"/>
      <c r="E79" s="7">
        <f>SUMIF('Total Electric Download'!A:A,A79,'Total Electric Download'!D:D)</f>
        <v>1301461</v>
      </c>
      <c r="F79" s="6">
        <f t="shared" si="22"/>
        <v>1432008.75</v>
      </c>
      <c r="G79" s="159">
        <f t="shared" si="23"/>
        <v>2733469.75</v>
      </c>
      <c r="H79" s="7"/>
      <c r="I79" s="6">
        <f>SUMIF('Total Electric Download'!A:A,A79,'Total Electric Download'!C:C)</f>
        <v>778038</v>
      </c>
      <c r="J79" s="6">
        <f t="shared" si="24"/>
        <v>681158.25</v>
      </c>
      <c r="K79" s="72"/>
      <c r="L79" s="159">
        <f t="shared" si="25"/>
        <v>1459196.25</v>
      </c>
      <c r="M79" s="7"/>
    </row>
    <row r="80" spans="1:13" hidden="1" outlineLevel="1">
      <c r="A80" s="1">
        <v>589</v>
      </c>
      <c r="B80" s="7">
        <f>VLOOKUP(A80,'Total Electric Download'!$A$6:$E$85,5,0)</f>
        <v>28485</v>
      </c>
      <c r="C80" s="7">
        <f>SUMIF('Total Electric Download'!A:A,A80,'Total Electric Download'!B:B)</f>
        <v>28485</v>
      </c>
      <c r="D80" s="7"/>
      <c r="E80" s="7">
        <f>SUMIF('Total Electric Download'!A:A,A80,'Total Electric Download'!D:D)</f>
        <v>0</v>
      </c>
      <c r="F80" s="6">
        <f t="shared" si="22"/>
        <v>19303.150000000001</v>
      </c>
      <c r="G80" s="159">
        <f t="shared" si="23"/>
        <v>19303.150000000001</v>
      </c>
      <c r="H80" s="7"/>
      <c r="I80" s="6">
        <f>SUMIF('Total Electric Download'!A:A,A80,'Total Electric Download'!C:C)</f>
        <v>0</v>
      </c>
      <c r="J80" s="6">
        <f t="shared" si="24"/>
        <v>9181.85</v>
      </c>
      <c r="K80" s="72"/>
      <c r="L80" s="159">
        <f t="shared" si="25"/>
        <v>9181.85</v>
      </c>
      <c r="M80" s="7"/>
    </row>
    <row r="81" spans="1:13" hidden="1" outlineLevel="1">
      <c r="A81" s="1">
        <v>590</v>
      </c>
      <c r="B81" s="7">
        <f>VLOOKUP(A81,'Total Electric Download'!$A$6:$E$85,5,0)</f>
        <v>573636</v>
      </c>
      <c r="C81" s="7">
        <f>SUMIF('Total Electric Download'!A:A,A81,'Total Electric Download'!B:B)</f>
        <v>419474</v>
      </c>
      <c r="D81" s="7"/>
      <c r="E81" s="7">
        <f>SUMIF('Total Electric Download'!A:A,A81,'Total Electric Download'!D:D)</f>
        <v>87077</v>
      </c>
      <c r="F81" s="6">
        <f t="shared" si="22"/>
        <v>284260.75</v>
      </c>
      <c r="G81" s="159">
        <f t="shared" si="23"/>
        <v>371337.75</v>
      </c>
      <c r="H81" s="7"/>
      <c r="I81" s="6">
        <f>SUMIF('Total Electric Download'!A:A,A81,'Total Electric Download'!C:C)</f>
        <v>67085</v>
      </c>
      <c r="J81" s="6">
        <f t="shared" si="24"/>
        <v>135213.25</v>
      </c>
      <c r="K81" s="72"/>
      <c r="L81" s="159">
        <f t="shared" si="25"/>
        <v>202298.25</v>
      </c>
      <c r="M81" s="7"/>
    </row>
    <row r="82" spans="1:13" hidden="1" outlineLevel="1">
      <c r="A82" s="1">
        <v>591</v>
      </c>
      <c r="B82" s="7">
        <f>VLOOKUP(A82,'Total Electric Download'!$A$6:$E$85,5,0)</f>
        <v>225170</v>
      </c>
      <c r="C82" s="7">
        <f>SUMIF('Total Electric Download'!A:A,A82,'Total Electric Download'!B:B)</f>
        <v>0</v>
      </c>
      <c r="D82" s="7"/>
      <c r="E82" s="7">
        <f>SUMIF('Total Electric Download'!A:A,A82,'Total Electric Download'!D:D)</f>
        <v>135916</v>
      </c>
      <c r="F82" s="6">
        <f t="shared" si="22"/>
        <v>0</v>
      </c>
      <c r="G82" s="159">
        <f t="shared" si="23"/>
        <v>135916</v>
      </c>
      <c r="H82" s="7"/>
      <c r="I82" s="6">
        <f>SUMIF('Total Electric Download'!A:A,A82,'Total Electric Download'!C:C)</f>
        <v>89254</v>
      </c>
      <c r="J82" s="6">
        <f t="shared" si="24"/>
        <v>0</v>
      </c>
      <c r="K82" s="72"/>
      <c r="L82" s="159">
        <f t="shared" si="25"/>
        <v>89254</v>
      </c>
      <c r="M82" s="7"/>
    </row>
    <row r="83" spans="1:13" hidden="1" outlineLevel="1">
      <c r="A83" s="1">
        <v>592</v>
      </c>
      <c r="B83" s="7">
        <f>VLOOKUP(A83,'Total Electric Download'!$A$6:$E$85,5,0)</f>
        <v>356705</v>
      </c>
      <c r="C83" s="7">
        <f>SUMIF('Total Electric Download'!A:A,A83,'Total Electric Download'!B:B)</f>
        <v>31220</v>
      </c>
      <c r="D83" s="7"/>
      <c r="E83" s="7">
        <f>SUMIF('Total Electric Download'!A:A,A83,'Total Electric Download'!D:D)</f>
        <v>196233</v>
      </c>
      <c r="F83" s="6">
        <f t="shared" si="22"/>
        <v>21156.55</v>
      </c>
      <c r="G83" s="159">
        <f t="shared" si="23"/>
        <v>217389.55</v>
      </c>
      <c r="H83" s="7"/>
      <c r="I83" s="6">
        <f>SUMIF('Total Electric Download'!A:A,A83,'Total Electric Download'!C:C)</f>
        <v>129252</v>
      </c>
      <c r="J83" s="6">
        <f t="shared" si="24"/>
        <v>10063.450000000001</v>
      </c>
      <c r="K83" s="72"/>
      <c r="L83" s="159">
        <f t="shared" si="25"/>
        <v>139315.45000000001</v>
      </c>
      <c r="M83" s="7"/>
    </row>
    <row r="84" spans="1:13" hidden="1" outlineLevel="1">
      <c r="A84" s="1">
        <v>593</v>
      </c>
      <c r="B84" s="7">
        <f>VLOOKUP(A84,'Total Electric Download'!$A$6:$E$85,5,0)</f>
        <v>1789437</v>
      </c>
      <c r="C84" s="7">
        <f>SUMIF('Total Electric Download'!A:A,A84,'Total Electric Download'!B:B)</f>
        <v>2573</v>
      </c>
      <c r="D84" s="7"/>
      <c r="E84" s="7">
        <f>SUMIF('Total Electric Download'!A:A,A84,'Total Electric Download'!D:D)</f>
        <v>1167655</v>
      </c>
      <c r="F84" s="6">
        <f t="shared" si="22"/>
        <v>1743.62</v>
      </c>
      <c r="G84" s="159">
        <f t="shared" si="23"/>
        <v>1169398.6200000001</v>
      </c>
      <c r="H84" s="7"/>
      <c r="I84" s="6">
        <f>SUMIF('Total Electric Download'!A:A,A84,'Total Electric Download'!C:C)</f>
        <v>619209</v>
      </c>
      <c r="J84" s="6">
        <f t="shared" si="24"/>
        <v>829.38</v>
      </c>
      <c r="K84" s="72"/>
      <c r="L84" s="159">
        <f t="shared" si="25"/>
        <v>620038.38</v>
      </c>
      <c r="M84" s="7"/>
    </row>
    <row r="85" spans="1:13" hidden="1" outlineLevel="1">
      <c r="A85" s="1">
        <v>594</v>
      </c>
      <c r="B85" s="7">
        <f>VLOOKUP(A85,'Total Electric Download'!$A$6:$E$85,5,0)</f>
        <v>522076</v>
      </c>
      <c r="C85" s="7">
        <f>SUMIF('Total Electric Download'!A:A,A85,'Total Electric Download'!B:B)</f>
        <v>0</v>
      </c>
      <c r="D85" s="7"/>
      <c r="E85" s="7">
        <f>SUMIF('Total Electric Download'!A:A,A85,'Total Electric Download'!D:D)</f>
        <v>362643</v>
      </c>
      <c r="F85" s="6">
        <f t="shared" si="22"/>
        <v>0</v>
      </c>
      <c r="G85" s="159">
        <f t="shared" si="23"/>
        <v>362643</v>
      </c>
      <c r="H85" s="7"/>
      <c r="I85" s="6">
        <f>SUMIF('Total Electric Download'!A:A,A85,'Total Electric Download'!C:C)</f>
        <v>159433</v>
      </c>
      <c r="J85" s="6">
        <f t="shared" si="24"/>
        <v>0</v>
      </c>
      <c r="K85" s="72"/>
      <c r="L85" s="159">
        <f t="shared" si="25"/>
        <v>159433</v>
      </c>
      <c r="M85" s="7"/>
    </row>
    <row r="86" spans="1:13" hidden="1" outlineLevel="1">
      <c r="A86" s="1">
        <v>595</v>
      </c>
      <c r="B86" s="7">
        <f>VLOOKUP(A86,'Total Electric Download'!$A$6:$E$85,5,0)</f>
        <v>235186</v>
      </c>
      <c r="C86" s="7">
        <f>SUMIF('Total Electric Download'!A:A,A86,'Total Electric Download'!B:B)</f>
        <v>0</v>
      </c>
      <c r="D86" s="7"/>
      <c r="E86" s="7">
        <f>SUMIF('Total Electric Download'!A:A,A86,'Total Electric Download'!D:D)</f>
        <v>180501</v>
      </c>
      <c r="F86" s="6">
        <f t="shared" si="22"/>
        <v>0</v>
      </c>
      <c r="G86" s="159">
        <f t="shared" si="23"/>
        <v>180501</v>
      </c>
      <c r="H86" s="7"/>
      <c r="I86" s="6">
        <f>SUMIF('Total Electric Download'!A:A,A86,'Total Electric Download'!C:C)</f>
        <v>54685</v>
      </c>
      <c r="J86" s="6">
        <f>C86*$E$130</f>
        <v>0</v>
      </c>
      <c r="K86" s="72"/>
      <c r="L86" s="159">
        <f t="shared" si="25"/>
        <v>54685</v>
      </c>
      <c r="M86" s="7"/>
    </row>
    <row r="87" spans="1:13" hidden="1" outlineLevel="1">
      <c r="A87" s="1">
        <v>596</v>
      </c>
      <c r="B87" s="7">
        <f>VLOOKUP(A87,'Total Electric Download'!$A$6:$E$85,5,0)</f>
        <v>112943</v>
      </c>
      <c r="C87" s="7">
        <f>SUMIF('Total Electric Download'!A:A,A87,'Total Electric Download'!B:B)</f>
        <v>0</v>
      </c>
      <c r="D87" s="7"/>
      <c r="E87" s="7">
        <f>SUMIF('Total Electric Download'!A:A,A87,'Total Electric Download'!D:D)</f>
        <v>99214</v>
      </c>
      <c r="F87" s="6">
        <f t="shared" si="22"/>
        <v>0</v>
      </c>
      <c r="G87" s="159">
        <f t="shared" si="23"/>
        <v>99214</v>
      </c>
      <c r="H87" s="7"/>
      <c r="I87" s="6">
        <f>SUMIF('Total Electric Download'!A:A,A87,'Total Electric Download'!C:C)</f>
        <v>13729</v>
      </c>
      <c r="J87" s="6">
        <f t="shared" si="24"/>
        <v>0</v>
      </c>
      <c r="K87" s="72"/>
      <c r="L87" s="159">
        <f t="shared" si="25"/>
        <v>13729</v>
      </c>
      <c r="M87" s="7"/>
    </row>
    <row r="88" spans="1:13" hidden="1" outlineLevel="1">
      <c r="A88" s="1">
        <v>597</v>
      </c>
      <c r="B88" s="7">
        <f>VLOOKUP(A88,'Total Electric Download'!$A$6:$E$85,5,0)</f>
        <v>15839</v>
      </c>
      <c r="C88" s="7">
        <f>SUMIF('Total Electric Download'!A:A,A88,'Total Electric Download'!B:B)</f>
        <v>0</v>
      </c>
      <c r="D88" s="7"/>
      <c r="E88" s="7">
        <f>SUMIF('Total Electric Download'!A:A,A88,'Total Electric Download'!D:D)</f>
        <v>12364</v>
      </c>
      <c r="F88" s="6">
        <f t="shared" si="22"/>
        <v>0</v>
      </c>
      <c r="G88" s="159">
        <f t="shared" si="23"/>
        <v>12364</v>
      </c>
      <c r="H88" s="7"/>
      <c r="I88" s="6">
        <f>SUMIF('Total Electric Download'!A:A,A88,'Total Electric Download'!C:C)</f>
        <v>3475</v>
      </c>
      <c r="J88" s="6">
        <f t="shared" si="24"/>
        <v>0</v>
      </c>
      <c r="K88" s="72"/>
      <c r="L88" s="159">
        <f t="shared" si="25"/>
        <v>3475</v>
      </c>
      <c r="M88" s="7"/>
    </row>
    <row r="89" spans="1:13" hidden="1" outlineLevel="1">
      <c r="A89" s="1">
        <v>598</v>
      </c>
      <c r="B89" s="7">
        <f>VLOOKUP(A89,'Total Electric Download'!$A$6:$E$85,5,0)</f>
        <v>116069</v>
      </c>
      <c r="C89" s="7">
        <f>SUMIF('Total Electric Download'!A:A,A89,'Total Electric Download'!B:B)</f>
        <v>43852</v>
      </c>
      <c r="D89" s="7"/>
      <c r="E89" s="7">
        <f>SUMIF('Total Electric Download'!A:A,A89,'Total Electric Download'!D:D)</f>
        <v>42832</v>
      </c>
      <c r="F89" s="6">
        <f t="shared" si="22"/>
        <v>29716.75</v>
      </c>
      <c r="G89" s="159">
        <f t="shared" si="23"/>
        <v>72548.75</v>
      </c>
      <c r="H89" s="7"/>
      <c r="I89" s="6">
        <f>SUMIF('Total Electric Download'!A:A,A89,'Total Electric Download'!C:C)</f>
        <v>29385</v>
      </c>
      <c r="J89" s="6">
        <f t="shared" si="24"/>
        <v>14135.25</v>
      </c>
      <c r="K89" s="72"/>
      <c r="L89" s="159">
        <f t="shared" si="25"/>
        <v>43520.25</v>
      </c>
      <c r="M89" s="7"/>
    </row>
    <row r="90" spans="1:13" collapsed="1">
      <c r="A90" s="2" t="s">
        <v>5</v>
      </c>
      <c r="B90" s="102">
        <f>SUM(B71:B89)</f>
        <v>13836705</v>
      </c>
      <c r="C90" s="102">
        <f>SUM(C71:C89)</f>
        <v>4741308</v>
      </c>
      <c r="D90" s="102"/>
      <c r="E90" s="102">
        <f t="shared" ref="E90:J90" si="26">SUM(E71:E89)</f>
        <v>5978410</v>
      </c>
      <c r="F90" s="102">
        <f t="shared" si="26"/>
        <v>3212994.8</v>
      </c>
      <c r="G90" s="160">
        <f t="shared" si="26"/>
        <v>9191404.8000000007</v>
      </c>
      <c r="H90" s="102"/>
      <c r="I90" s="102">
        <f t="shared" si="26"/>
        <v>3116987</v>
      </c>
      <c r="J90" s="102">
        <f t="shared" si="26"/>
        <v>1528313.2</v>
      </c>
      <c r="K90" s="103"/>
      <c r="L90" s="160">
        <f>SUM(L71:L89)</f>
        <v>4645300.2</v>
      </c>
      <c r="M90" s="7"/>
    </row>
    <row r="91" spans="1:13">
      <c r="B91" s="58"/>
      <c r="C91" s="58"/>
      <c r="D91" s="70"/>
      <c r="E91" s="58"/>
      <c r="F91" s="58"/>
      <c r="G91" s="159"/>
      <c r="H91" s="70"/>
      <c r="I91" s="58"/>
      <c r="J91" s="58"/>
      <c r="K91" s="104"/>
      <c r="L91" s="159"/>
      <c r="M91" s="7"/>
    </row>
    <row r="92" spans="1:13" hidden="1" outlineLevel="2">
      <c r="A92" s="2" t="s">
        <v>6</v>
      </c>
      <c r="B92" s="6"/>
      <c r="C92" s="6"/>
      <c r="D92" s="7"/>
      <c r="E92" s="6"/>
      <c r="F92" s="6"/>
      <c r="G92" s="159"/>
      <c r="H92" s="7"/>
      <c r="I92" s="6"/>
      <c r="J92" s="6"/>
      <c r="K92" s="72"/>
      <c r="L92" s="159"/>
      <c r="M92" s="7"/>
    </row>
    <row r="93" spans="1:13" hidden="1" outlineLevel="2">
      <c r="A93" s="1">
        <v>901</v>
      </c>
      <c r="B93" s="7">
        <f>VLOOKUP(A93,'Total Electric Download'!$A$6:$E$85,5,0)</f>
        <v>111152</v>
      </c>
      <c r="C93" s="7">
        <f>SUMIF('Total Electric Download'!A:A,A93,'Total Electric Download'!B:B)</f>
        <v>111152</v>
      </c>
      <c r="D93" s="7"/>
      <c r="E93" s="7">
        <f>SUMIF('Total Electric Download'!A:A,A93,'Total Electric Download'!D:D)</f>
        <v>0</v>
      </c>
      <c r="F93" s="6">
        <f>C93*$C$129</f>
        <v>72894.59</v>
      </c>
      <c r="G93" s="159">
        <f>E93+F93</f>
        <v>72894.59</v>
      </c>
      <c r="H93" s="7"/>
      <c r="I93" s="6">
        <f>SUMIF('Total Electric Download'!A:A,A93,'Total Electric Download'!C:C)</f>
        <v>0</v>
      </c>
      <c r="J93" s="6">
        <f>C93*$E$129</f>
        <v>38257.410000000003</v>
      </c>
      <c r="K93" s="72"/>
      <c r="L93" s="159">
        <f>I93+J93+K93</f>
        <v>38257.410000000003</v>
      </c>
      <c r="M93" s="7"/>
    </row>
    <row r="94" spans="1:13" hidden="1" outlineLevel="2">
      <c r="A94" s="1">
        <v>902</v>
      </c>
      <c r="B94" s="7">
        <f>VLOOKUP(A94,'Total Electric Download'!$A$6:$E$85,5,0)</f>
        <v>1661844</v>
      </c>
      <c r="C94" s="7">
        <f>SUMIF('Total Electric Download'!A:A,A94,'Total Electric Download'!B:B)</f>
        <v>91281</v>
      </c>
      <c r="D94" s="7"/>
      <c r="E94" s="7">
        <f>SUMIF('Total Electric Download'!A:A,A94,'Total Electric Download'!D:D)</f>
        <v>1493992</v>
      </c>
      <c r="F94" s="6">
        <f>C94*$C$129</f>
        <v>59862.99</v>
      </c>
      <c r="G94" s="159">
        <f>E94+F94</f>
        <v>1553854.99</v>
      </c>
      <c r="H94" s="7"/>
      <c r="I94" s="6">
        <f>SUMIF('Total Electric Download'!A:A,A94,'Total Electric Download'!C:C)</f>
        <v>76571</v>
      </c>
      <c r="J94" s="6">
        <f>C94*$E$129</f>
        <v>31418.01</v>
      </c>
      <c r="K94" s="72"/>
      <c r="L94" s="159">
        <f>I94+J94+K94</f>
        <v>107989.01</v>
      </c>
      <c r="M94" s="7"/>
    </row>
    <row r="95" spans="1:13" hidden="1" outlineLevel="2">
      <c r="A95" s="1">
        <v>903</v>
      </c>
      <c r="B95" s="7">
        <f>VLOOKUP(A95,'Total Electric Download'!$A$6:$E$85,5,0)</f>
        <v>4750090</v>
      </c>
      <c r="C95" s="7">
        <f>SUMIF('Total Electric Download'!A:A,A95,'Total Electric Download'!B:B)</f>
        <v>3860488</v>
      </c>
      <c r="D95" s="7"/>
      <c r="E95" s="7">
        <f>SUMIF('Total Electric Download'!A:A,A95,'Total Electric Download'!D:D)</f>
        <v>630626</v>
      </c>
      <c r="F95" s="6">
        <f>C95*$C$129</f>
        <v>2531746.64</v>
      </c>
      <c r="G95" s="159">
        <f>E95+F95</f>
        <v>3162372.64</v>
      </c>
      <c r="H95" s="7"/>
      <c r="I95" s="6">
        <f>SUMIF('Total Electric Download'!A:A,A95,'Total Electric Download'!C:C)</f>
        <v>258976</v>
      </c>
      <c r="J95" s="6">
        <f>C95*$E$129</f>
        <v>1328741.3600000001</v>
      </c>
      <c r="K95" s="72"/>
      <c r="L95" s="159">
        <f>I95+J95+K95</f>
        <v>1587717.36</v>
      </c>
      <c r="M95" s="7"/>
    </row>
    <row r="96" spans="1:13" hidden="1" outlineLevel="2">
      <c r="A96" s="1">
        <v>905</v>
      </c>
      <c r="B96" s="7">
        <f>VLOOKUP(A96,'Total Electric Download'!$A$6:$E$85,5,0)</f>
        <v>138553</v>
      </c>
      <c r="C96" s="7">
        <f>SUMIF('Total Electric Download'!A:A,A96,'Total Electric Download'!B:B)</f>
        <v>138553</v>
      </c>
      <c r="D96" s="7"/>
      <c r="E96" s="7">
        <f>SUMIF('Total Electric Download'!A:A,A96,'Total Electric Download'!D:D)</f>
        <v>0</v>
      </c>
      <c r="F96" s="6">
        <f>C96*$C$129</f>
        <v>90864.44</v>
      </c>
      <c r="G96" s="159">
        <f>E96+F96</f>
        <v>90864.44</v>
      </c>
      <c r="H96" s="7"/>
      <c r="I96" s="6">
        <f>SUMIF('Total Electric Download'!A:A,A96,'Total Electric Download'!C:C)</f>
        <v>0</v>
      </c>
      <c r="J96" s="6">
        <f>C96*$E$129</f>
        <v>47688.56</v>
      </c>
      <c r="K96" s="72"/>
      <c r="L96" s="159">
        <f>I96+J96+K96</f>
        <v>47688.56</v>
      </c>
      <c r="M96" s="7"/>
    </row>
    <row r="97" spans="1:13" collapsed="1">
      <c r="A97" s="2" t="s">
        <v>7</v>
      </c>
      <c r="B97" s="39">
        <f>SUM(B93:B96)</f>
        <v>6661639</v>
      </c>
      <c r="C97" s="39">
        <f>SUM(C93:C96)</f>
        <v>4201474</v>
      </c>
      <c r="D97" s="102"/>
      <c r="E97" s="39">
        <f t="shared" ref="E97:J97" si="27">SUM(E93:E96)</f>
        <v>2124618</v>
      </c>
      <c r="F97" s="39">
        <f t="shared" si="27"/>
        <v>2755368.66</v>
      </c>
      <c r="G97" s="160">
        <f t="shared" si="27"/>
        <v>4879986.66</v>
      </c>
      <c r="H97" s="39"/>
      <c r="I97" s="39">
        <f t="shared" si="27"/>
        <v>335547</v>
      </c>
      <c r="J97" s="39">
        <f t="shared" si="27"/>
        <v>1446105.34</v>
      </c>
      <c r="K97" s="73"/>
      <c r="L97" s="160">
        <f>SUM(L93:L96)</f>
        <v>1781652.34</v>
      </c>
      <c r="M97" s="7"/>
    </row>
    <row r="98" spans="1:13">
      <c r="B98" s="6"/>
      <c r="C98" s="6"/>
      <c r="D98" s="7"/>
      <c r="E98" s="6"/>
      <c r="F98" s="6"/>
      <c r="G98" s="159"/>
      <c r="H98" s="7"/>
      <c r="I98" s="6"/>
      <c r="J98" s="6"/>
      <c r="K98" s="72"/>
      <c r="L98" s="159"/>
      <c r="M98" s="7"/>
    </row>
    <row r="99" spans="1:13" hidden="1" outlineLevel="1">
      <c r="A99" s="2" t="s">
        <v>8</v>
      </c>
      <c r="B99" s="6"/>
      <c r="C99" s="6"/>
      <c r="D99" s="7"/>
      <c r="E99" s="6"/>
      <c r="F99" s="6"/>
      <c r="G99" s="159"/>
      <c r="H99" s="7"/>
      <c r="I99" s="6"/>
      <c r="J99" s="6"/>
      <c r="K99" s="72"/>
      <c r="L99" s="159"/>
      <c r="M99" s="7"/>
    </row>
    <row r="100" spans="1:13" hidden="1" outlineLevel="1">
      <c r="A100" s="1">
        <v>908</v>
      </c>
      <c r="B100" s="7">
        <f>VLOOKUP(A100,'Total Electric Download'!$A$6:$E$85,5,0)</f>
        <v>359203</v>
      </c>
      <c r="C100" s="7">
        <f>SUMIF('Total Electric Download'!A:A,A100,'Total Electric Download'!B:B)</f>
        <v>140199</v>
      </c>
      <c r="D100" s="7"/>
      <c r="E100" s="7">
        <f>SUMIF('Total Electric Download'!A:A,A100,'Total Electric Download'!D:D)</f>
        <v>172010</v>
      </c>
      <c r="F100" s="6">
        <f>C100*$C$129</f>
        <v>91943.91</v>
      </c>
      <c r="G100" s="159">
        <f>E100+F100</f>
        <v>263953.90999999997</v>
      </c>
      <c r="H100" s="7"/>
      <c r="I100" s="6">
        <f>SUMIF('Total Electric Download'!A:A,A100,'Total Electric Download'!C:C)</f>
        <v>46994</v>
      </c>
      <c r="J100" s="6">
        <f>C100*$E$129</f>
        <v>48255.09</v>
      </c>
      <c r="K100" s="72"/>
      <c r="L100" s="159">
        <f>I100+J100+K100</f>
        <v>95249.09</v>
      </c>
      <c r="M100" s="7"/>
    </row>
    <row r="101" spans="1:13" hidden="1" outlineLevel="1">
      <c r="A101" s="1">
        <v>909</v>
      </c>
      <c r="B101" s="7">
        <f>VLOOKUP(A101,'Total Electric Download'!$A$6:$E$85,5,0)</f>
        <v>205081</v>
      </c>
      <c r="C101" s="7">
        <f>SUMIF('Total Electric Download'!A:A,A101,'Total Electric Download'!B:B)</f>
        <v>204742</v>
      </c>
      <c r="D101" s="7"/>
      <c r="E101" s="7">
        <f>SUMIF('Total Electric Download'!A:A,A101,'Total Electric Download'!D:D)</f>
        <v>0</v>
      </c>
      <c r="F101" s="6">
        <f>C101*$C$129</f>
        <v>134271.85</v>
      </c>
      <c r="G101" s="159">
        <f>E101+F101</f>
        <v>134271.85</v>
      </c>
      <c r="H101" s="7"/>
      <c r="I101" s="6">
        <f>SUMIF('Total Electric Download'!A:A,A101,'Total Electric Download'!C:C)</f>
        <v>339</v>
      </c>
      <c r="J101" s="6">
        <f>C101*$E$129</f>
        <v>70470.149999999994</v>
      </c>
      <c r="K101" s="72"/>
      <c r="L101" s="159">
        <f>I101+J101+K101</f>
        <v>70809.149999999994</v>
      </c>
      <c r="M101" s="7"/>
    </row>
    <row r="102" spans="1:13" hidden="1" outlineLevel="1">
      <c r="A102" s="1">
        <v>910</v>
      </c>
      <c r="B102" s="7">
        <f>VLOOKUP(A102,'Total Electric Download'!$A$6:$E$85,5,0)</f>
        <v>55514</v>
      </c>
      <c r="C102" s="7">
        <f>SUMIF('Total Electric Download'!A:A,A102,'Total Electric Download'!B:B)</f>
        <v>55514</v>
      </c>
      <c r="D102" s="7"/>
      <c r="E102" s="7">
        <f>SUMIF('Total Electric Download'!A:A,A102,'Total Electric Download'!D:D)</f>
        <v>0</v>
      </c>
      <c r="F102" s="6">
        <f>C102*$C$129</f>
        <v>36406.639999999999</v>
      </c>
      <c r="G102" s="159">
        <f>E102+F102</f>
        <v>36406.639999999999</v>
      </c>
      <c r="H102" s="7"/>
      <c r="I102" s="6">
        <f>SUMIF('Total Electric Download'!A:A,A102,'Total Electric Download'!C:C)</f>
        <v>0</v>
      </c>
      <c r="J102" s="6">
        <f>C102*$E$129</f>
        <v>19107.36</v>
      </c>
      <c r="K102" s="72"/>
      <c r="L102" s="159">
        <f>I102+J102+K102</f>
        <v>19107.36</v>
      </c>
      <c r="M102" s="7"/>
    </row>
    <row r="103" spans="1:13" collapsed="1">
      <c r="A103" s="2" t="s">
        <v>9</v>
      </c>
      <c r="B103" s="39">
        <f>SUM(B100:B102)</f>
        <v>619798</v>
      </c>
      <c r="C103" s="39">
        <f>SUM(C100:C102)</f>
        <v>400455</v>
      </c>
      <c r="D103" s="102"/>
      <c r="E103" s="39">
        <f>SUM(E100:E102)</f>
        <v>172010</v>
      </c>
      <c r="F103" s="39">
        <f>SUM(F100:F102)</f>
        <v>262622.40000000002</v>
      </c>
      <c r="G103" s="160">
        <f>SUM(G100:G102)</f>
        <v>434632.4</v>
      </c>
      <c r="H103" s="39"/>
      <c r="I103" s="39">
        <f>SUM(I100:I102)</f>
        <v>47333</v>
      </c>
      <c r="J103" s="39">
        <f>SUM(J100:J102)</f>
        <v>137832.6</v>
      </c>
      <c r="K103" s="73"/>
      <c r="L103" s="160">
        <f>SUM(L100:L102)</f>
        <v>185165.6</v>
      </c>
      <c r="M103" s="7"/>
    </row>
    <row r="104" spans="1:13">
      <c r="B104" s="6"/>
      <c r="C104" s="6"/>
      <c r="D104" s="7"/>
      <c r="E104" s="6"/>
      <c r="F104" s="6"/>
      <c r="G104" s="159"/>
      <c r="H104" s="7"/>
      <c r="I104" s="6"/>
      <c r="J104" s="6"/>
      <c r="K104" s="72"/>
      <c r="L104" s="159"/>
      <c r="M104" s="7"/>
    </row>
    <row r="105" spans="1:13" hidden="1" outlineLevel="1">
      <c r="A105" s="2" t="s">
        <v>10</v>
      </c>
      <c r="B105" s="6"/>
      <c r="C105" s="6"/>
      <c r="D105" s="7"/>
      <c r="E105" s="6"/>
      <c r="F105" s="6"/>
      <c r="G105" s="159"/>
      <c r="H105" s="7"/>
      <c r="I105" s="6"/>
      <c r="J105" s="6"/>
      <c r="K105" s="72"/>
      <c r="L105" s="159"/>
      <c r="M105" s="7"/>
    </row>
    <row r="106" spans="1:13" hidden="1" outlineLevel="1">
      <c r="A106" s="1">
        <v>911</v>
      </c>
      <c r="B106" s="7">
        <v>0</v>
      </c>
      <c r="C106" s="7">
        <f>SUMIF('Total Electric Download'!A:A,A106,'Total Electric Download'!B:B)</f>
        <v>0</v>
      </c>
      <c r="D106" s="7"/>
      <c r="E106" s="7">
        <f>SUMIF('Total Electric Download'!A:A,A106,'Total Electric Download'!D:D)</f>
        <v>0</v>
      </c>
      <c r="F106" s="6">
        <f>C106*$C$129</f>
        <v>0</v>
      </c>
      <c r="G106" s="159">
        <f>E106+F106</f>
        <v>0</v>
      </c>
      <c r="H106" s="7"/>
      <c r="I106" s="6">
        <f>SUMIF('Total Electric Download'!A:A,A106,'Total Electric Download'!C:C)</f>
        <v>0</v>
      </c>
      <c r="J106" s="6">
        <f>C106*$E$129</f>
        <v>0</v>
      </c>
      <c r="K106" s="72"/>
      <c r="L106" s="159">
        <f>I106+J106+K106</f>
        <v>0</v>
      </c>
      <c r="M106" s="7"/>
    </row>
    <row r="107" spans="1:13" hidden="1" outlineLevel="1">
      <c r="A107" s="1">
        <v>912</v>
      </c>
      <c r="B107" s="7">
        <v>0</v>
      </c>
      <c r="C107" s="7">
        <f>SUMIF('Total Electric Download'!A:A,A107,'Total Electric Download'!B:B)</f>
        <v>0</v>
      </c>
      <c r="D107" s="7"/>
      <c r="E107" s="7">
        <f>SUMIF('Total Electric Download'!A:A,A107,'Total Electric Download'!D:D)</f>
        <v>0</v>
      </c>
      <c r="F107" s="6">
        <f>C107*$C$129</f>
        <v>0</v>
      </c>
      <c r="G107" s="159">
        <f>E107+F107</f>
        <v>0</v>
      </c>
      <c r="H107" s="7"/>
      <c r="I107" s="6">
        <f>SUMIF('Total Electric Download'!A:A,A107,'Total Electric Download'!C:C)</f>
        <v>0</v>
      </c>
      <c r="J107" s="6">
        <f>C107*$E$129</f>
        <v>0</v>
      </c>
      <c r="K107" s="72"/>
      <c r="L107" s="159">
        <f>I107+J107+K107</f>
        <v>0</v>
      </c>
      <c r="M107" s="7"/>
    </row>
    <row r="108" spans="1:13" hidden="1" outlineLevel="1">
      <c r="A108" s="1">
        <v>913</v>
      </c>
      <c r="B108" s="7">
        <v>0</v>
      </c>
      <c r="C108" s="7">
        <f>SUMIF('Total Electric Download'!A:A,A108,'Total Electric Download'!B:B)</f>
        <v>0</v>
      </c>
      <c r="D108" s="7"/>
      <c r="E108" s="7">
        <f>SUMIF('Total Electric Download'!A:A,A108,'Total Electric Download'!D:D)</f>
        <v>0</v>
      </c>
      <c r="F108" s="6">
        <f>C108*$C$129</f>
        <v>0</v>
      </c>
      <c r="G108" s="159">
        <f>E108+F108</f>
        <v>0</v>
      </c>
      <c r="H108" s="7"/>
      <c r="I108" s="6">
        <f>SUMIF('Total Electric Download'!A:A,A108,'Total Electric Download'!C:C)</f>
        <v>0</v>
      </c>
      <c r="J108" s="6">
        <f>C108*$E$129</f>
        <v>0</v>
      </c>
      <c r="K108" s="72"/>
      <c r="L108" s="159">
        <f>I108+J108+K108</f>
        <v>0</v>
      </c>
      <c r="M108" s="7"/>
    </row>
    <row r="109" spans="1:13" hidden="1" outlineLevel="1">
      <c r="A109" s="1">
        <v>916</v>
      </c>
      <c r="B109" s="7">
        <v>0</v>
      </c>
      <c r="C109" s="7">
        <f>SUMIF('Total Electric Download'!A:A,A109,'Total Electric Download'!B:B)</f>
        <v>0</v>
      </c>
      <c r="D109" s="7"/>
      <c r="E109" s="7">
        <f>SUMIF('Total Electric Download'!A:A,A109,'Total Electric Download'!D:D)</f>
        <v>0</v>
      </c>
      <c r="F109" s="6">
        <f>C109*$C$129</f>
        <v>0</v>
      </c>
      <c r="G109" s="159">
        <f>E109+F109</f>
        <v>0</v>
      </c>
      <c r="H109" s="7"/>
      <c r="I109" s="6">
        <f>SUMIF('Total Electric Download'!A:A,A109,'Total Electric Download'!C:C)</f>
        <v>0</v>
      </c>
      <c r="J109" s="6">
        <f>C109*$E$129</f>
        <v>0</v>
      </c>
      <c r="K109" s="72"/>
      <c r="L109" s="159">
        <f>I109+J109+K109</f>
        <v>0</v>
      </c>
      <c r="M109" s="7"/>
    </row>
    <row r="110" spans="1:13" collapsed="1">
      <c r="A110" s="2" t="s">
        <v>11</v>
      </c>
      <c r="B110" s="39">
        <v>0</v>
      </c>
      <c r="C110" s="39">
        <f>SUMIF('Total Electric Download'!A:A,A110,'Total Electric Download'!B:B)</f>
        <v>0</v>
      </c>
      <c r="D110" s="102"/>
      <c r="E110" s="39">
        <f t="shared" ref="E110:J110" si="28">SUM(E106:E109)</f>
        <v>0</v>
      </c>
      <c r="F110" s="39">
        <f t="shared" si="28"/>
        <v>0</v>
      </c>
      <c r="G110" s="160">
        <f t="shared" si="28"/>
        <v>0</v>
      </c>
      <c r="H110" s="39"/>
      <c r="I110" s="39">
        <f t="shared" si="28"/>
        <v>0</v>
      </c>
      <c r="J110" s="39">
        <f t="shared" si="28"/>
        <v>0</v>
      </c>
      <c r="K110" s="39"/>
      <c r="L110" s="160">
        <f>SUM(L106:L109)</f>
        <v>0</v>
      </c>
      <c r="M110" s="7"/>
    </row>
    <row r="111" spans="1:13">
      <c r="B111" s="6"/>
      <c r="C111" s="6"/>
      <c r="D111" s="7"/>
      <c r="E111" s="6"/>
      <c r="F111" s="6"/>
      <c r="G111" s="159"/>
      <c r="H111" s="7"/>
      <c r="I111" s="6"/>
      <c r="J111" s="6"/>
      <c r="K111" s="72"/>
      <c r="L111" s="159"/>
      <c r="M111" s="7"/>
    </row>
    <row r="112" spans="1:13" hidden="1" outlineLevel="1">
      <c r="A112" s="2" t="s">
        <v>12</v>
      </c>
      <c r="B112" s="6"/>
      <c r="C112" s="6"/>
      <c r="D112" s="7"/>
      <c r="E112" s="6"/>
      <c r="F112" s="6"/>
      <c r="G112" s="159"/>
      <c r="H112" s="7"/>
      <c r="I112" s="6"/>
      <c r="J112" s="6"/>
      <c r="K112" s="72"/>
      <c r="L112" s="159"/>
      <c r="M112" s="7"/>
    </row>
    <row r="113" spans="1:13" hidden="1" outlineLevel="1">
      <c r="A113" s="1">
        <v>920</v>
      </c>
      <c r="B113" s="7">
        <f>VLOOKUP(A113,'Total Electric Download'!$A$6:$E$85,5,0)-251</f>
        <v>17311490</v>
      </c>
      <c r="C113" s="7">
        <f>SUMIF('Total Electric Download'!A:A,A113,'Total Electric Download'!B:B)</f>
        <v>17207005</v>
      </c>
      <c r="D113" s="7"/>
      <c r="E113" s="7">
        <f>SUMIF('Total Electric Download'!A:A,A113,'Total Electric Download'!D:D)</f>
        <v>0</v>
      </c>
      <c r="F113" s="6">
        <f t="shared" ref="F113:F118" si="29">C113*$C$131</f>
        <v>11803145.08</v>
      </c>
      <c r="G113" s="159">
        <f t="shared" ref="G113:G121" si="30">E113+F113</f>
        <v>11803145.08</v>
      </c>
      <c r="H113" s="7"/>
      <c r="I113" s="6">
        <f>SUMIF('Total Electric Download'!A:A,A113,'Total Electric Download'!C:C)</f>
        <v>104736</v>
      </c>
      <c r="J113" s="6">
        <f t="shared" ref="J113:J118" si="31">C113*$E$131</f>
        <v>5403859.9199999999</v>
      </c>
      <c r="K113" s="72"/>
      <c r="L113" s="159">
        <f t="shared" ref="L113:L121" si="32">I113+J113+K113</f>
        <v>5508595.9199999999</v>
      </c>
      <c r="M113" s="7"/>
    </row>
    <row r="114" spans="1:13" hidden="1" outlineLevel="1">
      <c r="A114" s="1">
        <v>921</v>
      </c>
      <c r="B114" s="7">
        <f>VLOOKUP(A114,'Total Electric Download'!$A$6:$E$85,5,0)</f>
        <v>664081</v>
      </c>
      <c r="C114" s="7">
        <f>SUMIF('Total Electric Download'!A:A,A114,'Total Electric Download'!B:B)</f>
        <v>362709</v>
      </c>
      <c r="D114" s="7"/>
      <c r="E114" s="7">
        <f>SUMIF('Total Electric Download'!A:A,A114,'Total Electric Download'!D:D)</f>
        <v>301372</v>
      </c>
      <c r="F114" s="6">
        <f t="shared" si="29"/>
        <v>248800.24</v>
      </c>
      <c r="G114" s="159">
        <f t="shared" si="30"/>
        <v>550172.24</v>
      </c>
      <c r="H114" s="7"/>
      <c r="I114" s="6">
        <f>SUMIF('Total Electric Download'!A:A,A114,'Total Electric Download'!C:C)</f>
        <v>0</v>
      </c>
      <c r="J114" s="6">
        <f t="shared" si="31"/>
        <v>113908.76</v>
      </c>
      <c r="K114" s="72"/>
      <c r="L114" s="159">
        <f t="shared" si="32"/>
        <v>113908.76</v>
      </c>
      <c r="M114" s="7"/>
    </row>
    <row r="115" spans="1:13" hidden="1" outlineLevel="1">
      <c r="A115" s="1">
        <v>923</v>
      </c>
      <c r="B115" s="7">
        <f>VLOOKUP(A115,'Total Electric Download'!$A$6:$E$85,5,0)</f>
        <v>28028</v>
      </c>
      <c r="C115" s="7">
        <f>SUMIF('Total Electric Download'!A:A,A115,'Total Electric Download'!B:B)</f>
        <v>26942</v>
      </c>
      <c r="D115" s="7"/>
      <c r="E115" s="7">
        <f>SUMIF('Total Electric Download'!A:A,A115,'Total Electric Download'!D:D)</f>
        <v>1086</v>
      </c>
      <c r="F115" s="6">
        <f t="shared" si="29"/>
        <v>18480.86</v>
      </c>
      <c r="G115" s="159">
        <f t="shared" si="30"/>
        <v>19566.86</v>
      </c>
      <c r="H115" s="7"/>
      <c r="I115" s="6">
        <f>SUMIF('Total Electric Download'!A:A,A115,'Total Electric Download'!C:C)</f>
        <v>0</v>
      </c>
      <c r="J115" s="6">
        <f t="shared" si="31"/>
        <v>8461.14</v>
      </c>
      <c r="K115" s="72"/>
      <c r="L115" s="159">
        <f t="shared" si="32"/>
        <v>8461.14</v>
      </c>
      <c r="M115" s="7"/>
    </row>
    <row r="116" spans="1:13" hidden="1" outlineLevel="1">
      <c r="A116" s="1">
        <v>925</v>
      </c>
      <c r="B116" s="7">
        <f>VLOOKUP(A116,'Total Electric Download'!$A$6:$E$85,5,0)</f>
        <v>0</v>
      </c>
      <c r="C116" s="7">
        <f>SUMIF('Total Electric Download'!A:A,A116,'Total Electric Download'!B:B)</f>
        <v>0</v>
      </c>
      <c r="D116" s="7"/>
      <c r="E116" s="7">
        <f>SUMIF('Total Electric Download'!A:A,A116,'Total Electric Download'!D:D)</f>
        <v>0</v>
      </c>
      <c r="F116" s="6">
        <f t="shared" si="29"/>
        <v>0</v>
      </c>
      <c r="G116" s="159">
        <f t="shared" si="30"/>
        <v>0</v>
      </c>
      <c r="H116" s="7"/>
      <c r="I116" s="6">
        <f>SUMIF('Total Electric Download'!A:A,A116,'Total Electric Download'!C:C)</f>
        <v>0</v>
      </c>
      <c r="J116" s="6">
        <f t="shared" si="31"/>
        <v>0</v>
      </c>
      <c r="K116" s="72"/>
      <c r="L116" s="159">
        <f t="shared" si="32"/>
        <v>0</v>
      </c>
      <c r="M116" s="7"/>
    </row>
    <row r="117" spans="1:13" hidden="1" outlineLevel="1">
      <c r="A117" s="1">
        <v>926</v>
      </c>
      <c r="B117" s="7">
        <f>VLOOKUP(A117,'Total Electric Download'!$A$6:$E$85,5,0)</f>
        <v>404688</v>
      </c>
      <c r="C117" s="7">
        <f>SUMIF('Total Electric Download'!A:A,A117,'Total Electric Download'!B:B)</f>
        <v>401686</v>
      </c>
      <c r="D117" s="7"/>
      <c r="E117" s="7">
        <f>SUMIF('Total Electric Download'!A:A,A117,'Total Electric Download'!D:D)</f>
        <v>3002</v>
      </c>
      <c r="F117" s="6">
        <f t="shared" si="29"/>
        <v>275536.51</v>
      </c>
      <c r="G117" s="159">
        <f t="shared" si="30"/>
        <v>278538.51</v>
      </c>
      <c r="H117" s="7"/>
      <c r="I117" s="6">
        <f>SUMIF('Total Electric Download'!A:A,A117,'Total Electric Download'!C:C)</f>
        <v>0</v>
      </c>
      <c r="J117" s="6">
        <f t="shared" si="31"/>
        <v>126149.49</v>
      </c>
      <c r="K117" s="72"/>
      <c r="L117" s="159">
        <f t="shared" si="32"/>
        <v>126149.49</v>
      </c>
      <c r="M117" s="7"/>
    </row>
    <row r="118" spans="1:13" hidden="1" outlineLevel="1">
      <c r="A118" s="1">
        <v>927</v>
      </c>
      <c r="B118" s="7">
        <v>0</v>
      </c>
      <c r="C118" s="7">
        <f>SUMIF('Total Electric Download'!A:A,A118,'Total Electric Download'!B:B)</f>
        <v>0</v>
      </c>
      <c r="D118" s="7"/>
      <c r="E118" s="7">
        <f>SUMIF('Total Electric Download'!A:A,A118,'Total Electric Download'!D:D)</f>
        <v>0</v>
      </c>
      <c r="F118" s="6">
        <f t="shared" si="29"/>
        <v>0</v>
      </c>
      <c r="G118" s="159">
        <f t="shared" si="30"/>
        <v>0</v>
      </c>
      <c r="H118" s="7"/>
      <c r="I118" s="6">
        <f>SUMIF('Total Electric Download'!A:A,A118,'Total Electric Download'!C:C)</f>
        <v>0</v>
      </c>
      <c r="J118" s="6">
        <f t="shared" si="31"/>
        <v>0</v>
      </c>
      <c r="K118" s="72"/>
      <c r="L118" s="159">
        <f t="shared" si="32"/>
        <v>0</v>
      </c>
      <c r="M118" s="7"/>
    </row>
    <row r="119" spans="1:13" hidden="1" outlineLevel="1">
      <c r="A119" s="1">
        <v>928</v>
      </c>
      <c r="B119" s="7">
        <f>VLOOKUP(A119,'Total Electric Download'!$A$6:$E$85,5,0)</f>
        <v>967018</v>
      </c>
      <c r="C119" s="7">
        <f>SUMIF('Total Electric Download'!A:A,A119,'Total Electric Download'!B:B)</f>
        <v>635317</v>
      </c>
      <c r="D119" s="7"/>
      <c r="E119" s="7">
        <f>SUMIF('Total Electric Download'!A:A,A119,'Total Electric Download'!D:D)</f>
        <v>260224</v>
      </c>
      <c r="F119" s="6">
        <f>C119*$C$128</f>
        <v>415433.79</v>
      </c>
      <c r="G119" s="159">
        <f t="shared" si="30"/>
        <v>675657.79</v>
      </c>
      <c r="H119" s="7"/>
      <c r="I119" s="6">
        <f>SUMIF('Total Electric Download'!A:A,A119,'Total Electric Download'!C:C)</f>
        <v>71477</v>
      </c>
      <c r="J119" s="6">
        <f>C119*$E$128</f>
        <v>219883.21</v>
      </c>
      <c r="K119" s="72"/>
      <c r="L119" s="159">
        <f t="shared" si="32"/>
        <v>291360.21000000002</v>
      </c>
      <c r="M119" s="7"/>
    </row>
    <row r="120" spans="1:13" hidden="1" outlineLevel="1">
      <c r="A120" s="1">
        <v>930</v>
      </c>
      <c r="B120" s="7">
        <f>VLOOKUP(A120,'Total Electric Download'!$A$6:$E$85,5,0)</f>
        <v>269742</v>
      </c>
      <c r="C120" s="7">
        <f>SUMIF('Total Electric Download'!A:A,A120,'Total Electric Download'!B:B)+440</f>
        <v>251856</v>
      </c>
      <c r="D120" s="7"/>
      <c r="E120" s="7">
        <f>SUMIF('Total Electric Download'!A:A,A120,'Total Electric Download'!D:D)</f>
        <v>8055</v>
      </c>
      <c r="F120" s="6">
        <f>C120*$C$131</f>
        <v>172760.62</v>
      </c>
      <c r="G120" s="159">
        <f t="shared" si="30"/>
        <v>180815.62</v>
      </c>
      <c r="H120" s="7"/>
      <c r="I120" s="6">
        <f>SUMIF('Total Electric Download'!A:A,A120,'Total Electric Download'!C:C)</f>
        <v>10271</v>
      </c>
      <c r="J120" s="6">
        <f>C120*$E$131</f>
        <v>79095.38</v>
      </c>
      <c r="K120" s="72"/>
      <c r="L120" s="159">
        <f t="shared" si="32"/>
        <v>89366.38</v>
      </c>
      <c r="M120" s="7"/>
    </row>
    <row r="121" spans="1:13" hidden="1" outlineLevel="1">
      <c r="A121" s="1">
        <v>935</v>
      </c>
      <c r="B121" s="7">
        <f>VLOOKUP(A121,'Total Electric Download'!$A$6:$E$85,5,0)</f>
        <v>1973755.01</v>
      </c>
      <c r="C121" s="7">
        <f>SUMIF('Total Electric Download'!A:A,A121,'Total Electric Download'!B:B)</f>
        <v>1886850.01</v>
      </c>
      <c r="D121" s="7"/>
      <c r="E121" s="7">
        <f>SUMIF('Total Electric Download'!A:A,A121,'Total Electric Download'!D:D)</f>
        <v>19740</v>
      </c>
      <c r="F121" s="6">
        <f>C121*$C$131</f>
        <v>1294284.76</v>
      </c>
      <c r="G121" s="159">
        <f t="shared" si="30"/>
        <v>1314024.76</v>
      </c>
      <c r="H121" s="7"/>
      <c r="I121" s="6">
        <f>SUMIF('Total Electric Download'!A:A,A121,'Total Electric Download'!C:C)</f>
        <v>67165</v>
      </c>
      <c r="J121" s="6">
        <f>C121*$E$131</f>
        <v>592565.25</v>
      </c>
      <c r="K121" s="72"/>
      <c r="L121" s="159">
        <f t="shared" si="32"/>
        <v>659730.25</v>
      </c>
      <c r="M121" s="7"/>
    </row>
    <row r="122" spans="1:13" collapsed="1">
      <c r="A122" s="2" t="s">
        <v>106</v>
      </c>
      <c r="B122" s="102">
        <f>SUM(B113:B121)</f>
        <v>21618802.010000002</v>
      </c>
      <c r="C122" s="102">
        <f>SUM(C113:C121)</f>
        <v>20772365.010000002</v>
      </c>
      <c r="D122" s="102"/>
      <c r="E122" s="102">
        <f>SUM(E113:E121)</f>
        <v>593479</v>
      </c>
      <c r="F122" s="102">
        <f>SUM(F113:F121)</f>
        <v>14228441.859999999</v>
      </c>
      <c r="G122" s="160">
        <f>SUM(G113:G121)</f>
        <v>14821920.859999999</v>
      </c>
      <c r="H122" s="102"/>
      <c r="I122" s="102">
        <f>SUM(I113:I121)</f>
        <v>253649</v>
      </c>
      <c r="J122" s="102">
        <f>SUM(J113:J121)</f>
        <v>6543923.1500000004</v>
      </c>
      <c r="K122" s="105"/>
      <c r="L122" s="160">
        <f>SUM(L113:L121)</f>
        <v>6797572.1500000004</v>
      </c>
      <c r="M122" s="70"/>
    </row>
    <row r="123" spans="1:13">
      <c r="B123" s="58"/>
      <c r="C123" s="58"/>
      <c r="D123" s="70"/>
      <c r="E123" s="58"/>
      <c r="F123" s="58"/>
      <c r="G123" s="159"/>
      <c r="H123" s="70"/>
      <c r="I123" s="58"/>
      <c r="J123" s="58"/>
      <c r="K123" s="106"/>
      <c r="L123" s="159"/>
      <c r="M123" s="70"/>
    </row>
    <row r="124" spans="1:13" ht="13.5" thickBot="1">
      <c r="A124" s="2" t="s">
        <v>97</v>
      </c>
      <c r="B124" s="102">
        <f>B52+B68+B90+B97+B103+B110+B122</f>
        <v>67857141.010000005</v>
      </c>
      <c r="C124" s="102">
        <f>C52+C68+C90+C97+C103+C110+C122</f>
        <v>55229320.009999998</v>
      </c>
      <c r="D124" s="102"/>
      <c r="E124" s="102">
        <f>E52+E68+E90+E97+E103+E110+E122</f>
        <v>8868517</v>
      </c>
      <c r="F124" s="102">
        <f>F52+F68+F90+F97+F103+F110+F122</f>
        <v>36881287.920000002</v>
      </c>
      <c r="G124" s="161">
        <f>G52+G68+G90+G97+G103+G110+G122</f>
        <v>45749804.920000002</v>
      </c>
      <c r="H124" s="137"/>
      <c r="I124" s="102">
        <f>I52+I68+I90+I97+I103+I110+I122</f>
        <v>3759304</v>
      </c>
      <c r="J124" s="102">
        <f>J52+J68+J90+J97+J103+J110+J122</f>
        <v>18348032.09</v>
      </c>
      <c r="K124" s="105"/>
      <c r="L124" s="161">
        <f>L52+L68+L90+L97+L103+L110+L122</f>
        <v>22107336.09</v>
      </c>
      <c r="M124" s="70"/>
    </row>
    <row r="125" spans="1:13">
      <c r="B125" s="118">
        <f>'Total Electric Download'!E85</f>
        <v>67857141.010000005</v>
      </c>
      <c r="C125" s="118">
        <f>'Total Electric Download'!B85</f>
        <v>55229320.009999998</v>
      </c>
      <c r="D125" s="118"/>
      <c r="E125" s="118">
        <f>'Total Electric Download'!D85</f>
        <v>8868517</v>
      </c>
      <c r="F125" s="118"/>
      <c r="G125" s="155"/>
      <c r="I125" s="118">
        <f>'Total Electric Download'!C85</f>
        <v>3759304</v>
      </c>
      <c r="J125" s="100"/>
      <c r="K125" s="101"/>
      <c r="L125" s="155"/>
    </row>
    <row r="126" spans="1:13">
      <c r="B126" s="30"/>
      <c r="C126" s="30"/>
      <c r="D126" s="64"/>
      <c r="E126" s="30"/>
      <c r="F126" s="30">
        <f>D125*D131</f>
        <v>0</v>
      </c>
    </row>
    <row r="127" spans="1:13" ht="13.5" thickBot="1">
      <c r="A127" s="81" t="s">
        <v>167</v>
      </c>
      <c r="B127" s="83" t="s">
        <v>215</v>
      </c>
      <c r="C127" s="83" t="s">
        <v>103</v>
      </c>
      <c r="D127" s="116"/>
      <c r="E127" s="83" t="s">
        <v>104</v>
      </c>
      <c r="F127" s="83" t="s">
        <v>17</v>
      </c>
      <c r="J127" s="30"/>
      <c r="K127" s="2"/>
      <c r="M127" s="2"/>
    </row>
    <row r="128" spans="1:13">
      <c r="A128" s="30" t="s">
        <v>105</v>
      </c>
      <c r="B128" s="267">
        <v>1</v>
      </c>
      <c r="C128" s="84">
        <v>0.65390000000000004</v>
      </c>
      <c r="D128" s="119"/>
      <c r="E128" s="84">
        <v>0.34610000000000002</v>
      </c>
      <c r="F128" s="85">
        <f>C128+E128</f>
        <v>1</v>
      </c>
      <c r="J128" s="30"/>
      <c r="K128" s="2"/>
      <c r="M128" s="2"/>
    </row>
    <row r="129" spans="1:13">
      <c r="A129" s="30" t="s">
        <v>18</v>
      </c>
      <c r="B129" s="267">
        <v>2</v>
      </c>
      <c r="C129" s="84">
        <v>0.65581</v>
      </c>
      <c r="D129" s="119"/>
      <c r="E129" s="84">
        <v>0.34419</v>
      </c>
      <c r="F129" s="85">
        <f>C129+E129</f>
        <v>1</v>
      </c>
      <c r="J129" s="30"/>
      <c r="K129" s="2"/>
      <c r="M129" s="2"/>
    </row>
    <row r="130" spans="1:13">
      <c r="A130" s="30" t="s">
        <v>19</v>
      </c>
      <c r="B130" s="267">
        <v>3</v>
      </c>
      <c r="C130" s="84">
        <v>0.67766000000000004</v>
      </c>
      <c r="D130" s="119"/>
      <c r="E130" s="84">
        <v>0.32234000000000002</v>
      </c>
      <c r="F130" s="85">
        <f>C130+E130</f>
        <v>1</v>
      </c>
      <c r="J130" s="30"/>
      <c r="K130" s="2"/>
      <c r="M130" s="2"/>
    </row>
    <row r="131" spans="1:13">
      <c r="A131" s="30" t="s">
        <v>20</v>
      </c>
      <c r="B131" s="267">
        <v>4</v>
      </c>
      <c r="C131" s="84">
        <v>0.68594999999999995</v>
      </c>
      <c r="D131" s="119"/>
      <c r="E131" s="84">
        <v>0.31405</v>
      </c>
      <c r="F131" s="85">
        <f>C131+E131</f>
        <v>1</v>
      </c>
      <c r="J131" s="58"/>
      <c r="K131" s="2"/>
      <c r="M131" s="2"/>
    </row>
    <row r="132" spans="1:13">
      <c r="B132" s="266"/>
      <c r="C132" s="30"/>
      <c r="D132" s="120"/>
      <c r="E132" s="30"/>
      <c r="F132" s="38"/>
    </row>
    <row r="133" spans="1:13">
      <c r="B133" s="38"/>
      <c r="C133" s="38"/>
      <c r="D133" s="120"/>
      <c r="E133" s="38"/>
      <c r="F133" s="38"/>
    </row>
    <row r="134" spans="1:13">
      <c r="A134" s="51" t="s">
        <v>118</v>
      </c>
      <c r="C134" s="238"/>
    </row>
    <row r="136" spans="1:13">
      <c r="A136" s="6"/>
      <c r="B136" s="6"/>
      <c r="C136" s="6"/>
      <c r="D136" s="7"/>
      <c r="E136" s="6"/>
    </row>
    <row r="137" spans="1:13">
      <c r="G137"/>
      <c r="I137"/>
      <c r="L137"/>
    </row>
    <row r="138" spans="1:13">
      <c r="B138" s="6"/>
      <c r="H138" s="58"/>
    </row>
    <row r="140" spans="1:13">
      <c r="B140" s="74"/>
      <c r="C140" s="74"/>
      <c r="D140" s="121"/>
      <c r="E140" s="74"/>
      <c r="G140" s="74"/>
      <c r="I140" s="74"/>
      <c r="L140" s="74"/>
    </row>
    <row r="141" spans="1:13">
      <c r="B141" s="74"/>
      <c r="C141" s="74"/>
      <c r="D141" s="121"/>
      <c r="E141" s="74"/>
      <c r="G141" s="74"/>
      <c r="I141" s="74"/>
      <c r="L141" s="74"/>
    </row>
  </sheetData>
  <phoneticPr fontId="0" type="noConversion"/>
  <pageMargins left="1" right="0.5" top="0.5" bottom="0.75" header="0" footer="0"/>
  <pageSetup scale="70" orientation="landscape" r:id="rId1"/>
  <headerFooter alignWithMargins="0">
    <oddHeader>&amp;RAdjustment No. 3.02 Pro-Forma Non-Exec
Workpaper Ref. &amp;A</oddHeader>
    <oddFooter>&amp;L&amp;F&amp;RPrep by:   AMB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P140"/>
  <sheetViews>
    <sheetView tabSelected="1" zoomScaleNormal="100" zoomScaleSheetLayoutView="85" workbookViewId="0">
      <pane xSplit="3" ySplit="9" topLeftCell="F123" activePane="bottomRight" state="frozen"/>
      <selection activeCell="J137" sqref="J137"/>
      <selection pane="topRight" activeCell="J137" sqref="J137"/>
      <selection pane="bottomLeft" activeCell="J137" sqref="J137"/>
      <selection pane="bottomRight" activeCell="O2" sqref="O2"/>
    </sheetView>
  </sheetViews>
  <sheetFormatPr defaultColWidth="9.33203125" defaultRowHeight="12.75" outlineLevelRow="1"/>
  <cols>
    <col min="1" max="2" width="3.83203125" style="2" customWidth="1"/>
    <col min="3" max="3" width="30.5" style="2" customWidth="1"/>
    <col min="4" max="4" width="24.33203125" style="2" hidden="1" customWidth="1"/>
    <col min="5" max="5" width="3.6640625" style="132" hidden="1" customWidth="1"/>
    <col min="6" max="6" width="2.5" style="77" customWidth="1"/>
    <col min="7" max="7" width="15.1640625" style="2" bestFit="1" customWidth="1"/>
    <col min="8" max="8" width="2.83203125" style="11" customWidth="1"/>
    <col min="9" max="11" width="20.33203125" style="2" bestFit="1" customWidth="1"/>
    <col min="12" max="12" width="6.33203125" style="11" customWidth="1"/>
    <col min="13" max="13" width="20.33203125" style="2" bestFit="1" customWidth="1"/>
    <col min="14" max="14" width="5" style="11" customWidth="1"/>
    <col min="15" max="15" width="25.1640625" style="2" customWidth="1"/>
    <col min="16" max="16" width="10.83203125" style="2" bestFit="1" customWidth="1"/>
    <col min="17" max="16384" width="9.33203125" style="2"/>
  </cols>
  <sheetData>
    <row r="1" spans="2:15">
      <c r="C1" s="31" t="str">
        <f>'AN Electric'!A1</f>
        <v>AVISTA UTILITIES</v>
      </c>
      <c r="D1" s="1"/>
      <c r="I1" s="30"/>
      <c r="J1" s="239"/>
      <c r="K1" s="239"/>
      <c r="M1" s="239"/>
      <c r="O1" s="295" t="s">
        <v>232</v>
      </c>
    </row>
    <row r="2" spans="2:15">
      <c r="C2" s="1" t="s">
        <v>171</v>
      </c>
      <c r="D2" s="1"/>
      <c r="I2" s="64"/>
      <c r="J2" s="64"/>
      <c r="K2" s="64"/>
      <c r="M2" s="64"/>
      <c r="O2" s="64"/>
    </row>
    <row r="3" spans="2:15" ht="15.75" customHeight="1">
      <c r="C3" s="292"/>
      <c r="D3" s="292"/>
      <c r="E3" s="292"/>
    </row>
    <row r="4" spans="2:15" ht="15">
      <c r="C4" s="292"/>
      <c r="D4" s="292"/>
      <c r="E4" s="292"/>
      <c r="I4" s="240"/>
      <c r="J4" s="240"/>
      <c r="K4" s="240"/>
      <c r="M4" s="240"/>
      <c r="O4" s="240"/>
    </row>
    <row r="5" spans="2:15" ht="14.25">
      <c r="C5" s="293"/>
      <c r="D5" s="293"/>
      <c r="E5" s="293"/>
      <c r="I5" s="240"/>
      <c r="J5" s="240"/>
      <c r="K5" s="240"/>
      <c r="M5" s="240"/>
      <c r="O5" s="240"/>
    </row>
    <row r="6" spans="2:15">
      <c r="C6" s="1"/>
      <c r="D6" s="1"/>
      <c r="I6" s="240" t="s">
        <v>205</v>
      </c>
      <c r="J6" s="240"/>
      <c r="K6" s="240" t="s">
        <v>211</v>
      </c>
      <c r="M6" s="240"/>
      <c r="O6" s="3" t="s">
        <v>196</v>
      </c>
    </row>
    <row r="7" spans="2:15" s="3" customFormat="1" ht="15.75">
      <c r="E7" s="133"/>
      <c r="F7" s="246"/>
      <c r="H7" s="25"/>
      <c r="I7" s="240" t="s">
        <v>206</v>
      </c>
      <c r="J7" s="271">
        <v>2019</v>
      </c>
      <c r="K7" s="271">
        <v>2020</v>
      </c>
      <c r="L7" s="25"/>
      <c r="M7" s="252" t="s">
        <v>113</v>
      </c>
      <c r="N7" s="25"/>
      <c r="O7" s="241" t="s">
        <v>199</v>
      </c>
    </row>
    <row r="8" spans="2:15" s="3" customFormat="1">
      <c r="E8" s="133"/>
      <c r="F8" s="246"/>
      <c r="G8" s="3" t="s">
        <v>1</v>
      </c>
      <c r="H8" s="25"/>
      <c r="I8" s="109">
        <f>'Pro-Forma Increases'!D26</f>
        <v>5.1900000000000002E-3</v>
      </c>
      <c r="J8" s="109">
        <f>'Pro-Forma Increases'!D28</f>
        <v>0.03</v>
      </c>
      <c r="K8" s="109">
        <f>'Pro-Forma Increases'!E28</f>
        <v>0</v>
      </c>
      <c r="L8" s="25"/>
      <c r="M8" s="109" t="s">
        <v>202</v>
      </c>
      <c r="N8" s="25"/>
      <c r="O8" s="109"/>
    </row>
    <row r="9" spans="2:15" s="4" customFormat="1">
      <c r="E9" s="5" t="s">
        <v>30</v>
      </c>
      <c r="F9" s="130"/>
      <c r="G9" s="5" t="s">
        <v>30</v>
      </c>
      <c r="H9" s="5"/>
      <c r="I9" s="108">
        <f>'Pro-Forma Increases'!D11</f>
        <v>7.1399999999999996E-3</v>
      </c>
      <c r="J9" s="108">
        <f>'Pro-Forma Increases'!D13</f>
        <v>0.03</v>
      </c>
      <c r="K9" s="108">
        <f>'Pro-Forma Increases'!D15</f>
        <v>0.03</v>
      </c>
      <c r="L9" s="5"/>
      <c r="M9" s="108" t="s">
        <v>194</v>
      </c>
      <c r="N9" s="5"/>
      <c r="O9" s="108"/>
    </row>
    <row r="10" spans="2:15" hidden="1" outlineLevel="1">
      <c r="C10" s="2" t="s">
        <v>31</v>
      </c>
    </row>
    <row r="11" spans="2:15" hidden="1" outlineLevel="1">
      <c r="C11" s="2" t="s">
        <v>32</v>
      </c>
      <c r="E11" s="32"/>
      <c r="F11" s="247"/>
      <c r="G11" s="32"/>
      <c r="H11" s="142"/>
    </row>
    <row r="12" spans="2:15" hidden="1" outlineLevel="1">
      <c r="B12" s="2" t="s">
        <v>26</v>
      </c>
      <c r="C12" s="1">
        <v>500</v>
      </c>
      <c r="D12" s="1" t="s">
        <v>33</v>
      </c>
      <c r="E12" s="90">
        <f>'AN Electric'!G11</f>
        <v>143516</v>
      </c>
      <c r="F12" s="248"/>
      <c r="G12" s="17">
        <f t="shared" ref="G12:G22" si="0">F12+E12</f>
        <v>143516</v>
      </c>
      <c r="H12" s="18"/>
      <c r="I12" s="19">
        <f>ROUND(IF($B12="a",G12*I$8,G12*I$9),0)</f>
        <v>745</v>
      </c>
      <c r="J12" s="19">
        <f>ROUND(IF($B12="a",(G12+I12)*J$8,(G12+I12)*J$9),0)</f>
        <v>4328</v>
      </c>
      <c r="K12" s="19">
        <f>ROUND(IF($B12="a",(G12+I12+J12)*K$8,(G12+I12+J12)*K$9),0)</f>
        <v>0</v>
      </c>
      <c r="M12" s="19">
        <f>I12+J12+K12</f>
        <v>5073</v>
      </c>
      <c r="O12" s="19">
        <f>G12+M12</f>
        <v>148589</v>
      </c>
    </row>
    <row r="13" spans="2:15" hidden="1" outlineLevel="1">
      <c r="C13" s="1">
        <v>501</v>
      </c>
      <c r="D13" s="1" t="s">
        <v>34</v>
      </c>
      <c r="E13" s="90">
        <f>'AN Electric'!G12</f>
        <v>573018</v>
      </c>
      <c r="F13" s="248"/>
      <c r="G13" s="17">
        <f t="shared" si="0"/>
        <v>573018</v>
      </c>
      <c r="H13" s="18"/>
      <c r="I13" s="20">
        <f t="shared" ref="I13:I22" si="1">ROUND(IF($B13="a",G13*I$8,G13*I$9),0)</f>
        <v>4091</v>
      </c>
      <c r="J13" s="20">
        <f t="shared" ref="J13:J22" si="2">ROUND(IF($B13="a",(G13+I13)*J$8,(G13+I13)*J$9),0)</f>
        <v>17313</v>
      </c>
      <c r="K13" s="20">
        <f t="shared" ref="K13:K76" si="3">ROUND(IF($B13="a",(G13+I13+J13)*K$8,(G13+I13+J13)*K$9),0)</f>
        <v>17833</v>
      </c>
      <c r="M13" s="20">
        <f t="shared" ref="M13:M22" si="4">I13+J13+K13</f>
        <v>39237</v>
      </c>
      <c r="O13" s="20">
        <f t="shared" ref="O13:O76" si="5">G13+M13</f>
        <v>612255</v>
      </c>
    </row>
    <row r="14" spans="2:15" hidden="1" outlineLevel="1">
      <c r="C14" s="1">
        <v>502</v>
      </c>
      <c r="D14" s="1" t="s">
        <v>35</v>
      </c>
      <c r="E14" s="90">
        <f>'AN Electric'!G13</f>
        <v>333008</v>
      </c>
      <c r="F14" s="248"/>
      <c r="G14" s="17">
        <f t="shared" si="0"/>
        <v>333008</v>
      </c>
      <c r="H14" s="18"/>
      <c r="I14" s="20">
        <f t="shared" si="1"/>
        <v>2378</v>
      </c>
      <c r="J14" s="20">
        <f t="shared" si="2"/>
        <v>10062</v>
      </c>
      <c r="K14" s="20">
        <f t="shared" si="3"/>
        <v>10363</v>
      </c>
      <c r="M14" s="20">
        <f t="shared" si="4"/>
        <v>22803</v>
      </c>
      <c r="O14" s="20">
        <f t="shared" si="5"/>
        <v>355811</v>
      </c>
    </row>
    <row r="15" spans="2:15" hidden="1" outlineLevel="1">
      <c r="C15" s="1">
        <v>505</v>
      </c>
      <c r="D15" s="1" t="s">
        <v>36</v>
      </c>
      <c r="E15" s="90">
        <f>'AN Electric'!G14</f>
        <v>347948</v>
      </c>
      <c r="F15" s="248"/>
      <c r="G15" s="17">
        <f t="shared" si="0"/>
        <v>347948</v>
      </c>
      <c r="H15" s="18"/>
      <c r="I15" s="20">
        <f t="shared" si="1"/>
        <v>2484</v>
      </c>
      <c r="J15" s="20">
        <f t="shared" si="2"/>
        <v>10513</v>
      </c>
      <c r="K15" s="20">
        <f t="shared" si="3"/>
        <v>10828</v>
      </c>
      <c r="M15" s="20">
        <f t="shared" si="4"/>
        <v>23825</v>
      </c>
      <c r="O15" s="20">
        <f t="shared" si="5"/>
        <v>371773</v>
      </c>
    </row>
    <row r="16" spans="2:15" hidden="1" outlineLevel="1">
      <c r="C16" s="1">
        <v>506</v>
      </c>
      <c r="D16" s="1" t="s">
        <v>37</v>
      </c>
      <c r="E16" s="90">
        <f>'AN Electric'!G15</f>
        <v>123026</v>
      </c>
      <c r="F16" s="248"/>
      <c r="G16" s="17">
        <f t="shared" si="0"/>
        <v>123026</v>
      </c>
      <c r="H16" s="18"/>
      <c r="I16" s="20">
        <f t="shared" si="1"/>
        <v>878</v>
      </c>
      <c r="J16" s="20">
        <f t="shared" si="2"/>
        <v>3717</v>
      </c>
      <c r="K16" s="20">
        <f t="shared" si="3"/>
        <v>3829</v>
      </c>
      <c r="M16" s="20">
        <f t="shared" si="4"/>
        <v>8424</v>
      </c>
      <c r="O16" s="20">
        <f t="shared" si="5"/>
        <v>131450</v>
      </c>
    </row>
    <row r="17" spans="2:15" hidden="1" outlineLevel="1">
      <c r="C17" s="1">
        <v>507</v>
      </c>
      <c r="D17" s="1"/>
      <c r="E17" s="90">
        <f>'AN Electric'!G16</f>
        <v>0</v>
      </c>
      <c r="F17" s="248"/>
      <c r="G17" s="17">
        <f t="shared" si="0"/>
        <v>0</v>
      </c>
      <c r="H17" s="18"/>
      <c r="I17" s="20">
        <f t="shared" si="1"/>
        <v>0</v>
      </c>
      <c r="J17" s="20">
        <f t="shared" si="2"/>
        <v>0</v>
      </c>
      <c r="K17" s="20">
        <f t="shared" si="3"/>
        <v>0</v>
      </c>
      <c r="M17" s="20">
        <f t="shared" si="4"/>
        <v>0</v>
      </c>
      <c r="O17" s="20">
        <f t="shared" si="5"/>
        <v>0</v>
      </c>
    </row>
    <row r="18" spans="2:15" hidden="1" outlineLevel="1">
      <c r="B18" s="2" t="s">
        <v>26</v>
      </c>
      <c r="C18" s="1">
        <v>510</v>
      </c>
      <c r="D18" s="1" t="s">
        <v>33</v>
      </c>
      <c r="E18" s="90">
        <f>'AN Electric'!G17</f>
        <v>65635</v>
      </c>
      <c r="F18" s="248"/>
      <c r="G18" s="17">
        <f t="shared" si="0"/>
        <v>65635</v>
      </c>
      <c r="H18" s="18"/>
      <c r="I18" s="19">
        <f t="shared" si="1"/>
        <v>341</v>
      </c>
      <c r="J18" s="19">
        <f t="shared" si="2"/>
        <v>1979</v>
      </c>
      <c r="K18" s="19">
        <f t="shared" si="3"/>
        <v>0</v>
      </c>
      <c r="M18" s="19">
        <f t="shared" si="4"/>
        <v>2320</v>
      </c>
      <c r="O18" s="19">
        <f t="shared" si="5"/>
        <v>67955</v>
      </c>
    </row>
    <row r="19" spans="2:15" hidden="1" outlineLevel="1">
      <c r="C19" s="1">
        <v>511</v>
      </c>
      <c r="D19" s="1" t="s">
        <v>38</v>
      </c>
      <c r="E19" s="90">
        <f>'AN Electric'!G18</f>
        <v>5170</v>
      </c>
      <c r="F19" s="248"/>
      <c r="G19" s="17">
        <f t="shared" si="0"/>
        <v>5170</v>
      </c>
      <c r="H19" s="18"/>
      <c r="I19" s="20">
        <f t="shared" si="1"/>
        <v>37</v>
      </c>
      <c r="J19" s="20">
        <f t="shared" si="2"/>
        <v>156</v>
      </c>
      <c r="K19" s="20">
        <f t="shared" si="3"/>
        <v>161</v>
      </c>
      <c r="M19" s="20">
        <f t="shared" si="4"/>
        <v>354</v>
      </c>
      <c r="O19" s="20">
        <f t="shared" si="5"/>
        <v>5524</v>
      </c>
    </row>
    <row r="20" spans="2:15" hidden="1" outlineLevel="1">
      <c r="C20" s="1">
        <v>512</v>
      </c>
      <c r="D20" s="1" t="s">
        <v>39</v>
      </c>
      <c r="E20" s="90">
        <f>'AN Electric'!G19</f>
        <v>444313</v>
      </c>
      <c r="F20" s="248"/>
      <c r="G20" s="17">
        <f t="shared" si="0"/>
        <v>444313</v>
      </c>
      <c r="H20" s="18"/>
      <c r="I20" s="20">
        <f t="shared" si="1"/>
        <v>3172</v>
      </c>
      <c r="J20" s="20">
        <f t="shared" si="2"/>
        <v>13425</v>
      </c>
      <c r="K20" s="20">
        <f t="shared" si="3"/>
        <v>13827</v>
      </c>
      <c r="M20" s="20">
        <f t="shared" si="4"/>
        <v>30424</v>
      </c>
      <c r="O20" s="20">
        <f t="shared" si="5"/>
        <v>474737</v>
      </c>
    </row>
    <row r="21" spans="2:15" hidden="1" outlineLevel="1">
      <c r="C21" s="1">
        <v>513</v>
      </c>
      <c r="D21" s="1" t="s">
        <v>40</v>
      </c>
      <c r="E21" s="90">
        <f>'AN Electric'!G20</f>
        <v>186209</v>
      </c>
      <c r="F21" s="248"/>
      <c r="G21" s="17">
        <f t="shared" si="0"/>
        <v>186209</v>
      </c>
      <c r="H21" s="18"/>
      <c r="I21" s="20">
        <f t="shared" si="1"/>
        <v>1330</v>
      </c>
      <c r="J21" s="20">
        <f t="shared" si="2"/>
        <v>5626</v>
      </c>
      <c r="K21" s="20">
        <f t="shared" si="3"/>
        <v>5795</v>
      </c>
      <c r="M21" s="20">
        <f t="shared" si="4"/>
        <v>12751</v>
      </c>
      <c r="O21" s="20">
        <f t="shared" si="5"/>
        <v>198960</v>
      </c>
    </row>
    <row r="22" spans="2:15" hidden="1" outlineLevel="1">
      <c r="C22" s="1">
        <v>514</v>
      </c>
      <c r="D22" s="1" t="s">
        <v>41</v>
      </c>
      <c r="E22" s="90">
        <f>'AN Electric'!G21</f>
        <v>81637</v>
      </c>
      <c r="F22" s="248"/>
      <c r="G22" s="17">
        <f t="shared" si="0"/>
        <v>81637</v>
      </c>
      <c r="H22" s="18"/>
      <c r="I22" s="20">
        <f t="shared" si="1"/>
        <v>583</v>
      </c>
      <c r="J22" s="20">
        <f t="shared" si="2"/>
        <v>2467</v>
      </c>
      <c r="K22" s="20">
        <f t="shared" si="3"/>
        <v>2541</v>
      </c>
      <c r="M22" s="20">
        <f t="shared" si="4"/>
        <v>5591</v>
      </c>
      <c r="O22" s="20">
        <f t="shared" si="5"/>
        <v>87228</v>
      </c>
    </row>
    <row r="23" spans="2:15" hidden="1" outlineLevel="1">
      <c r="C23" s="2" t="s">
        <v>42</v>
      </c>
      <c r="E23" s="92">
        <f>SUM(E12:E22)</f>
        <v>2303480</v>
      </c>
      <c r="F23" s="248"/>
      <c r="G23" s="33">
        <f t="shared" ref="G23:O23" si="6">SUM(G12:G22)</f>
        <v>2303480</v>
      </c>
      <c r="H23" s="18"/>
      <c r="I23" s="33">
        <f t="shared" si="6"/>
        <v>16039</v>
      </c>
      <c r="J23" s="33">
        <f t="shared" si="6"/>
        <v>69586</v>
      </c>
      <c r="K23" s="33">
        <f t="shared" si="6"/>
        <v>65177</v>
      </c>
      <c r="L23" s="18"/>
      <c r="M23" s="33">
        <f t="shared" si="6"/>
        <v>150802</v>
      </c>
      <c r="N23" s="18"/>
      <c r="O23" s="33">
        <f t="shared" si="6"/>
        <v>2454282</v>
      </c>
    </row>
    <row r="24" spans="2:15" hidden="1" outlineLevel="1">
      <c r="E24" s="90"/>
      <c r="F24" s="248"/>
      <c r="G24" s="17"/>
      <c r="H24" s="18"/>
      <c r="I24" s="17"/>
      <c r="J24" s="17"/>
      <c r="K24" s="17">
        <f t="shared" si="3"/>
        <v>0</v>
      </c>
      <c r="M24" s="17">
        <f t="shared" ref="M24:M52" si="7">I24+J24</f>
        <v>0</v>
      </c>
      <c r="O24" s="17">
        <f t="shared" si="5"/>
        <v>0</v>
      </c>
    </row>
    <row r="25" spans="2:15" hidden="1" outlineLevel="1">
      <c r="C25" s="2" t="s">
        <v>43</v>
      </c>
      <c r="E25" s="90"/>
      <c r="F25" s="248"/>
      <c r="G25" s="17"/>
      <c r="H25" s="18"/>
      <c r="I25" s="17"/>
      <c r="J25" s="17"/>
      <c r="K25" s="17">
        <f t="shared" si="3"/>
        <v>0</v>
      </c>
      <c r="M25" s="17">
        <f t="shared" si="7"/>
        <v>0</v>
      </c>
      <c r="O25" s="17">
        <f t="shared" si="5"/>
        <v>0</v>
      </c>
    </row>
    <row r="26" spans="2:15" hidden="1" outlineLevel="1">
      <c r="B26" s="2" t="s">
        <v>26</v>
      </c>
      <c r="C26" s="1">
        <v>535</v>
      </c>
      <c r="D26" s="1" t="s">
        <v>33</v>
      </c>
      <c r="E26" s="90">
        <f>'AN Electric'!G25</f>
        <v>945205</v>
      </c>
      <c r="F26" s="248"/>
      <c r="G26" s="17">
        <f t="shared" ref="G26:G35" si="8">F26+E26</f>
        <v>945205</v>
      </c>
      <c r="H26" s="18"/>
      <c r="I26" s="19">
        <f t="shared" ref="I26:I35" si="9">ROUND(IF($B26="a",G26*I$8,G26*I$9),0)</f>
        <v>4906</v>
      </c>
      <c r="J26" s="19">
        <f t="shared" ref="J26:J35" si="10">ROUND(IF($B26="a",(G26+I26)*J$8,(G26+I26)*J$9),0)</f>
        <v>28503</v>
      </c>
      <c r="K26" s="19">
        <f t="shared" si="3"/>
        <v>0</v>
      </c>
      <c r="M26" s="19">
        <f t="shared" ref="M26:M35" si="11">I26+J26+K26</f>
        <v>33409</v>
      </c>
      <c r="O26" s="19">
        <f t="shared" si="5"/>
        <v>978614</v>
      </c>
    </row>
    <row r="27" spans="2:15" hidden="1" outlineLevel="1">
      <c r="C27" s="1">
        <v>536</v>
      </c>
      <c r="D27" s="1" t="s">
        <v>44</v>
      </c>
      <c r="E27" s="90">
        <f>'AN Electric'!G26</f>
        <v>5545</v>
      </c>
      <c r="F27" s="248"/>
      <c r="G27" s="17">
        <f t="shared" si="8"/>
        <v>5545</v>
      </c>
      <c r="H27" s="18"/>
      <c r="I27" s="20">
        <f t="shared" si="9"/>
        <v>40</v>
      </c>
      <c r="J27" s="20">
        <f t="shared" si="10"/>
        <v>168</v>
      </c>
      <c r="K27" s="20">
        <f t="shared" si="3"/>
        <v>173</v>
      </c>
      <c r="M27" s="20">
        <f t="shared" si="11"/>
        <v>381</v>
      </c>
      <c r="O27" s="20">
        <f t="shared" si="5"/>
        <v>5926</v>
      </c>
    </row>
    <row r="28" spans="2:15" hidden="1" outlineLevel="1">
      <c r="C28" s="1">
        <v>537</v>
      </c>
      <c r="D28" s="1" t="s">
        <v>45</v>
      </c>
      <c r="E28" s="90">
        <f>'AN Electric'!G27</f>
        <v>337494</v>
      </c>
      <c r="F28" s="248"/>
      <c r="G28" s="17">
        <f t="shared" si="8"/>
        <v>337494</v>
      </c>
      <c r="H28" s="18"/>
      <c r="I28" s="19">
        <f t="shared" si="9"/>
        <v>2410</v>
      </c>
      <c r="J28" s="19">
        <f t="shared" si="10"/>
        <v>10197</v>
      </c>
      <c r="K28" s="19">
        <f t="shared" si="3"/>
        <v>10503</v>
      </c>
      <c r="M28" s="19">
        <f t="shared" si="11"/>
        <v>23110</v>
      </c>
      <c r="O28" s="19">
        <f t="shared" si="5"/>
        <v>360604</v>
      </c>
    </row>
    <row r="29" spans="2:15" hidden="1" outlineLevel="1">
      <c r="C29" s="1">
        <v>538</v>
      </c>
      <c r="D29" s="1" t="s">
        <v>36</v>
      </c>
      <c r="E29" s="90">
        <f>'AN Electric'!G28</f>
        <v>3255643</v>
      </c>
      <c r="F29" s="248"/>
      <c r="G29" s="17">
        <f t="shared" si="8"/>
        <v>3255643</v>
      </c>
      <c r="H29" s="18"/>
      <c r="I29" s="20">
        <f t="shared" si="9"/>
        <v>23245</v>
      </c>
      <c r="J29" s="20">
        <f t="shared" si="10"/>
        <v>98367</v>
      </c>
      <c r="K29" s="20">
        <f t="shared" si="3"/>
        <v>101318</v>
      </c>
      <c r="M29" s="20">
        <f t="shared" si="11"/>
        <v>222930</v>
      </c>
      <c r="O29" s="20">
        <f t="shared" si="5"/>
        <v>3478573</v>
      </c>
    </row>
    <row r="30" spans="2:15" hidden="1" outlineLevel="1">
      <c r="C30" s="1">
        <v>539</v>
      </c>
      <c r="D30" s="1" t="s">
        <v>46</v>
      </c>
      <c r="E30" s="90">
        <f>'AN Electric'!G29</f>
        <v>123864</v>
      </c>
      <c r="F30" s="248"/>
      <c r="G30" s="17">
        <f t="shared" si="8"/>
        <v>123864</v>
      </c>
      <c r="H30" s="18"/>
      <c r="I30" s="20">
        <f t="shared" si="9"/>
        <v>884</v>
      </c>
      <c r="J30" s="20">
        <f t="shared" si="10"/>
        <v>3742</v>
      </c>
      <c r="K30" s="20">
        <f t="shared" si="3"/>
        <v>3855</v>
      </c>
      <c r="M30" s="20">
        <f t="shared" si="11"/>
        <v>8481</v>
      </c>
      <c r="O30" s="20">
        <f t="shared" si="5"/>
        <v>132345</v>
      </c>
    </row>
    <row r="31" spans="2:15" hidden="1" outlineLevel="1">
      <c r="B31" s="2" t="s">
        <v>26</v>
      </c>
      <c r="C31" s="1">
        <v>541</v>
      </c>
      <c r="D31" s="1" t="s">
        <v>33</v>
      </c>
      <c r="E31" s="90">
        <f>'AN Electric'!G30</f>
        <v>295894</v>
      </c>
      <c r="F31" s="248"/>
      <c r="G31" s="17">
        <f t="shared" si="8"/>
        <v>295894</v>
      </c>
      <c r="H31" s="18"/>
      <c r="I31" s="19">
        <f t="shared" si="9"/>
        <v>1536</v>
      </c>
      <c r="J31" s="19">
        <f t="shared" si="10"/>
        <v>8923</v>
      </c>
      <c r="K31" s="19">
        <f t="shared" si="3"/>
        <v>0</v>
      </c>
      <c r="M31" s="19">
        <f t="shared" si="11"/>
        <v>10459</v>
      </c>
      <c r="O31" s="19">
        <f t="shared" si="5"/>
        <v>306353</v>
      </c>
    </row>
    <row r="32" spans="2:15" hidden="1" outlineLevel="1">
      <c r="C32" s="1">
        <v>542</v>
      </c>
      <c r="D32" s="1">
        <f>D9</f>
        <v>0</v>
      </c>
      <c r="E32" s="90">
        <f>'AN Electric'!G31</f>
        <v>121682</v>
      </c>
      <c r="F32" s="248"/>
      <c r="G32" s="17">
        <f t="shared" si="8"/>
        <v>121682</v>
      </c>
      <c r="H32" s="18"/>
      <c r="I32" s="20">
        <f t="shared" si="9"/>
        <v>869</v>
      </c>
      <c r="J32" s="20">
        <f t="shared" si="10"/>
        <v>3677</v>
      </c>
      <c r="K32" s="20">
        <f t="shared" si="3"/>
        <v>3787</v>
      </c>
      <c r="M32" s="20">
        <f t="shared" si="11"/>
        <v>8333</v>
      </c>
      <c r="O32" s="20">
        <f t="shared" si="5"/>
        <v>130015</v>
      </c>
    </row>
    <row r="33" spans="2:15" hidden="1" outlineLevel="1">
      <c r="C33" s="1">
        <v>543</v>
      </c>
      <c r="D33" s="1" t="s">
        <v>47</v>
      </c>
      <c r="E33" s="90">
        <f>'AN Electric'!G32</f>
        <v>364318</v>
      </c>
      <c r="F33" s="248"/>
      <c r="G33" s="17">
        <f t="shared" si="8"/>
        <v>364318</v>
      </c>
      <c r="H33" s="18"/>
      <c r="I33" s="20">
        <f t="shared" si="9"/>
        <v>2601</v>
      </c>
      <c r="J33" s="20">
        <f t="shared" si="10"/>
        <v>11008</v>
      </c>
      <c r="K33" s="20">
        <f t="shared" si="3"/>
        <v>11338</v>
      </c>
      <c r="M33" s="20">
        <f t="shared" si="11"/>
        <v>24947</v>
      </c>
      <c r="O33" s="20">
        <f t="shared" si="5"/>
        <v>389265</v>
      </c>
    </row>
    <row r="34" spans="2:15" hidden="1" outlineLevel="1">
      <c r="C34" s="1">
        <v>544</v>
      </c>
      <c r="D34" s="1" t="s">
        <v>40</v>
      </c>
      <c r="E34" s="90">
        <f>'AN Electric'!G33</f>
        <v>1320577</v>
      </c>
      <c r="F34" s="248"/>
      <c r="G34" s="17">
        <f t="shared" si="8"/>
        <v>1320577</v>
      </c>
      <c r="H34" s="18"/>
      <c r="I34" s="20">
        <f t="shared" si="9"/>
        <v>9429</v>
      </c>
      <c r="J34" s="20">
        <f t="shared" si="10"/>
        <v>39900</v>
      </c>
      <c r="K34" s="20">
        <f t="shared" si="3"/>
        <v>41097</v>
      </c>
      <c r="M34" s="20">
        <f t="shared" si="11"/>
        <v>90426</v>
      </c>
      <c r="O34" s="20">
        <f t="shared" si="5"/>
        <v>1411003</v>
      </c>
    </row>
    <row r="35" spans="2:15" hidden="1" outlineLevel="1">
      <c r="C35" s="1">
        <v>545</v>
      </c>
      <c r="D35" s="1" t="s">
        <v>48</v>
      </c>
      <c r="E35" s="90">
        <f>'AN Electric'!G34</f>
        <v>431708</v>
      </c>
      <c r="F35" s="248"/>
      <c r="G35" s="17">
        <f t="shared" si="8"/>
        <v>431708</v>
      </c>
      <c r="H35" s="18"/>
      <c r="I35" s="20">
        <f t="shared" si="9"/>
        <v>3082</v>
      </c>
      <c r="J35" s="20">
        <f t="shared" si="10"/>
        <v>13044</v>
      </c>
      <c r="K35" s="20">
        <f t="shared" si="3"/>
        <v>13435</v>
      </c>
      <c r="M35" s="20">
        <f t="shared" si="11"/>
        <v>29561</v>
      </c>
      <c r="O35" s="20">
        <f t="shared" si="5"/>
        <v>461269</v>
      </c>
    </row>
    <row r="36" spans="2:15" hidden="1" outlineLevel="1">
      <c r="C36" s="2" t="s">
        <v>49</v>
      </c>
      <c r="E36" s="92">
        <f>SUM(E24:E35)</f>
        <v>7201930</v>
      </c>
      <c r="F36" s="248"/>
      <c r="G36" s="33">
        <f t="shared" ref="G36:O36" si="12">SUM(G26:G35)</f>
        <v>7201930</v>
      </c>
      <c r="H36" s="18"/>
      <c r="I36" s="33">
        <f t="shared" si="12"/>
        <v>49002</v>
      </c>
      <c r="J36" s="33">
        <f t="shared" si="12"/>
        <v>217529</v>
      </c>
      <c r="K36" s="33">
        <f t="shared" si="12"/>
        <v>185506</v>
      </c>
      <c r="L36" s="18"/>
      <c r="M36" s="33">
        <f t="shared" si="12"/>
        <v>452037</v>
      </c>
      <c r="N36" s="18"/>
      <c r="O36" s="33">
        <f t="shared" si="12"/>
        <v>7653967</v>
      </c>
    </row>
    <row r="37" spans="2:15" hidden="1" outlineLevel="1">
      <c r="E37" s="90"/>
      <c r="F37" s="248"/>
      <c r="G37" s="17"/>
      <c r="H37" s="18"/>
      <c r="I37" s="17"/>
      <c r="J37" s="17"/>
      <c r="K37" s="17">
        <f t="shared" si="3"/>
        <v>0</v>
      </c>
      <c r="M37" s="17">
        <f t="shared" si="7"/>
        <v>0</v>
      </c>
      <c r="O37" s="17">
        <f t="shared" si="5"/>
        <v>0</v>
      </c>
    </row>
    <row r="38" spans="2:15" hidden="1" outlineLevel="1">
      <c r="C38" s="2" t="s">
        <v>50</v>
      </c>
      <c r="E38" s="90"/>
      <c r="F38" s="248"/>
      <c r="G38" s="17"/>
      <c r="H38" s="18"/>
      <c r="I38" s="17"/>
      <c r="J38" s="17"/>
      <c r="K38" s="17">
        <f t="shared" si="3"/>
        <v>0</v>
      </c>
      <c r="M38" s="17">
        <f t="shared" si="7"/>
        <v>0</v>
      </c>
      <c r="O38" s="17">
        <f t="shared" si="5"/>
        <v>0</v>
      </c>
    </row>
    <row r="39" spans="2:15" hidden="1" outlineLevel="1">
      <c r="B39" s="2" t="s">
        <v>26</v>
      </c>
      <c r="C39" s="1">
        <v>546</v>
      </c>
      <c r="D39" s="1" t="s">
        <v>33</v>
      </c>
      <c r="E39" s="90">
        <f>'AN Electric'!G38</f>
        <v>73741</v>
      </c>
      <c r="F39" s="248"/>
      <c r="G39" s="17">
        <f t="shared" ref="G39:G45" si="13">F39+E39</f>
        <v>73741</v>
      </c>
      <c r="H39" s="18"/>
      <c r="I39" s="19">
        <f t="shared" ref="I39:I45" si="14">ROUND(IF($B39="a",G39*I$8,G39*I$9),0)</f>
        <v>383</v>
      </c>
      <c r="J39" s="19">
        <f t="shared" ref="J39:J45" si="15">ROUND(IF($B39="a",(G39+I39)*J$8,(G39+I39)*J$9),0)</f>
        <v>2224</v>
      </c>
      <c r="K39" s="19">
        <f t="shared" si="3"/>
        <v>0</v>
      </c>
      <c r="M39" s="19">
        <f t="shared" ref="M39:M45" si="16">I39+J39+K39</f>
        <v>2607</v>
      </c>
      <c r="O39" s="19">
        <f t="shared" si="5"/>
        <v>76348</v>
      </c>
    </row>
    <row r="40" spans="2:15" hidden="1" outlineLevel="1">
      <c r="C40" s="1">
        <v>548</v>
      </c>
      <c r="D40" s="1" t="s">
        <v>51</v>
      </c>
      <c r="E40" s="90">
        <f>'AN Electric'!G39</f>
        <v>192278</v>
      </c>
      <c r="F40" s="248"/>
      <c r="G40" s="17">
        <f t="shared" si="13"/>
        <v>192278</v>
      </c>
      <c r="H40" s="18"/>
      <c r="I40" s="20">
        <f t="shared" si="14"/>
        <v>1373</v>
      </c>
      <c r="J40" s="20">
        <f t="shared" si="15"/>
        <v>5810</v>
      </c>
      <c r="K40" s="20">
        <f t="shared" si="3"/>
        <v>5984</v>
      </c>
      <c r="M40" s="20">
        <f t="shared" si="16"/>
        <v>13167</v>
      </c>
      <c r="O40" s="20">
        <f t="shared" si="5"/>
        <v>205445</v>
      </c>
    </row>
    <row r="41" spans="2:15" hidden="1" outlineLevel="1">
      <c r="C41" s="1">
        <v>549</v>
      </c>
      <c r="D41" s="1" t="s">
        <v>52</v>
      </c>
      <c r="E41" s="90">
        <f>'AN Electric'!G40</f>
        <v>41893</v>
      </c>
      <c r="F41" s="248"/>
      <c r="G41" s="17">
        <f t="shared" si="13"/>
        <v>41893</v>
      </c>
      <c r="H41" s="18"/>
      <c r="I41" s="20">
        <f t="shared" si="14"/>
        <v>299</v>
      </c>
      <c r="J41" s="20">
        <f t="shared" si="15"/>
        <v>1266</v>
      </c>
      <c r="K41" s="20">
        <f t="shared" si="3"/>
        <v>1304</v>
      </c>
      <c r="M41" s="20">
        <f t="shared" si="16"/>
        <v>2869</v>
      </c>
      <c r="O41" s="20">
        <f t="shared" si="5"/>
        <v>44762</v>
      </c>
    </row>
    <row r="42" spans="2:15" hidden="1" outlineLevel="1">
      <c r="B42" s="2" t="s">
        <v>26</v>
      </c>
      <c r="C42" s="1">
        <v>551</v>
      </c>
      <c r="D42" s="1" t="s">
        <v>33</v>
      </c>
      <c r="E42" s="90">
        <f>'AN Electric'!G41</f>
        <v>206771</v>
      </c>
      <c r="F42" s="248"/>
      <c r="G42" s="17">
        <f t="shared" si="13"/>
        <v>206771</v>
      </c>
      <c r="H42" s="18"/>
      <c r="I42" s="19">
        <f t="shared" si="14"/>
        <v>1073</v>
      </c>
      <c r="J42" s="19">
        <f t="shared" si="15"/>
        <v>6235</v>
      </c>
      <c r="K42" s="19">
        <f t="shared" si="3"/>
        <v>0</v>
      </c>
      <c r="M42" s="19">
        <f t="shared" si="16"/>
        <v>7308</v>
      </c>
      <c r="O42" s="19">
        <f t="shared" si="5"/>
        <v>214079</v>
      </c>
    </row>
    <row r="43" spans="2:15" hidden="1" outlineLevel="1">
      <c r="C43" s="1">
        <v>552</v>
      </c>
      <c r="D43" s="1" t="s">
        <v>38</v>
      </c>
      <c r="E43" s="90">
        <f>'AN Electric'!G42</f>
        <v>379</v>
      </c>
      <c r="F43" s="248"/>
      <c r="G43" s="17">
        <f t="shared" si="13"/>
        <v>379</v>
      </c>
      <c r="H43" s="18"/>
      <c r="I43" s="20">
        <f t="shared" si="14"/>
        <v>3</v>
      </c>
      <c r="J43" s="20">
        <f t="shared" si="15"/>
        <v>11</v>
      </c>
      <c r="K43" s="20">
        <f t="shared" si="3"/>
        <v>12</v>
      </c>
      <c r="M43" s="20">
        <f t="shared" si="16"/>
        <v>26</v>
      </c>
      <c r="O43" s="20">
        <f t="shared" si="5"/>
        <v>405</v>
      </c>
    </row>
    <row r="44" spans="2:15" hidden="1" outlineLevel="1">
      <c r="C44" s="1">
        <v>553</v>
      </c>
      <c r="D44" s="1" t="s">
        <v>53</v>
      </c>
      <c r="E44" s="90">
        <f>'AN Electric'!G43</f>
        <v>209242</v>
      </c>
      <c r="F44" s="248"/>
      <c r="G44" s="17">
        <f t="shared" si="13"/>
        <v>209242</v>
      </c>
      <c r="H44" s="18"/>
      <c r="I44" s="20">
        <f t="shared" si="14"/>
        <v>1494</v>
      </c>
      <c r="J44" s="20">
        <f t="shared" si="15"/>
        <v>6322</v>
      </c>
      <c r="K44" s="20">
        <f t="shared" si="3"/>
        <v>6512</v>
      </c>
      <c r="M44" s="20">
        <f t="shared" si="16"/>
        <v>14328</v>
      </c>
      <c r="O44" s="20">
        <f t="shared" si="5"/>
        <v>223570</v>
      </c>
    </row>
    <row r="45" spans="2:15" hidden="1" outlineLevel="1">
      <c r="C45" s="1">
        <v>554</v>
      </c>
      <c r="D45" s="1" t="s">
        <v>54</v>
      </c>
      <c r="E45" s="90">
        <f>'AN Electric'!G44</f>
        <v>44470</v>
      </c>
      <c r="F45" s="248"/>
      <c r="G45" s="17">
        <f t="shared" si="13"/>
        <v>44470</v>
      </c>
      <c r="H45" s="18"/>
      <c r="I45" s="20">
        <f t="shared" si="14"/>
        <v>318</v>
      </c>
      <c r="J45" s="20">
        <f t="shared" si="15"/>
        <v>1344</v>
      </c>
      <c r="K45" s="20">
        <f t="shared" si="3"/>
        <v>1384</v>
      </c>
      <c r="M45" s="20">
        <f t="shared" si="16"/>
        <v>3046</v>
      </c>
      <c r="O45" s="20">
        <f t="shared" si="5"/>
        <v>47516</v>
      </c>
    </row>
    <row r="46" spans="2:15" hidden="1" outlineLevel="1">
      <c r="C46" s="2" t="s">
        <v>55</v>
      </c>
      <c r="E46" s="92">
        <f>SUM(E39:E45)</f>
        <v>768774</v>
      </c>
      <c r="F46" s="248"/>
      <c r="G46" s="33">
        <f t="shared" ref="G46:O46" si="17">SUM(G39:G45)</f>
        <v>768774</v>
      </c>
      <c r="H46" s="18"/>
      <c r="I46" s="33">
        <f t="shared" si="17"/>
        <v>4943</v>
      </c>
      <c r="J46" s="33">
        <f t="shared" si="17"/>
        <v>23212</v>
      </c>
      <c r="K46" s="33">
        <f t="shared" si="17"/>
        <v>15196</v>
      </c>
      <c r="L46" s="18"/>
      <c r="M46" s="33">
        <f t="shared" si="17"/>
        <v>43351</v>
      </c>
      <c r="N46" s="18"/>
      <c r="O46" s="33">
        <f t="shared" si="17"/>
        <v>812125</v>
      </c>
    </row>
    <row r="47" spans="2:15" hidden="1" outlineLevel="1">
      <c r="E47" s="90"/>
      <c r="F47" s="248"/>
      <c r="G47" s="17"/>
      <c r="H47" s="18"/>
      <c r="I47" s="17"/>
      <c r="J47" s="17"/>
      <c r="K47" s="17">
        <f t="shared" si="3"/>
        <v>0</v>
      </c>
      <c r="M47" s="17">
        <f t="shared" si="7"/>
        <v>0</v>
      </c>
      <c r="O47" s="17">
        <f t="shared" si="5"/>
        <v>0</v>
      </c>
    </row>
    <row r="48" spans="2:15" hidden="1" outlineLevel="1">
      <c r="C48" s="2" t="s">
        <v>56</v>
      </c>
      <c r="E48" s="90"/>
      <c r="F48" s="248"/>
      <c r="G48" s="17"/>
      <c r="H48" s="18"/>
      <c r="I48" s="17"/>
      <c r="J48" s="17"/>
      <c r="K48" s="17">
        <f t="shared" si="3"/>
        <v>0</v>
      </c>
      <c r="M48" s="17">
        <f t="shared" si="7"/>
        <v>0</v>
      </c>
      <c r="O48" s="17">
        <f t="shared" si="5"/>
        <v>0</v>
      </c>
    </row>
    <row r="49" spans="2:15" hidden="1" outlineLevel="1">
      <c r="B49" s="2" t="s">
        <v>26</v>
      </c>
      <c r="C49" s="1">
        <v>556</v>
      </c>
      <c r="D49" s="1" t="s">
        <v>57</v>
      </c>
      <c r="E49" s="90">
        <f>'AN Electric'!G48</f>
        <v>168546</v>
      </c>
      <c r="F49" s="248"/>
      <c r="G49" s="17">
        <f>F49+E49</f>
        <v>168546</v>
      </c>
      <c r="H49" s="18"/>
      <c r="I49" s="19">
        <f>ROUND(IF($B49="a",G49*I$8,G49*I$9),0)</f>
        <v>875</v>
      </c>
      <c r="J49" s="19">
        <f>ROUND(IF($B49="a",(G49+I49)*J$8,(G49+I49)*J$9),0)</f>
        <v>5083</v>
      </c>
      <c r="K49" s="19">
        <f t="shared" si="3"/>
        <v>0</v>
      </c>
      <c r="M49" s="19">
        <f t="shared" ref="M49:M50" si="18">I49+J49+K49</f>
        <v>5958</v>
      </c>
      <c r="O49" s="19">
        <f t="shared" si="5"/>
        <v>174504</v>
      </c>
    </row>
    <row r="50" spans="2:15" hidden="1" outlineLevel="1">
      <c r="B50" s="2" t="s">
        <v>26</v>
      </c>
      <c r="C50" s="1" t="s">
        <v>178</v>
      </c>
      <c r="D50" s="1" t="s">
        <v>58</v>
      </c>
      <c r="E50" s="90">
        <f>'AN Electric'!G49</f>
        <v>2483124</v>
      </c>
      <c r="F50" s="248"/>
      <c r="G50" s="17">
        <f>F50+E50</f>
        <v>2483124</v>
      </c>
      <c r="H50" s="18"/>
      <c r="I50" s="19">
        <f>ROUND(IF($B50="a",G50*I$8,G50*I$9),0)</f>
        <v>12887</v>
      </c>
      <c r="J50" s="19">
        <f>ROUND(IF($B50="a",(G50+I50)*J$8,(G50+I50)*J$9),0)</f>
        <v>74880</v>
      </c>
      <c r="K50" s="19">
        <f t="shared" si="3"/>
        <v>0</v>
      </c>
      <c r="M50" s="19">
        <f t="shared" si="18"/>
        <v>87767</v>
      </c>
      <c r="O50" s="19">
        <f t="shared" si="5"/>
        <v>2570891</v>
      </c>
    </row>
    <row r="51" spans="2:15" hidden="1" outlineLevel="1">
      <c r="C51" s="2" t="s">
        <v>59</v>
      </c>
      <c r="E51" s="92">
        <f>SUM(E49:E50)</f>
        <v>2651670</v>
      </c>
      <c r="F51" s="248"/>
      <c r="G51" s="33">
        <f t="shared" ref="G51:O51" si="19">SUM(G49:G50)</f>
        <v>2651670</v>
      </c>
      <c r="H51" s="18"/>
      <c r="I51" s="33">
        <f t="shared" si="19"/>
        <v>13762</v>
      </c>
      <c r="J51" s="33">
        <f t="shared" si="19"/>
        <v>79963</v>
      </c>
      <c r="K51" s="33">
        <f t="shared" si="19"/>
        <v>0</v>
      </c>
      <c r="L51" s="18"/>
      <c r="M51" s="33">
        <f t="shared" si="19"/>
        <v>93725</v>
      </c>
      <c r="N51" s="18"/>
      <c r="O51" s="33">
        <f t="shared" si="19"/>
        <v>2745395</v>
      </c>
    </row>
    <row r="52" spans="2:15" hidden="1" outlineLevel="1">
      <c r="E52" s="90"/>
      <c r="F52" s="248"/>
      <c r="G52" s="17"/>
      <c r="H52" s="18"/>
      <c r="I52" s="17"/>
      <c r="J52" s="17"/>
      <c r="K52" s="17">
        <f t="shared" si="3"/>
        <v>0</v>
      </c>
      <c r="M52" s="17">
        <f t="shared" si="7"/>
        <v>0</v>
      </c>
      <c r="O52" s="17">
        <f t="shared" si="5"/>
        <v>0</v>
      </c>
    </row>
    <row r="53" spans="2:15" collapsed="1">
      <c r="C53" s="2" t="s">
        <v>28</v>
      </c>
      <c r="E53" s="138">
        <f>E23+E36+E46+E51</f>
        <v>12925854</v>
      </c>
      <c r="F53" s="248"/>
      <c r="G53" s="92">
        <f>G23+G36+G46+G51</f>
        <v>12925854</v>
      </c>
      <c r="H53" s="135"/>
      <c r="I53" s="92">
        <f>I23+I36+I46+I51</f>
        <v>83746</v>
      </c>
      <c r="J53" s="92">
        <f t="shared" ref="J53:O53" si="20">J23+J36+J46+J51</f>
        <v>390290</v>
      </c>
      <c r="K53" s="92">
        <v>0</v>
      </c>
      <c r="L53" s="135"/>
      <c r="M53" s="92">
        <f>+I53+J53</f>
        <v>474036</v>
      </c>
      <c r="N53" s="135"/>
      <c r="O53" s="92">
        <f t="shared" si="20"/>
        <v>13665769</v>
      </c>
    </row>
    <row r="54" spans="2:15">
      <c r="D54" s="2">
        <f>D32</f>
        <v>0</v>
      </c>
      <c r="E54" s="90"/>
      <c r="F54" s="248"/>
      <c r="G54" s="17"/>
      <c r="H54" s="18"/>
      <c r="I54" s="17"/>
      <c r="J54" s="17"/>
      <c r="K54" s="17"/>
      <c r="M54" s="17"/>
      <c r="O54" s="17"/>
    </row>
    <row r="55" spans="2:15" hidden="1" outlineLevel="1">
      <c r="C55" s="2" t="s">
        <v>2</v>
      </c>
      <c r="E55" s="90"/>
      <c r="F55" s="248"/>
      <c r="G55" s="17"/>
      <c r="H55" s="18"/>
      <c r="I55" s="17"/>
      <c r="J55" s="17"/>
      <c r="K55" s="17"/>
      <c r="M55" s="17"/>
      <c r="O55" s="17"/>
    </row>
    <row r="56" spans="2:15" hidden="1" outlineLevel="1">
      <c r="B56" s="2" t="s">
        <v>26</v>
      </c>
      <c r="C56" s="1">
        <v>560</v>
      </c>
      <c r="D56" s="1" t="s">
        <v>33</v>
      </c>
      <c r="E56" s="90">
        <f>'AN Electric'!G55</f>
        <v>811682</v>
      </c>
      <c r="F56" s="248"/>
      <c r="G56" s="17">
        <f t="shared" ref="G56:G68" si="21">F56+E56</f>
        <v>811682</v>
      </c>
      <c r="H56" s="18"/>
      <c r="I56" s="19">
        <f t="shared" ref="I56:I68" si="22">ROUND(IF($B56="a",G56*I$8,G56*I$9),0)</f>
        <v>4213</v>
      </c>
      <c r="J56" s="19">
        <f t="shared" ref="J56:J68" si="23">ROUND(IF($B56="a",(G56+I56)*J$8,(G56+I56)*J$9),0)</f>
        <v>24477</v>
      </c>
      <c r="K56" s="19">
        <f t="shared" si="3"/>
        <v>0</v>
      </c>
      <c r="M56" s="19">
        <f>I56+J56+K56</f>
        <v>28690</v>
      </c>
      <c r="O56" s="19">
        <f t="shared" si="5"/>
        <v>840372</v>
      </c>
    </row>
    <row r="57" spans="2:15" hidden="1" outlineLevel="1">
      <c r="B57" s="2" t="s">
        <v>26</v>
      </c>
      <c r="C57" s="1">
        <v>561</v>
      </c>
      <c r="D57" s="1" t="s">
        <v>60</v>
      </c>
      <c r="E57" s="90">
        <f>'AN Electric'!G56</f>
        <v>1253318</v>
      </c>
      <c r="F57" s="248"/>
      <c r="G57" s="17">
        <f t="shared" si="21"/>
        <v>1253318</v>
      </c>
      <c r="H57" s="18"/>
      <c r="I57" s="19">
        <f t="shared" si="22"/>
        <v>6505</v>
      </c>
      <c r="J57" s="19">
        <f t="shared" si="23"/>
        <v>37795</v>
      </c>
      <c r="K57" s="19">
        <f t="shared" si="3"/>
        <v>0</v>
      </c>
      <c r="M57" s="19">
        <f t="shared" ref="M57:M68" si="24">I57+J57+K57</f>
        <v>44300</v>
      </c>
      <c r="O57" s="19">
        <f t="shared" si="5"/>
        <v>1297618</v>
      </c>
    </row>
    <row r="58" spans="2:15" hidden="1" outlineLevel="1">
      <c r="C58" s="1">
        <v>562</v>
      </c>
      <c r="D58" s="1" t="s">
        <v>61</v>
      </c>
      <c r="E58" s="90">
        <f>'AN Electric'!G57</f>
        <v>89335</v>
      </c>
      <c r="F58" s="248"/>
      <c r="G58" s="17">
        <f t="shared" si="21"/>
        <v>89335</v>
      </c>
      <c r="H58" s="18"/>
      <c r="I58" s="20">
        <f t="shared" si="22"/>
        <v>638</v>
      </c>
      <c r="J58" s="20">
        <f t="shared" si="23"/>
        <v>2699</v>
      </c>
      <c r="K58" s="20">
        <f t="shared" si="3"/>
        <v>2780</v>
      </c>
      <c r="M58" s="20">
        <f t="shared" si="24"/>
        <v>6117</v>
      </c>
      <c r="O58" s="20">
        <f t="shared" si="5"/>
        <v>95452</v>
      </c>
    </row>
    <row r="59" spans="2:15" hidden="1" outlineLevel="1">
      <c r="C59" s="1">
        <v>563</v>
      </c>
      <c r="D59" s="1" t="s">
        <v>62</v>
      </c>
      <c r="E59" s="90">
        <f>'AN Electric'!G58</f>
        <v>45075</v>
      </c>
      <c r="F59" s="248"/>
      <c r="G59" s="17">
        <f t="shared" si="21"/>
        <v>45075</v>
      </c>
      <c r="H59" s="18"/>
      <c r="I59" s="20">
        <f t="shared" si="22"/>
        <v>322</v>
      </c>
      <c r="J59" s="20">
        <f t="shared" si="23"/>
        <v>1362</v>
      </c>
      <c r="K59" s="20">
        <f t="shared" si="3"/>
        <v>1403</v>
      </c>
      <c r="M59" s="20">
        <f t="shared" si="24"/>
        <v>3087</v>
      </c>
      <c r="O59" s="20">
        <f t="shared" si="5"/>
        <v>48162</v>
      </c>
    </row>
    <row r="60" spans="2:15" hidden="1" outlineLevel="1">
      <c r="C60" s="1">
        <v>564</v>
      </c>
      <c r="D60" s="1" t="s">
        <v>63</v>
      </c>
      <c r="E60" s="90">
        <f>'AN Electric'!G59</f>
        <v>0</v>
      </c>
      <c r="F60" s="248"/>
      <c r="G60" s="17">
        <f t="shared" si="21"/>
        <v>0</v>
      </c>
      <c r="H60" s="18"/>
      <c r="I60" s="20">
        <f t="shared" si="22"/>
        <v>0</v>
      </c>
      <c r="J60" s="20">
        <f t="shared" si="23"/>
        <v>0</v>
      </c>
      <c r="K60" s="20">
        <f t="shared" si="3"/>
        <v>0</v>
      </c>
      <c r="M60" s="20">
        <f t="shared" si="24"/>
        <v>0</v>
      </c>
      <c r="O60" s="20">
        <f t="shared" si="5"/>
        <v>0</v>
      </c>
    </row>
    <row r="61" spans="2:15" hidden="1" outlineLevel="1">
      <c r="C61" s="29">
        <v>566</v>
      </c>
      <c r="D61" s="29" t="s">
        <v>64</v>
      </c>
      <c r="E61" s="90">
        <f>'AN Electric'!G60</f>
        <v>502223</v>
      </c>
      <c r="F61" s="248"/>
      <c r="G61" s="17">
        <f t="shared" si="21"/>
        <v>502223</v>
      </c>
      <c r="H61" s="18"/>
      <c r="I61" s="20">
        <f t="shared" si="22"/>
        <v>3586</v>
      </c>
      <c r="J61" s="20">
        <f t="shared" si="23"/>
        <v>15174</v>
      </c>
      <c r="K61" s="20">
        <f t="shared" si="3"/>
        <v>15629</v>
      </c>
      <c r="M61" s="20">
        <f t="shared" si="24"/>
        <v>34389</v>
      </c>
      <c r="O61" s="20">
        <f t="shared" si="5"/>
        <v>536612</v>
      </c>
    </row>
    <row r="62" spans="2:15" hidden="1" outlineLevel="1">
      <c r="B62" s="30"/>
      <c r="C62" s="29">
        <v>567</v>
      </c>
      <c r="D62" s="29" t="s">
        <v>175</v>
      </c>
      <c r="E62" s="90">
        <f>'AN Electric'!G61</f>
        <v>7256</v>
      </c>
      <c r="F62" s="248"/>
      <c r="G62" s="17">
        <f t="shared" si="21"/>
        <v>7256</v>
      </c>
      <c r="H62" s="18"/>
      <c r="I62" s="20">
        <f t="shared" si="22"/>
        <v>52</v>
      </c>
      <c r="J62" s="20">
        <f t="shared" si="23"/>
        <v>219</v>
      </c>
      <c r="K62" s="20">
        <f t="shared" si="3"/>
        <v>226</v>
      </c>
      <c r="M62" s="20">
        <f t="shared" si="24"/>
        <v>497</v>
      </c>
      <c r="O62" s="20">
        <f t="shared" si="5"/>
        <v>7753</v>
      </c>
    </row>
    <row r="63" spans="2:15" hidden="1" outlineLevel="1">
      <c r="B63" s="2" t="s">
        <v>26</v>
      </c>
      <c r="C63" s="1">
        <v>568</v>
      </c>
      <c r="D63" s="1" t="s">
        <v>33</v>
      </c>
      <c r="E63" s="90">
        <f>'AN Electric'!G62</f>
        <v>251513</v>
      </c>
      <c r="F63" s="248"/>
      <c r="G63" s="17">
        <f t="shared" si="21"/>
        <v>251513</v>
      </c>
      <c r="H63" s="18"/>
      <c r="I63" s="19">
        <f t="shared" si="22"/>
        <v>1305</v>
      </c>
      <c r="J63" s="19">
        <f t="shared" si="23"/>
        <v>7585</v>
      </c>
      <c r="K63" s="19">
        <f t="shared" si="3"/>
        <v>0</v>
      </c>
      <c r="M63" s="19">
        <f t="shared" si="24"/>
        <v>8890</v>
      </c>
      <c r="O63" s="19">
        <f t="shared" si="5"/>
        <v>260403</v>
      </c>
    </row>
    <row r="64" spans="2:15" hidden="1" outlineLevel="1">
      <c r="C64" s="1">
        <v>569</v>
      </c>
      <c r="D64" s="1" t="s">
        <v>38</v>
      </c>
      <c r="E64" s="90">
        <f>'AN Electric'!G63</f>
        <v>241947</v>
      </c>
      <c r="F64" s="248"/>
      <c r="G64" s="17">
        <f t="shared" si="21"/>
        <v>241947</v>
      </c>
      <c r="H64" s="18"/>
      <c r="I64" s="20">
        <f t="shared" si="22"/>
        <v>1728</v>
      </c>
      <c r="J64" s="20">
        <f t="shared" si="23"/>
        <v>7310</v>
      </c>
      <c r="K64" s="20">
        <f t="shared" si="3"/>
        <v>7530</v>
      </c>
      <c r="M64" s="20">
        <f t="shared" si="24"/>
        <v>16568</v>
      </c>
      <c r="O64" s="20">
        <f t="shared" si="5"/>
        <v>258515</v>
      </c>
    </row>
    <row r="65" spans="2:15" hidden="1" outlineLevel="1">
      <c r="C65" s="1">
        <v>570</v>
      </c>
      <c r="D65" s="1" t="s">
        <v>65</v>
      </c>
      <c r="E65" s="90">
        <f>'AN Electric'!G64</f>
        <v>264716</v>
      </c>
      <c r="F65" s="248"/>
      <c r="G65" s="17">
        <f t="shared" si="21"/>
        <v>264716</v>
      </c>
      <c r="H65" s="18"/>
      <c r="I65" s="20">
        <f t="shared" si="22"/>
        <v>1890</v>
      </c>
      <c r="J65" s="20">
        <f t="shared" si="23"/>
        <v>7998</v>
      </c>
      <c r="K65" s="20">
        <f t="shared" si="3"/>
        <v>8238</v>
      </c>
      <c r="M65" s="20">
        <f t="shared" si="24"/>
        <v>18126</v>
      </c>
      <c r="O65" s="20">
        <f t="shared" si="5"/>
        <v>282842</v>
      </c>
    </row>
    <row r="66" spans="2:15" hidden="1" outlineLevel="1">
      <c r="C66" s="1">
        <v>571</v>
      </c>
      <c r="D66" s="1" t="s">
        <v>66</v>
      </c>
      <c r="E66" s="90">
        <f>'AN Electric'!G65</f>
        <v>19246</v>
      </c>
      <c r="F66" s="248"/>
      <c r="G66" s="17">
        <f t="shared" si="21"/>
        <v>19246</v>
      </c>
      <c r="H66" s="18"/>
      <c r="I66" s="20">
        <f t="shared" si="22"/>
        <v>137</v>
      </c>
      <c r="J66" s="20">
        <f t="shared" si="23"/>
        <v>581</v>
      </c>
      <c r="K66" s="20">
        <f t="shared" si="3"/>
        <v>599</v>
      </c>
      <c r="M66" s="20">
        <f t="shared" si="24"/>
        <v>1317</v>
      </c>
      <c r="O66" s="20">
        <f t="shared" si="5"/>
        <v>20563</v>
      </c>
    </row>
    <row r="67" spans="2:15" hidden="1" outlineLevel="1">
      <c r="C67" s="1">
        <v>572</v>
      </c>
      <c r="D67" s="1" t="s">
        <v>67</v>
      </c>
      <c r="E67" s="90">
        <f>'AN Electric'!G66</f>
        <v>0</v>
      </c>
      <c r="F67" s="248"/>
      <c r="G67" s="17">
        <f t="shared" si="21"/>
        <v>0</v>
      </c>
      <c r="H67" s="18"/>
      <c r="I67" s="20">
        <f t="shared" si="22"/>
        <v>0</v>
      </c>
      <c r="J67" s="20">
        <f t="shared" si="23"/>
        <v>0</v>
      </c>
      <c r="K67" s="20">
        <f t="shared" si="3"/>
        <v>0</v>
      </c>
      <c r="M67" s="20">
        <f t="shared" si="24"/>
        <v>0</v>
      </c>
      <c r="O67" s="20">
        <f t="shared" si="5"/>
        <v>0</v>
      </c>
    </row>
    <row r="68" spans="2:15" hidden="1" outlineLevel="1">
      <c r="C68" s="1">
        <v>573</v>
      </c>
      <c r="D68" s="1" t="s">
        <v>68</v>
      </c>
      <c r="E68" s="90">
        <f>'AN Electric'!G67</f>
        <v>9693</v>
      </c>
      <c r="F68" s="248"/>
      <c r="G68" s="17">
        <f t="shared" si="21"/>
        <v>9693</v>
      </c>
      <c r="H68" s="18"/>
      <c r="I68" s="20">
        <f t="shared" si="22"/>
        <v>69</v>
      </c>
      <c r="J68" s="20">
        <f t="shared" si="23"/>
        <v>293</v>
      </c>
      <c r="K68" s="20">
        <f t="shared" si="3"/>
        <v>302</v>
      </c>
      <c r="M68" s="20">
        <f t="shared" si="24"/>
        <v>664</v>
      </c>
      <c r="O68" s="20">
        <f t="shared" si="5"/>
        <v>10357</v>
      </c>
    </row>
    <row r="69" spans="2:15" collapsed="1">
      <c r="C69" s="2" t="s">
        <v>3</v>
      </c>
      <c r="E69" s="92">
        <f>SUM(E56:E68)</f>
        <v>3496004</v>
      </c>
      <c r="F69" s="248"/>
      <c r="G69" s="33">
        <f t="shared" ref="G69:O69" si="25">SUM(G56:G68)</f>
        <v>3496004</v>
      </c>
      <c r="H69" s="18"/>
      <c r="I69" s="33">
        <f t="shared" si="25"/>
        <v>20445</v>
      </c>
      <c r="J69" s="33">
        <f t="shared" si="25"/>
        <v>105493</v>
      </c>
      <c r="K69" s="33">
        <v>0</v>
      </c>
      <c r="L69" s="18"/>
      <c r="M69" s="92">
        <f>+I69+J69</f>
        <v>125938</v>
      </c>
      <c r="N69" s="18"/>
      <c r="O69" s="33">
        <f t="shared" si="25"/>
        <v>3658649</v>
      </c>
    </row>
    <row r="70" spans="2:15">
      <c r="E70" s="90"/>
      <c r="F70" s="248"/>
      <c r="G70" s="17"/>
      <c r="H70" s="18"/>
      <c r="I70" s="17"/>
      <c r="J70" s="17"/>
      <c r="K70" s="17"/>
      <c r="M70" s="17"/>
      <c r="O70" s="17"/>
    </row>
    <row r="71" spans="2:15" hidden="1" outlineLevel="1">
      <c r="C71" s="2" t="s">
        <v>4</v>
      </c>
      <c r="E71" s="90"/>
      <c r="F71" s="248"/>
      <c r="G71" s="17"/>
      <c r="H71" s="18"/>
      <c r="I71" s="17"/>
      <c r="J71" s="17"/>
      <c r="K71" s="17"/>
      <c r="M71" s="17"/>
      <c r="O71" s="17"/>
    </row>
    <row r="72" spans="2:15" hidden="1" outlineLevel="1">
      <c r="B72" s="2" t="s">
        <v>26</v>
      </c>
      <c r="C72" s="1">
        <v>580</v>
      </c>
      <c r="D72" s="1" t="s">
        <v>33</v>
      </c>
      <c r="E72" s="90">
        <f>'AN Electric'!G71</f>
        <v>1513924</v>
      </c>
      <c r="F72" s="248"/>
      <c r="G72" s="17">
        <f t="shared" ref="G72:G90" si="26">F72+E72</f>
        <v>1513924</v>
      </c>
      <c r="H72" s="18"/>
      <c r="I72" s="19">
        <f t="shared" ref="I72:I90" si="27">ROUND(IF($B72="a",G72*I$8,G72*I$9),0)</f>
        <v>7857</v>
      </c>
      <c r="J72" s="19">
        <f t="shared" ref="J72:J90" si="28">ROUND(IF($B72="a",(G72+I72)*J$8,(G72+I72)*J$9),0)</f>
        <v>45653</v>
      </c>
      <c r="K72" s="19">
        <f t="shared" si="3"/>
        <v>0</v>
      </c>
      <c r="M72" s="19">
        <f t="shared" ref="M72:M90" si="29">I72+J72+K72</f>
        <v>53510</v>
      </c>
      <c r="O72" s="19">
        <f t="shared" si="5"/>
        <v>1567434</v>
      </c>
    </row>
    <row r="73" spans="2:15" hidden="1" outlineLevel="1">
      <c r="B73" s="2" t="s">
        <v>26</v>
      </c>
      <c r="C73" s="1">
        <v>581</v>
      </c>
      <c r="D73" s="1" t="s">
        <v>60</v>
      </c>
      <c r="E73" s="90">
        <f>'AN Electric'!G72</f>
        <v>0</v>
      </c>
      <c r="F73" s="248"/>
      <c r="G73" s="17">
        <f t="shared" si="26"/>
        <v>0</v>
      </c>
      <c r="H73" s="18"/>
      <c r="I73" s="19">
        <f t="shared" si="27"/>
        <v>0</v>
      </c>
      <c r="J73" s="19">
        <f t="shared" si="28"/>
        <v>0</v>
      </c>
      <c r="K73" s="19">
        <f t="shared" si="3"/>
        <v>0</v>
      </c>
      <c r="M73" s="19">
        <f t="shared" si="29"/>
        <v>0</v>
      </c>
      <c r="O73" s="19">
        <f t="shared" si="5"/>
        <v>0</v>
      </c>
    </row>
    <row r="74" spans="2:15" hidden="1" outlineLevel="1">
      <c r="C74" s="1">
        <v>582</v>
      </c>
      <c r="D74" s="1" t="s">
        <v>61</v>
      </c>
      <c r="E74" s="90">
        <f>'AN Electric'!G73</f>
        <v>188555</v>
      </c>
      <c r="F74" s="248"/>
      <c r="G74" s="17">
        <f t="shared" si="26"/>
        <v>188555</v>
      </c>
      <c r="H74" s="18"/>
      <c r="I74" s="20">
        <f t="shared" si="27"/>
        <v>1346</v>
      </c>
      <c r="J74" s="20">
        <f t="shared" si="28"/>
        <v>5697</v>
      </c>
      <c r="K74" s="20">
        <f t="shared" si="3"/>
        <v>5868</v>
      </c>
      <c r="M74" s="20">
        <f t="shared" si="29"/>
        <v>12911</v>
      </c>
      <c r="O74" s="20">
        <f t="shared" si="5"/>
        <v>201466</v>
      </c>
    </row>
    <row r="75" spans="2:15" hidden="1" outlineLevel="1">
      <c r="C75" s="1">
        <v>583</v>
      </c>
      <c r="D75" s="1" t="s">
        <v>62</v>
      </c>
      <c r="E75" s="90">
        <f>'AN Electric'!G74</f>
        <v>750627</v>
      </c>
      <c r="F75" s="248"/>
      <c r="G75" s="17">
        <f t="shared" si="26"/>
        <v>750627</v>
      </c>
      <c r="H75" s="18"/>
      <c r="I75" s="20">
        <f t="shared" si="27"/>
        <v>5359</v>
      </c>
      <c r="J75" s="20">
        <f t="shared" si="28"/>
        <v>22680</v>
      </c>
      <c r="K75" s="20">
        <f t="shared" si="3"/>
        <v>23360</v>
      </c>
      <c r="M75" s="20">
        <f t="shared" si="29"/>
        <v>51399</v>
      </c>
      <c r="O75" s="20">
        <f t="shared" si="5"/>
        <v>802026</v>
      </c>
    </row>
    <row r="76" spans="2:15" hidden="1" outlineLevel="1">
      <c r="C76" s="1">
        <v>584</v>
      </c>
      <c r="D76" s="1">
        <f>D54</f>
        <v>0</v>
      </c>
      <c r="E76" s="90">
        <f>'AN Electric'!G75</f>
        <v>261877</v>
      </c>
      <c r="F76" s="248"/>
      <c r="G76" s="17">
        <f t="shared" si="26"/>
        <v>261877</v>
      </c>
      <c r="H76" s="18"/>
      <c r="I76" s="20">
        <f t="shared" si="27"/>
        <v>1870</v>
      </c>
      <c r="J76" s="20">
        <f t="shared" si="28"/>
        <v>7912</v>
      </c>
      <c r="K76" s="20">
        <f t="shared" si="3"/>
        <v>8150</v>
      </c>
      <c r="M76" s="20">
        <f t="shared" si="29"/>
        <v>17932</v>
      </c>
      <c r="O76" s="20">
        <f t="shared" si="5"/>
        <v>279809</v>
      </c>
    </row>
    <row r="77" spans="2:15" hidden="1" outlineLevel="1">
      <c r="C77" s="1">
        <v>585</v>
      </c>
      <c r="D77" s="1" t="s">
        <v>69</v>
      </c>
      <c r="E77" s="90">
        <f>'AN Electric'!G76</f>
        <v>3405</v>
      </c>
      <c r="F77" s="248"/>
      <c r="G77" s="17">
        <f t="shared" si="26"/>
        <v>3405</v>
      </c>
      <c r="H77" s="18"/>
      <c r="I77" s="20">
        <f t="shared" si="27"/>
        <v>24</v>
      </c>
      <c r="J77" s="20">
        <f t="shared" si="28"/>
        <v>103</v>
      </c>
      <c r="K77" s="20">
        <f t="shared" ref="K77:K122" si="30">ROUND(IF($B77="a",(G77+I77+J77)*K$8,(G77+I77+J77)*K$9),0)</f>
        <v>106</v>
      </c>
      <c r="M77" s="20">
        <f t="shared" si="29"/>
        <v>233</v>
      </c>
      <c r="O77" s="20">
        <f t="shared" ref="O77:O90" si="31">G77+M77</f>
        <v>3638</v>
      </c>
    </row>
    <row r="78" spans="2:15" hidden="1" outlineLevel="1">
      <c r="C78" s="1">
        <v>586</v>
      </c>
      <c r="D78" s="1" t="s">
        <v>70</v>
      </c>
      <c r="E78" s="90">
        <f>'AN Electric'!G77</f>
        <v>817051</v>
      </c>
      <c r="F78" s="248"/>
      <c r="G78" s="17">
        <f t="shared" si="26"/>
        <v>817051</v>
      </c>
      <c r="H78" s="18"/>
      <c r="I78" s="20">
        <f t="shared" si="27"/>
        <v>5834</v>
      </c>
      <c r="J78" s="20">
        <f t="shared" si="28"/>
        <v>24687</v>
      </c>
      <c r="K78" s="20">
        <f t="shared" si="30"/>
        <v>25427</v>
      </c>
      <c r="M78" s="20">
        <f t="shared" si="29"/>
        <v>55948</v>
      </c>
      <c r="O78" s="20">
        <f t="shared" si="31"/>
        <v>872999</v>
      </c>
    </row>
    <row r="79" spans="2:15" hidden="1" outlineLevel="1">
      <c r="C79" s="1">
        <v>587</v>
      </c>
      <c r="D79" s="1" t="s">
        <v>71</v>
      </c>
      <c r="E79" s="90">
        <f>'AN Electric'!G78</f>
        <v>281881</v>
      </c>
      <c r="F79" s="248"/>
      <c r="G79" s="17">
        <f t="shared" si="26"/>
        <v>281881</v>
      </c>
      <c r="H79" s="18"/>
      <c r="I79" s="20">
        <f t="shared" si="27"/>
        <v>2013</v>
      </c>
      <c r="J79" s="20">
        <f t="shared" si="28"/>
        <v>8517</v>
      </c>
      <c r="K79" s="20">
        <f t="shared" si="30"/>
        <v>8772</v>
      </c>
      <c r="M79" s="20">
        <f t="shared" si="29"/>
        <v>19302</v>
      </c>
      <c r="O79" s="20">
        <f t="shared" si="31"/>
        <v>301183</v>
      </c>
    </row>
    <row r="80" spans="2:15" hidden="1" outlineLevel="1">
      <c r="C80" s="1">
        <v>588</v>
      </c>
      <c r="D80" s="1" t="s">
        <v>72</v>
      </c>
      <c r="E80" s="90">
        <f>'AN Electric'!G79</f>
        <v>2733470</v>
      </c>
      <c r="F80" s="248"/>
      <c r="G80" s="17">
        <f t="shared" si="26"/>
        <v>2733470</v>
      </c>
      <c r="H80" s="18"/>
      <c r="I80" s="20">
        <f t="shared" si="27"/>
        <v>19517</v>
      </c>
      <c r="J80" s="20">
        <f t="shared" si="28"/>
        <v>82590</v>
      </c>
      <c r="K80" s="20">
        <f t="shared" si="30"/>
        <v>85067</v>
      </c>
      <c r="M80" s="20">
        <f t="shared" si="29"/>
        <v>187174</v>
      </c>
      <c r="O80" s="20">
        <f t="shared" si="31"/>
        <v>2920644</v>
      </c>
    </row>
    <row r="81" spans="2:15" hidden="1" outlineLevel="1">
      <c r="C81" s="1">
        <v>589</v>
      </c>
      <c r="D81" s="1" t="s">
        <v>73</v>
      </c>
      <c r="E81" s="90">
        <f>'AN Electric'!G80</f>
        <v>19303</v>
      </c>
      <c r="F81" s="248"/>
      <c r="G81" s="17">
        <f t="shared" si="26"/>
        <v>19303</v>
      </c>
      <c r="H81" s="18"/>
      <c r="I81" s="20">
        <f t="shared" si="27"/>
        <v>138</v>
      </c>
      <c r="J81" s="20">
        <f t="shared" si="28"/>
        <v>583</v>
      </c>
      <c r="K81" s="20">
        <f t="shared" si="30"/>
        <v>601</v>
      </c>
      <c r="M81" s="20">
        <f t="shared" si="29"/>
        <v>1322</v>
      </c>
      <c r="O81" s="20">
        <f t="shared" si="31"/>
        <v>20625</v>
      </c>
    </row>
    <row r="82" spans="2:15" hidden="1" outlineLevel="1">
      <c r="B82" s="2" t="s">
        <v>26</v>
      </c>
      <c r="C82" s="1">
        <v>590</v>
      </c>
      <c r="D82" s="1" t="s">
        <v>33</v>
      </c>
      <c r="E82" s="90">
        <f>'AN Electric'!G81</f>
        <v>371338</v>
      </c>
      <c r="F82" s="248"/>
      <c r="G82" s="17">
        <f t="shared" si="26"/>
        <v>371338</v>
      </c>
      <c r="H82" s="18"/>
      <c r="I82" s="19">
        <f t="shared" si="27"/>
        <v>1927</v>
      </c>
      <c r="J82" s="19">
        <f t="shared" si="28"/>
        <v>11198</v>
      </c>
      <c r="K82" s="19">
        <f t="shared" si="30"/>
        <v>0</v>
      </c>
      <c r="M82" s="19">
        <f t="shared" si="29"/>
        <v>13125</v>
      </c>
      <c r="O82" s="19">
        <f t="shared" si="31"/>
        <v>384463</v>
      </c>
    </row>
    <row r="83" spans="2:15" hidden="1" outlineLevel="1">
      <c r="C83" s="1">
        <v>591</v>
      </c>
      <c r="D83" s="1" t="s">
        <v>38</v>
      </c>
      <c r="E83" s="90">
        <f>'AN Electric'!G82</f>
        <v>135916</v>
      </c>
      <c r="F83" s="248"/>
      <c r="G83" s="17">
        <f t="shared" si="26"/>
        <v>135916</v>
      </c>
      <c r="H83" s="18"/>
      <c r="I83" s="20">
        <f t="shared" si="27"/>
        <v>970</v>
      </c>
      <c r="J83" s="20">
        <f t="shared" si="28"/>
        <v>4107</v>
      </c>
      <c r="K83" s="20">
        <f t="shared" si="30"/>
        <v>4230</v>
      </c>
      <c r="M83" s="20">
        <f t="shared" si="29"/>
        <v>9307</v>
      </c>
      <c r="O83" s="20">
        <f t="shared" si="31"/>
        <v>145223</v>
      </c>
    </row>
    <row r="84" spans="2:15" hidden="1" outlineLevel="1">
      <c r="C84" s="1">
        <v>592</v>
      </c>
      <c r="D84" s="1" t="s">
        <v>74</v>
      </c>
      <c r="E84" s="90">
        <f>'AN Electric'!G83</f>
        <v>217390</v>
      </c>
      <c r="F84" s="248"/>
      <c r="G84" s="17">
        <f t="shared" si="26"/>
        <v>217390</v>
      </c>
      <c r="H84" s="18"/>
      <c r="I84" s="20">
        <f t="shared" si="27"/>
        <v>1552</v>
      </c>
      <c r="J84" s="20">
        <f t="shared" si="28"/>
        <v>6568</v>
      </c>
      <c r="K84" s="20">
        <f t="shared" si="30"/>
        <v>6765</v>
      </c>
      <c r="M84" s="20">
        <f t="shared" si="29"/>
        <v>14885</v>
      </c>
      <c r="O84" s="20">
        <f t="shared" si="31"/>
        <v>232275</v>
      </c>
    </row>
    <row r="85" spans="2:15" hidden="1" outlineLevel="1">
      <c r="C85" s="1">
        <v>593</v>
      </c>
      <c r="D85" s="1" t="s">
        <v>66</v>
      </c>
      <c r="E85" s="90">
        <f>'AN Electric'!G84</f>
        <v>1169399</v>
      </c>
      <c r="F85" s="248"/>
      <c r="G85" s="17">
        <f t="shared" si="26"/>
        <v>1169399</v>
      </c>
      <c r="H85" s="18"/>
      <c r="I85" s="20">
        <f t="shared" si="27"/>
        <v>8350</v>
      </c>
      <c r="J85" s="20">
        <f t="shared" si="28"/>
        <v>35332</v>
      </c>
      <c r="K85" s="20">
        <f t="shared" si="30"/>
        <v>36392</v>
      </c>
      <c r="M85" s="20">
        <f t="shared" si="29"/>
        <v>80074</v>
      </c>
      <c r="O85" s="20">
        <f t="shared" si="31"/>
        <v>1249473</v>
      </c>
    </row>
    <row r="86" spans="2:15" hidden="1" outlineLevel="1">
      <c r="C86" s="1">
        <v>594</v>
      </c>
      <c r="D86" s="1" t="s">
        <v>75</v>
      </c>
      <c r="E86" s="90">
        <f>'AN Electric'!G85</f>
        <v>362643</v>
      </c>
      <c r="F86" s="248"/>
      <c r="G86" s="17">
        <f t="shared" si="26"/>
        <v>362643</v>
      </c>
      <c r="H86" s="18"/>
      <c r="I86" s="20">
        <f t="shared" si="27"/>
        <v>2589</v>
      </c>
      <c r="J86" s="20">
        <f t="shared" si="28"/>
        <v>10957</v>
      </c>
      <c r="K86" s="20">
        <f t="shared" si="30"/>
        <v>11286</v>
      </c>
      <c r="M86" s="20">
        <f t="shared" si="29"/>
        <v>24832</v>
      </c>
      <c r="O86" s="20">
        <f t="shared" si="31"/>
        <v>387475</v>
      </c>
    </row>
    <row r="87" spans="2:15" hidden="1" outlineLevel="1">
      <c r="C87" s="1">
        <v>595</v>
      </c>
      <c r="D87" s="1" t="s">
        <v>76</v>
      </c>
      <c r="E87" s="90">
        <f>'AN Electric'!G86</f>
        <v>180501</v>
      </c>
      <c r="F87" s="248"/>
      <c r="G87" s="17">
        <f t="shared" si="26"/>
        <v>180501</v>
      </c>
      <c r="H87" s="18"/>
      <c r="I87" s="20">
        <f t="shared" si="27"/>
        <v>1289</v>
      </c>
      <c r="J87" s="20">
        <f t="shared" si="28"/>
        <v>5454</v>
      </c>
      <c r="K87" s="20">
        <f t="shared" si="30"/>
        <v>5617</v>
      </c>
      <c r="M87" s="20">
        <f t="shared" si="29"/>
        <v>12360</v>
      </c>
      <c r="O87" s="20">
        <f t="shared" si="31"/>
        <v>192861</v>
      </c>
    </row>
    <row r="88" spans="2:15" hidden="1" outlineLevel="1">
      <c r="C88" s="1">
        <v>596</v>
      </c>
      <c r="D88" s="1" t="s">
        <v>77</v>
      </c>
      <c r="E88" s="90">
        <f>'AN Electric'!G87</f>
        <v>99214</v>
      </c>
      <c r="F88" s="248"/>
      <c r="G88" s="17">
        <f t="shared" si="26"/>
        <v>99214</v>
      </c>
      <c r="H88" s="18"/>
      <c r="I88" s="20">
        <f t="shared" si="27"/>
        <v>708</v>
      </c>
      <c r="J88" s="20">
        <f t="shared" si="28"/>
        <v>2998</v>
      </c>
      <c r="K88" s="20">
        <f t="shared" si="30"/>
        <v>3088</v>
      </c>
      <c r="M88" s="20">
        <f t="shared" si="29"/>
        <v>6794</v>
      </c>
      <c r="O88" s="20">
        <f t="shared" si="31"/>
        <v>106008</v>
      </c>
    </row>
    <row r="89" spans="2:15" hidden="1" outlineLevel="1">
      <c r="C89" s="1">
        <v>597</v>
      </c>
      <c r="D89" s="1" t="s">
        <v>78</v>
      </c>
      <c r="E89" s="90">
        <f>'AN Electric'!G88</f>
        <v>12364</v>
      </c>
      <c r="F89" s="248"/>
      <c r="G89" s="17">
        <f t="shared" si="26"/>
        <v>12364</v>
      </c>
      <c r="H89" s="18"/>
      <c r="I89" s="20">
        <f t="shared" si="27"/>
        <v>88</v>
      </c>
      <c r="J89" s="20">
        <f t="shared" si="28"/>
        <v>374</v>
      </c>
      <c r="K89" s="20">
        <f t="shared" si="30"/>
        <v>385</v>
      </c>
      <c r="M89" s="20">
        <f t="shared" si="29"/>
        <v>847</v>
      </c>
      <c r="O89" s="20">
        <f t="shared" si="31"/>
        <v>13211</v>
      </c>
    </row>
    <row r="90" spans="2:15" hidden="1" outlineLevel="1">
      <c r="C90" s="1">
        <v>598</v>
      </c>
      <c r="D90" s="1" t="s">
        <v>72</v>
      </c>
      <c r="E90" s="90">
        <f>'AN Electric'!G89</f>
        <v>72549</v>
      </c>
      <c r="F90" s="248"/>
      <c r="G90" s="17">
        <f t="shared" si="26"/>
        <v>72549</v>
      </c>
      <c r="H90" s="18"/>
      <c r="I90" s="20">
        <f t="shared" si="27"/>
        <v>518</v>
      </c>
      <c r="J90" s="20">
        <f t="shared" si="28"/>
        <v>2192</v>
      </c>
      <c r="K90" s="20">
        <f t="shared" si="30"/>
        <v>2258</v>
      </c>
      <c r="M90" s="20">
        <f t="shared" si="29"/>
        <v>4968</v>
      </c>
      <c r="O90" s="20">
        <f t="shared" si="31"/>
        <v>77517</v>
      </c>
    </row>
    <row r="91" spans="2:15" collapsed="1">
      <c r="C91" s="2" t="s">
        <v>5</v>
      </c>
      <c r="E91" s="92">
        <f>SUM(E72:E90)</f>
        <v>9191407</v>
      </c>
      <c r="F91" s="248"/>
      <c r="G91" s="33">
        <f t="shared" ref="G91:O91" si="32">SUM(G72:G90)</f>
        <v>9191407</v>
      </c>
      <c r="H91" s="18"/>
      <c r="I91" s="33">
        <f t="shared" si="32"/>
        <v>61949</v>
      </c>
      <c r="J91" s="33">
        <f t="shared" si="32"/>
        <v>277602</v>
      </c>
      <c r="K91" s="33">
        <v>0</v>
      </c>
      <c r="L91" s="18"/>
      <c r="M91" s="92">
        <f>+I91+J91</f>
        <v>339551</v>
      </c>
      <c r="N91" s="18"/>
      <c r="O91" s="33">
        <f t="shared" si="32"/>
        <v>9758330</v>
      </c>
    </row>
    <row r="92" spans="2:15">
      <c r="E92" s="90"/>
      <c r="F92" s="248"/>
      <c r="G92" s="17"/>
      <c r="H92" s="18"/>
      <c r="I92" s="17"/>
      <c r="J92" s="17"/>
      <c r="K92" s="17"/>
      <c r="M92" s="17"/>
      <c r="O92" s="17"/>
    </row>
    <row r="93" spans="2:15" hidden="1" outlineLevel="1">
      <c r="C93" s="2" t="s">
        <v>6</v>
      </c>
      <c r="E93" s="90"/>
      <c r="F93" s="248"/>
      <c r="G93" s="17"/>
      <c r="H93" s="18"/>
      <c r="I93" s="17"/>
      <c r="J93" s="17"/>
      <c r="K93" s="17"/>
      <c r="M93" s="17"/>
      <c r="O93" s="17"/>
    </row>
    <row r="94" spans="2:15" hidden="1" outlineLevel="1">
      <c r="B94" s="2" t="s">
        <v>26</v>
      </c>
      <c r="C94" s="1">
        <v>901</v>
      </c>
      <c r="D94" s="1" t="s">
        <v>79</v>
      </c>
      <c r="E94" s="90">
        <f>'AN Electric'!G93</f>
        <v>72895</v>
      </c>
      <c r="F94" s="248"/>
      <c r="G94" s="17">
        <f>F94+E94</f>
        <v>72895</v>
      </c>
      <c r="H94" s="18"/>
      <c r="I94" s="19">
        <f>ROUND(IF($B94="a",G94*I$8,G94*I$9),0)</f>
        <v>378</v>
      </c>
      <c r="J94" s="19">
        <f>ROUND(IF($B94="a",(G94+I94)*J$8,(G94+I94)*J$9),0)</f>
        <v>2198</v>
      </c>
      <c r="K94" s="19">
        <f t="shared" si="30"/>
        <v>0</v>
      </c>
      <c r="M94" s="19">
        <f t="shared" ref="M94:M97" si="33">I94+J94+K94</f>
        <v>2576</v>
      </c>
      <c r="O94" s="19">
        <f>G94+M94</f>
        <v>75471</v>
      </c>
    </row>
    <row r="95" spans="2:15" hidden="1" outlineLevel="1">
      <c r="B95" s="2" t="s">
        <v>26</v>
      </c>
      <c r="C95" s="1">
        <v>902</v>
      </c>
      <c r="D95" s="1" t="s">
        <v>80</v>
      </c>
      <c r="E95" s="90">
        <f>'AN Electric'!G94</f>
        <v>1553855</v>
      </c>
      <c r="F95" s="248"/>
      <c r="G95" s="17">
        <f>F95+E95</f>
        <v>1553855</v>
      </c>
      <c r="H95" s="18"/>
      <c r="I95" s="19">
        <f>ROUND(IF($B95="a",G95*I$8,G95*I$9),0)</f>
        <v>8065</v>
      </c>
      <c r="J95" s="19">
        <f>ROUND(IF($B95="a",(G95+I95)*J$8,(G95+I95)*J$9),0)</f>
        <v>46858</v>
      </c>
      <c r="K95" s="19">
        <f t="shared" si="30"/>
        <v>0</v>
      </c>
      <c r="M95" s="19">
        <f t="shared" si="33"/>
        <v>54923</v>
      </c>
      <c r="O95" s="19">
        <f>G95+M95</f>
        <v>1608778</v>
      </c>
    </row>
    <row r="96" spans="2:15" hidden="1" outlineLevel="1">
      <c r="B96" s="2" t="s">
        <v>26</v>
      </c>
      <c r="C96" s="1">
        <v>903</v>
      </c>
      <c r="D96" s="1" t="s">
        <v>81</v>
      </c>
      <c r="E96" s="90">
        <f>'AN Electric'!G95</f>
        <v>3162373</v>
      </c>
      <c r="F96" s="248"/>
      <c r="G96" s="17">
        <f>F96+E96</f>
        <v>3162373</v>
      </c>
      <c r="H96" s="18"/>
      <c r="I96" s="19">
        <f>ROUND(IF($B96="a",G96*I$8,G96*I$9),0)</f>
        <v>16413</v>
      </c>
      <c r="J96" s="19">
        <f>ROUND(IF($B96="a",(G96+I96)*J$8,(G96+I96)*J$9),0)</f>
        <v>95364</v>
      </c>
      <c r="K96" s="19">
        <f t="shared" si="30"/>
        <v>0</v>
      </c>
      <c r="M96" s="19">
        <f t="shared" si="33"/>
        <v>111777</v>
      </c>
      <c r="O96" s="19">
        <f>G96+M96</f>
        <v>3274150</v>
      </c>
    </row>
    <row r="97" spans="2:15" hidden="1" outlineLevel="1">
      <c r="B97" s="2" t="s">
        <v>26</v>
      </c>
      <c r="C97" s="1">
        <v>905</v>
      </c>
      <c r="D97" s="1" t="s">
        <v>82</v>
      </c>
      <c r="E97" s="90">
        <f>'AN Electric'!G96</f>
        <v>90864</v>
      </c>
      <c r="F97" s="248"/>
      <c r="G97" s="17">
        <f>F97+E97</f>
        <v>90864</v>
      </c>
      <c r="H97" s="18"/>
      <c r="I97" s="19">
        <f>ROUND(IF($B97="a",G97*I$8,G97*I$9),0)</f>
        <v>472</v>
      </c>
      <c r="J97" s="19">
        <f>ROUND(IF($B97="a",(G97+I97)*J$8,(G97+I97)*J$9),0)</f>
        <v>2740</v>
      </c>
      <c r="K97" s="19">
        <f t="shared" si="30"/>
        <v>0</v>
      </c>
      <c r="M97" s="19">
        <f t="shared" si="33"/>
        <v>3212</v>
      </c>
      <c r="O97" s="19">
        <f>G97+M97</f>
        <v>94076</v>
      </c>
    </row>
    <row r="98" spans="2:15" collapsed="1">
      <c r="C98" s="2" t="s">
        <v>195</v>
      </c>
      <c r="E98" s="92">
        <f>SUM(E92:E97)</f>
        <v>4879987</v>
      </c>
      <c r="F98" s="248"/>
      <c r="G98" s="33">
        <f t="shared" ref="G98:O98" si="34">SUM(G94:G97)</f>
        <v>4879987</v>
      </c>
      <c r="H98" s="18"/>
      <c r="I98" s="33">
        <f t="shared" si="34"/>
        <v>25328</v>
      </c>
      <c r="J98" s="33">
        <f t="shared" si="34"/>
        <v>147160</v>
      </c>
      <c r="K98" s="33">
        <f t="shared" si="34"/>
        <v>0</v>
      </c>
      <c r="L98" s="18"/>
      <c r="M98" s="92">
        <f>+I98+J98</f>
        <v>172488</v>
      </c>
      <c r="N98" s="18"/>
      <c r="O98" s="33">
        <f t="shared" si="34"/>
        <v>5052475</v>
      </c>
    </row>
    <row r="99" spans="2:15">
      <c r="E99" s="90"/>
      <c r="F99" s="248"/>
      <c r="G99" s="17"/>
      <c r="H99" s="18"/>
      <c r="I99" s="17"/>
      <c r="J99" s="17"/>
      <c r="K99" s="17"/>
      <c r="M99" s="17"/>
      <c r="O99" s="17"/>
    </row>
    <row r="100" spans="2:15" hidden="1" outlineLevel="1">
      <c r="C100" s="2" t="s">
        <v>8</v>
      </c>
      <c r="E100" s="90"/>
      <c r="F100" s="248"/>
      <c r="G100" s="17"/>
      <c r="H100" s="18"/>
      <c r="I100" s="17"/>
      <c r="J100" s="17"/>
      <c r="K100" s="17"/>
      <c r="M100" s="17"/>
      <c r="O100" s="17"/>
    </row>
    <row r="101" spans="2:15" hidden="1" outlineLevel="1">
      <c r="B101" s="2" t="s">
        <v>26</v>
      </c>
      <c r="C101" s="1">
        <v>908</v>
      </c>
      <c r="D101" s="1" t="s">
        <v>83</v>
      </c>
      <c r="E101" s="90">
        <f>'AN Electric'!G100</f>
        <v>263954</v>
      </c>
      <c r="F101" s="248"/>
      <c r="G101" s="17">
        <f>F101+E101</f>
        <v>263954</v>
      </c>
      <c r="H101" s="18"/>
      <c r="I101" s="19">
        <f>ROUND(IF($B101="a",G101*I$8,G101*I$9),0)</f>
        <v>1370</v>
      </c>
      <c r="J101" s="19">
        <f>ROUND(IF($B101="a",(G101+I101)*J$8,(G101+I101)*J$9),0)</f>
        <v>7960</v>
      </c>
      <c r="K101" s="19">
        <f t="shared" si="30"/>
        <v>0</v>
      </c>
      <c r="M101" s="19">
        <f>I101+J101+K101</f>
        <v>9330</v>
      </c>
      <c r="O101" s="19">
        <f>G101+M101</f>
        <v>273284</v>
      </c>
    </row>
    <row r="102" spans="2:15" hidden="1" outlineLevel="1">
      <c r="B102" s="2" t="s">
        <v>26</v>
      </c>
      <c r="C102" s="1">
        <v>909</v>
      </c>
      <c r="D102" s="1" t="s">
        <v>84</v>
      </c>
      <c r="E102" s="90">
        <f>'AN Electric'!G101</f>
        <v>134272</v>
      </c>
      <c r="F102" s="248"/>
      <c r="G102" s="17">
        <f>F102+E102</f>
        <v>134272</v>
      </c>
      <c r="H102" s="18"/>
      <c r="I102" s="19">
        <f>ROUND(IF($B102="a",G102*I$8,G102*I$9),0)</f>
        <v>697</v>
      </c>
      <c r="J102" s="19">
        <f>ROUND(IF($B102="a",(G102+I102)*J$8,(G102+I102)*J$9),0)</f>
        <v>4049</v>
      </c>
      <c r="K102" s="19">
        <f t="shared" si="30"/>
        <v>0</v>
      </c>
      <c r="M102" s="19">
        <f t="shared" ref="M102:M103" si="35">I102+J102+K102</f>
        <v>4746</v>
      </c>
      <c r="O102" s="19">
        <f>G102+M102</f>
        <v>139018</v>
      </c>
    </row>
    <row r="103" spans="2:15" hidden="1" outlineLevel="1">
      <c r="B103" s="2" t="s">
        <v>26</v>
      </c>
      <c r="C103" s="1">
        <v>910</v>
      </c>
      <c r="D103" s="1" t="s">
        <v>85</v>
      </c>
      <c r="E103" s="90">
        <f>'AN Electric'!G102</f>
        <v>36407</v>
      </c>
      <c r="F103" s="248"/>
      <c r="G103" s="17">
        <f>F103+E103</f>
        <v>36407</v>
      </c>
      <c r="H103" s="18"/>
      <c r="I103" s="19">
        <f>ROUND(IF($B103="a",G103*I$8,G103*I$9),0)</f>
        <v>189</v>
      </c>
      <c r="J103" s="19">
        <f>ROUND(IF($B103="a",(G103+I103)*J$8,(G103+I103)*J$9),0)</f>
        <v>1098</v>
      </c>
      <c r="K103" s="19">
        <f t="shared" si="30"/>
        <v>0</v>
      </c>
      <c r="M103" s="19">
        <f t="shared" si="35"/>
        <v>1287</v>
      </c>
      <c r="O103" s="19">
        <f>G103+M103</f>
        <v>37694</v>
      </c>
    </row>
    <row r="104" spans="2:15" collapsed="1">
      <c r="C104" s="2" t="s">
        <v>9</v>
      </c>
      <c r="E104" s="92">
        <f>SUM(E101:E103)</f>
        <v>434633</v>
      </c>
      <c r="F104" s="248"/>
      <c r="G104" s="33">
        <f>SUM(G101:G103)</f>
        <v>434633</v>
      </c>
      <c r="H104" s="18"/>
      <c r="I104" s="33">
        <f>SUM(I101:I103)</f>
        <v>2256</v>
      </c>
      <c r="J104" s="33">
        <f>SUM(J101:J103)</f>
        <v>13107</v>
      </c>
      <c r="K104" s="33">
        <f>SUM(K101:K103)</f>
        <v>0</v>
      </c>
      <c r="L104" s="18"/>
      <c r="M104" s="92">
        <f>+I104+J104</f>
        <v>15363</v>
      </c>
      <c r="N104" s="18"/>
      <c r="O104" s="33">
        <f t="shared" ref="O104" si="36">SUM(O101:O103)</f>
        <v>449996</v>
      </c>
    </row>
    <row r="105" spans="2:15">
      <c r="E105" s="90"/>
      <c r="F105" s="248"/>
      <c r="G105" s="17"/>
      <c r="H105" s="18"/>
      <c r="I105" s="17"/>
      <c r="J105" s="17"/>
      <c r="K105" s="17"/>
      <c r="M105" s="17"/>
      <c r="O105" s="17"/>
    </row>
    <row r="106" spans="2:15" hidden="1" outlineLevel="1">
      <c r="C106" s="2" t="s">
        <v>10</v>
      </c>
      <c r="E106" s="90"/>
      <c r="F106" s="248"/>
      <c r="G106" s="17"/>
      <c r="H106" s="18"/>
      <c r="I106" s="17"/>
      <c r="J106" s="17"/>
      <c r="K106" s="17"/>
      <c r="M106" s="17"/>
      <c r="O106" s="17"/>
    </row>
    <row r="107" spans="2:15" hidden="1" outlineLevel="1">
      <c r="B107" s="2" t="s">
        <v>26</v>
      </c>
      <c r="C107" s="1">
        <v>911</v>
      </c>
      <c r="D107" s="2" t="s">
        <v>79</v>
      </c>
      <c r="E107" s="90">
        <f>'AN Electric'!G106</f>
        <v>0</v>
      </c>
      <c r="F107" s="248"/>
      <c r="G107" s="17">
        <f>F107+E107</f>
        <v>0</v>
      </c>
      <c r="H107" s="18"/>
      <c r="I107" s="19">
        <f>ROUND(IF($B107="a",G107*I$8,G107*I$9),0)</f>
        <v>0</v>
      </c>
      <c r="J107" s="19">
        <f>ROUND(IF($B107="a",(G107+I107)*J$8,(G107+I107)*J$9),0)</f>
        <v>0</v>
      </c>
      <c r="K107" s="19">
        <f t="shared" si="30"/>
        <v>0</v>
      </c>
      <c r="M107" s="19">
        <f>I107+J107</f>
        <v>0</v>
      </c>
      <c r="O107" s="19">
        <f>G107+M107</f>
        <v>0</v>
      </c>
    </row>
    <row r="108" spans="2:15" hidden="1" outlineLevel="1">
      <c r="B108" s="2" t="s">
        <v>26</v>
      </c>
      <c r="C108" s="1">
        <v>912</v>
      </c>
      <c r="D108" s="1" t="s">
        <v>86</v>
      </c>
      <c r="E108" s="90">
        <f>'AN Electric'!G107</f>
        <v>0</v>
      </c>
      <c r="F108" s="248"/>
      <c r="G108" s="17">
        <f>F108+E108</f>
        <v>0</v>
      </c>
      <c r="H108" s="18"/>
      <c r="I108" s="19">
        <f>ROUND(IF($B108="a",G108*I$8,G108*I$9),0)</f>
        <v>0</v>
      </c>
      <c r="J108" s="19">
        <f>ROUND(IF($B108="a",(G108+I108)*J$8,(G108+I108)*J$9),0)</f>
        <v>0</v>
      </c>
      <c r="K108" s="19">
        <f t="shared" si="30"/>
        <v>0</v>
      </c>
      <c r="M108" s="19">
        <f>I108+J108</f>
        <v>0</v>
      </c>
      <c r="O108" s="19">
        <f>G108+M108</f>
        <v>0</v>
      </c>
    </row>
    <row r="109" spans="2:15" hidden="1" outlineLevel="1">
      <c r="B109" s="2" t="s">
        <v>26</v>
      </c>
      <c r="C109" s="1">
        <v>913</v>
      </c>
      <c r="D109" s="1" t="s">
        <v>84</v>
      </c>
      <c r="E109" s="90">
        <f>'AN Electric'!G108</f>
        <v>0</v>
      </c>
      <c r="F109" s="248"/>
      <c r="G109" s="17">
        <f>F109+E109</f>
        <v>0</v>
      </c>
      <c r="H109" s="18"/>
      <c r="I109" s="19">
        <f>ROUND(IF($B109="a",G109*I$8,G109*I$9),0)</f>
        <v>0</v>
      </c>
      <c r="J109" s="19">
        <f>ROUND(IF($B109="a",(G109+I109)*J$8,(G109+I109)*J$9),0)</f>
        <v>0</v>
      </c>
      <c r="K109" s="19">
        <f t="shared" si="30"/>
        <v>0</v>
      </c>
      <c r="M109" s="19">
        <f>I109+J109</f>
        <v>0</v>
      </c>
      <c r="O109" s="19">
        <f>G109+M109</f>
        <v>0</v>
      </c>
    </row>
    <row r="110" spans="2:15" hidden="1" outlineLevel="1">
      <c r="B110" s="2" t="s">
        <v>26</v>
      </c>
      <c r="C110" s="1">
        <v>916</v>
      </c>
      <c r="D110" s="1" t="s">
        <v>87</v>
      </c>
      <c r="E110" s="90">
        <f>'AN Electric'!G109</f>
        <v>0</v>
      </c>
      <c r="F110" s="248"/>
      <c r="G110" s="17">
        <f>F110+E110</f>
        <v>0</v>
      </c>
      <c r="H110" s="18"/>
      <c r="I110" s="19">
        <f>ROUND(IF($B110="a",G110*I$8,G110*I$9),0)</f>
        <v>0</v>
      </c>
      <c r="J110" s="19">
        <f>ROUND(IF($B110="a",(G110+I110)*J$8,(G110+I110)*J$9),0)</f>
        <v>0</v>
      </c>
      <c r="K110" s="19">
        <f t="shared" si="30"/>
        <v>0</v>
      </c>
      <c r="M110" s="19">
        <f>I110+J110</f>
        <v>0</v>
      </c>
      <c r="O110" s="19">
        <f>G110+M110</f>
        <v>0</v>
      </c>
    </row>
    <row r="111" spans="2:15" collapsed="1">
      <c r="C111" s="2" t="s">
        <v>11</v>
      </c>
      <c r="E111" s="92">
        <f>'AN Electric'!G110</f>
        <v>0</v>
      </c>
      <c r="F111" s="248"/>
      <c r="G111" s="33">
        <f t="shared" ref="G111:I111" si="37">SUM(G107:G110)</f>
        <v>0</v>
      </c>
      <c r="H111" s="18"/>
      <c r="I111" s="33">
        <f t="shared" si="37"/>
        <v>0</v>
      </c>
      <c r="J111" s="33">
        <f>SUM(J107:J110)</f>
        <v>0</v>
      </c>
      <c r="K111" s="33">
        <f t="shared" si="30"/>
        <v>0</v>
      </c>
      <c r="L111" s="18"/>
      <c r="M111" s="33">
        <v>0</v>
      </c>
      <c r="N111" s="18"/>
      <c r="O111" s="33">
        <f t="shared" ref="O111" si="38">ROUND(IF($B111="a",(K111+M111+N111)*O$8,(K111+M111+N111)*O$9),0)</f>
        <v>0</v>
      </c>
    </row>
    <row r="112" spans="2:15">
      <c r="E112" s="90"/>
      <c r="F112" s="248"/>
      <c r="G112" s="17"/>
      <c r="H112" s="18"/>
      <c r="I112" s="17"/>
      <c r="J112" s="17"/>
      <c r="K112" s="17"/>
      <c r="M112" s="17"/>
      <c r="O112" s="17"/>
    </row>
    <row r="113" spans="2:16">
      <c r="C113" s="2" t="s">
        <v>12</v>
      </c>
      <c r="E113" s="90"/>
      <c r="F113" s="248"/>
      <c r="G113" s="17"/>
      <c r="H113" s="18"/>
      <c r="I113" s="17"/>
      <c r="J113" s="17"/>
      <c r="K113" s="17"/>
      <c r="M113" s="17"/>
      <c r="O113" s="17"/>
    </row>
    <row r="114" spans="2:16" hidden="1" outlineLevel="1">
      <c r="B114" s="2" t="s">
        <v>26</v>
      </c>
      <c r="C114" s="1">
        <v>920</v>
      </c>
      <c r="D114" s="1" t="s">
        <v>88</v>
      </c>
      <c r="E114" s="90">
        <f>'AN Electric'!G113+4</f>
        <v>11803149</v>
      </c>
      <c r="F114" s="248"/>
      <c r="G114" s="17">
        <f t="shared" ref="G114:G122" si="39">F114+E114</f>
        <v>11803149</v>
      </c>
      <c r="H114" s="18"/>
      <c r="I114" s="19">
        <f t="shared" ref="I114:I122" si="40">ROUND(IF($B114="a",G114*I$8,G114*I$9),0)</f>
        <v>61258</v>
      </c>
      <c r="J114" s="19">
        <f t="shared" ref="J114:J122" si="41">ROUND(IF($B114="a",(G114+I114)*J$8,(G114+I114)*J$9),0)</f>
        <v>355932</v>
      </c>
      <c r="K114" s="19">
        <f t="shared" si="30"/>
        <v>0</v>
      </c>
      <c r="M114" s="19">
        <f>I114+J114+K114</f>
        <v>417190</v>
      </c>
      <c r="O114" s="19">
        <f t="shared" ref="O114:O122" si="42">G114+M114</f>
        <v>12220339</v>
      </c>
    </row>
    <row r="115" spans="2:16" hidden="1" outlineLevel="1">
      <c r="B115" s="2" t="s">
        <v>26</v>
      </c>
      <c r="C115" s="1">
        <v>921</v>
      </c>
      <c r="D115" s="1" t="s">
        <v>89</v>
      </c>
      <c r="E115" s="90">
        <f>'AN Electric'!G114</f>
        <v>550172</v>
      </c>
      <c r="F115" s="248"/>
      <c r="G115" s="17">
        <f t="shared" si="39"/>
        <v>550172</v>
      </c>
      <c r="H115" s="18"/>
      <c r="I115" s="19">
        <f t="shared" si="40"/>
        <v>2855</v>
      </c>
      <c r="J115" s="19">
        <f t="shared" si="41"/>
        <v>16591</v>
      </c>
      <c r="K115" s="19">
        <f t="shared" si="30"/>
        <v>0</v>
      </c>
      <c r="M115" s="19">
        <f t="shared" ref="M115:M121" si="43">I115+J115+K115</f>
        <v>19446</v>
      </c>
      <c r="O115" s="19">
        <f t="shared" si="42"/>
        <v>569618</v>
      </c>
    </row>
    <row r="116" spans="2:16" hidden="1" outlineLevel="1">
      <c r="B116" s="2" t="s">
        <v>26</v>
      </c>
      <c r="C116" s="1">
        <v>923</v>
      </c>
      <c r="D116" s="1" t="s">
        <v>90</v>
      </c>
      <c r="E116" s="90">
        <f>'AN Electric'!G115</f>
        <v>19567</v>
      </c>
      <c r="F116" s="248"/>
      <c r="G116" s="17">
        <f t="shared" si="39"/>
        <v>19567</v>
      </c>
      <c r="H116" s="18"/>
      <c r="I116" s="19">
        <f t="shared" si="40"/>
        <v>102</v>
      </c>
      <c r="J116" s="19">
        <f t="shared" si="41"/>
        <v>590</v>
      </c>
      <c r="K116" s="19">
        <f t="shared" si="30"/>
        <v>0</v>
      </c>
      <c r="M116" s="19">
        <f t="shared" si="43"/>
        <v>692</v>
      </c>
      <c r="O116" s="19">
        <f t="shared" si="42"/>
        <v>20259</v>
      </c>
    </row>
    <row r="117" spans="2:16" hidden="1" outlineLevel="1">
      <c r="B117" s="2" t="s">
        <v>26</v>
      </c>
      <c r="C117" s="1">
        <v>925</v>
      </c>
      <c r="D117" s="1" t="s">
        <v>91</v>
      </c>
      <c r="E117" s="90">
        <f>'AN Electric'!G116</f>
        <v>0</v>
      </c>
      <c r="F117" s="248"/>
      <c r="G117" s="17">
        <f t="shared" si="39"/>
        <v>0</v>
      </c>
      <c r="H117" s="18"/>
      <c r="I117" s="19">
        <f t="shared" si="40"/>
        <v>0</v>
      </c>
      <c r="J117" s="19">
        <f t="shared" si="41"/>
        <v>0</v>
      </c>
      <c r="K117" s="19">
        <f t="shared" si="30"/>
        <v>0</v>
      </c>
      <c r="M117" s="19">
        <f t="shared" si="43"/>
        <v>0</v>
      </c>
      <c r="O117" s="19">
        <f t="shared" si="42"/>
        <v>0</v>
      </c>
    </row>
    <row r="118" spans="2:16" hidden="1" outlineLevel="1">
      <c r="B118" s="2" t="s">
        <v>26</v>
      </c>
      <c r="C118" s="1">
        <v>926</v>
      </c>
      <c r="D118" s="1" t="s">
        <v>92</v>
      </c>
      <c r="E118" s="90">
        <f>'AN Electric'!G117</f>
        <v>278539</v>
      </c>
      <c r="F118" s="248"/>
      <c r="G118" s="17">
        <f t="shared" si="39"/>
        <v>278539</v>
      </c>
      <c r="H118" s="18"/>
      <c r="I118" s="19">
        <f t="shared" si="40"/>
        <v>1446</v>
      </c>
      <c r="J118" s="19">
        <f t="shared" si="41"/>
        <v>8400</v>
      </c>
      <c r="K118" s="19">
        <f t="shared" si="30"/>
        <v>0</v>
      </c>
      <c r="M118" s="19">
        <f t="shared" si="43"/>
        <v>9846</v>
      </c>
      <c r="O118" s="19">
        <f t="shared" si="42"/>
        <v>288385</v>
      </c>
    </row>
    <row r="119" spans="2:16" hidden="1" outlineLevel="1">
      <c r="B119" s="2" t="s">
        <v>26</v>
      </c>
      <c r="C119" s="1">
        <v>927</v>
      </c>
      <c r="D119" s="1" t="s">
        <v>93</v>
      </c>
      <c r="E119" s="90">
        <f>'AN Electric'!G118</f>
        <v>0</v>
      </c>
      <c r="F119" s="248"/>
      <c r="G119" s="17">
        <f t="shared" si="39"/>
        <v>0</v>
      </c>
      <c r="H119" s="18"/>
      <c r="I119" s="19">
        <f t="shared" si="40"/>
        <v>0</v>
      </c>
      <c r="J119" s="19">
        <f t="shared" si="41"/>
        <v>0</v>
      </c>
      <c r="K119" s="19">
        <f t="shared" si="30"/>
        <v>0</v>
      </c>
      <c r="M119" s="19">
        <f t="shared" si="43"/>
        <v>0</v>
      </c>
      <c r="O119" s="19">
        <f t="shared" si="42"/>
        <v>0</v>
      </c>
    </row>
    <row r="120" spans="2:16" hidden="1" outlineLevel="1">
      <c r="B120" s="2" t="s">
        <v>26</v>
      </c>
      <c r="C120" s="1">
        <v>928</v>
      </c>
      <c r="D120" s="1" t="s">
        <v>94</v>
      </c>
      <c r="E120" s="90">
        <f>'AN Electric'!G119</f>
        <v>675658</v>
      </c>
      <c r="F120" s="248"/>
      <c r="G120" s="17">
        <f t="shared" si="39"/>
        <v>675658</v>
      </c>
      <c r="H120" s="18"/>
      <c r="I120" s="19">
        <f t="shared" si="40"/>
        <v>3507</v>
      </c>
      <c r="J120" s="19">
        <f t="shared" si="41"/>
        <v>20375</v>
      </c>
      <c r="K120" s="19">
        <f t="shared" si="30"/>
        <v>0</v>
      </c>
      <c r="M120" s="19">
        <f t="shared" si="43"/>
        <v>23882</v>
      </c>
      <c r="O120" s="19">
        <f t="shared" si="42"/>
        <v>699540</v>
      </c>
    </row>
    <row r="121" spans="2:16" hidden="1" outlineLevel="1">
      <c r="B121" s="2" t="s">
        <v>26</v>
      </c>
      <c r="C121" s="1">
        <v>930</v>
      </c>
      <c r="D121" s="1" t="s">
        <v>95</v>
      </c>
      <c r="E121" s="90">
        <f>'AN Electric'!G120</f>
        <v>180816</v>
      </c>
      <c r="F121" s="248"/>
      <c r="G121" s="17">
        <f t="shared" si="39"/>
        <v>180816</v>
      </c>
      <c r="H121" s="18"/>
      <c r="I121" s="19">
        <f t="shared" si="40"/>
        <v>938</v>
      </c>
      <c r="J121" s="19">
        <f t="shared" si="41"/>
        <v>5453</v>
      </c>
      <c r="K121" s="19">
        <f t="shared" si="30"/>
        <v>0</v>
      </c>
      <c r="M121" s="19">
        <f t="shared" si="43"/>
        <v>6391</v>
      </c>
      <c r="O121" s="19">
        <f t="shared" si="42"/>
        <v>187207</v>
      </c>
    </row>
    <row r="122" spans="2:16" hidden="1" outlineLevel="1">
      <c r="B122" s="132" t="s">
        <v>26</v>
      </c>
      <c r="C122" s="1">
        <v>935</v>
      </c>
      <c r="D122" s="1" t="s">
        <v>96</v>
      </c>
      <c r="E122" s="90">
        <f>'AN Electric'!G121</f>
        <v>1314025</v>
      </c>
      <c r="F122" s="248"/>
      <c r="G122" s="17">
        <f t="shared" si="39"/>
        <v>1314025</v>
      </c>
      <c r="H122" s="18"/>
      <c r="I122" s="19">
        <f t="shared" si="40"/>
        <v>6820</v>
      </c>
      <c r="J122" s="19">
        <f t="shared" si="41"/>
        <v>39625</v>
      </c>
      <c r="K122" s="19">
        <f t="shared" si="30"/>
        <v>0</v>
      </c>
      <c r="M122" s="19">
        <f>I122+J122+K122</f>
        <v>46445</v>
      </c>
      <c r="O122" s="19">
        <f t="shared" si="42"/>
        <v>1360470</v>
      </c>
    </row>
    <row r="123" spans="2:16" collapsed="1">
      <c r="C123" s="2" t="s">
        <v>13</v>
      </c>
      <c r="E123" s="92">
        <f>SUM(E114:E122)</f>
        <v>14821926</v>
      </c>
      <c r="F123" s="248"/>
      <c r="G123" s="33">
        <f>SUM(G114:G122)</f>
        <v>14821926</v>
      </c>
      <c r="H123" s="18"/>
      <c r="I123" s="33">
        <f>SUM(I114:I122)</f>
        <v>76926</v>
      </c>
      <c r="J123" s="33">
        <f>SUM(J114:J122)</f>
        <v>446966</v>
      </c>
      <c r="K123" s="33">
        <f>SUM(K114:K122)</f>
        <v>0</v>
      </c>
      <c r="L123" s="18"/>
      <c r="M123" s="33">
        <f t="shared" ref="M123:O123" si="44">SUM(M114:M122)</f>
        <v>523892</v>
      </c>
      <c r="N123" s="18"/>
      <c r="O123" s="33">
        <f t="shared" si="44"/>
        <v>15345818</v>
      </c>
    </row>
    <row r="124" spans="2:16">
      <c r="E124" s="90"/>
      <c r="F124" s="248"/>
      <c r="G124" s="17"/>
      <c r="H124" s="18"/>
      <c r="I124" s="17"/>
      <c r="J124" s="17"/>
      <c r="K124" s="17"/>
      <c r="M124" s="17"/>
      <c r="O124" s="17"/>
    </row>
    <row r="125" spans="2:16">
      <c r="C125" s="2" t="s">
        <v>209</v>
      </c>
      <c r="E125" s="138">
        <f>E123+E111+E104+E98+E91+E69+E53</f>
        <v>45749811</v>
      </c>
      <c r="F125" s="248"/>
      <c r="G125" s="33">
        <f>G123+G111+G104+G98+G91+G69+G53</f>
        <v>45749811</v>
      </c>
      <c r="H125" s="18"/>
      <c r="I125" s="33">
        <f>I123+I111+I104+I98+I91+I69+I53</f>
        <v>270650</v>
      </c>
      <c r="J125" s="33">
        <f>J123+J111+J104+J98+J91+J69+J53</f>
        <v>1380618</v>
      </c>
      <c r="K125" s="33">
        <f>K123+K111+K104+K98+K91+K69+K53</f>
        <v>0</v>
      </c>
      <c r="L125" s="18"/>
      <c r="M125" s="33">
        <f>M123+M111+M104+M98+M91+M69+M53</f>
        <v>1651268</v>
      </c>
      <c r="N125" s="18"/>
      <c r="O125" s="33">
        <f t="shared" ref="O125" si="45">O123+O111+O104+O98+O91+O69+O53</f>
        <v>47931037</v>
      </c>
      <c r="P125" s="17">
        <f>G125+I125+J125+K125</f>
        <v>47401079</v>
      </c>
    </row>
    <row r="126" spans="2:16" s="75" customFormat="1">
      <c r="E126" s="96">
        <f>'AN Electric'!G124</f>
        <v>45749805</v>
      </c>
      <c r="F126" s="249"/>
      <c r="H126" s="77"/>
      <c r="I126" s="131"/>
      <c r="J126" s="131"/>
      <c r="K126" s="131"/>
      <c r="L126" s="77"/>
      <c r="M126" s="131"/>
      <c r="N126" s="77"/>
      <c r="O126" s="131"/>
    </row>
    <row r="127" spans="2:16">
      <c r="B127" s="75" t="s">
        <v>26</v>
      </c>
      <c r="C127" s="75" t="s">
        <v>210</v>
      </c>
      <c r="D127" s="75"/>
      <c r="E127" s="75"/>
      <c r="G127" s="263">
        <v>247018</v>
      </c>
      <c r="H127" s="264"/>
      <c r="I127" s="265">
        <v>0</v>
      </c>
      <c r="J127" s="265">
        <v>0</v>
      </c>
      <c r="K127" s="265">
        <f>ROUND(IF($B127="a",(G127+I127+J127)*K$8,(G127+I127+J127)*K$9),0)</f>
        <v>0</v>
      </c>
      <c r="L127" s="41"/>
      <c r="M127" s="265">
        <v>0</v>
      </c>
      <c r="N127" s="77"/>
      <c r="O127" s="265">
        <f>M127</f>
        <v>0</v>
      </c>
    </row>
    <row r="128" spans="2:16">
      <c r="G128" s="245"/>
      <c r="H128" s="143"/>
      <c r="I128" s="110"/>
      <c r="J128" s="131"/>
      <c r="K128" s="131"/>
      <c r="L128" s="251"/>
      <c r="M128" s="131"/>
      <c r="N128" s="77"/>
      <c r="O128" s="131"/>
    </row>
    <row r="129" spans="3:15" ht="13.5" thickBot="1">
      <c r="C129" s="2" t="s">
        <v>97</v>
      </c>
      <c r="G129" s="250">
        <f>G125+G127</f>
        <v>45996829</v>
      </c>
      <c r="H129" s="143"/>
      <c r="I129" s="250">
        <f>I125+I127</f>
        <v>270650</v>
      </c>
      <c r="J129" s="250">
        <f>J125+J127</f>
        <v>1380618</v>
      </c>
      <c r="K129" s="250">
        <f>K125+K127</f>
        <v>0</v>
      </c>
      <c r="L129" s="251"/>
      <c r="M129" s="250">
        <f>M125+M127</f>
        <v>1651268</v>
      </c>
      <c r="N129" s="250"/>
      <c r="O129" s="250">
        <f t="shared" ref="O129" si="46">O125+O127</f>
        <v>47931037</v>
      </c>
    </row>
    <row r="130" spans="3:15" ht="13.5" thickTop="1">
      <c r="D130" s="9"/>
      <c r="E130" s="90"/>
      <c r="F130" s="248"/>
      <c r="G130" s="110"/>
      <c r="H130" s="111"/>
      <c r="I130" s="110"/>
      <c r="J130" s="131"/>
      <c r="K130" s="131"/>
      <c r="L130" s="251"/>
      <c r="M130" s="131"/>
      <c r="O130" s="131"/>
    </row>
    <row r="131" spans="3:15">
      <c r="C131" s="75" t="s">
        <v>200</v>
      </c>
      <c r="G131" s="110"/>
      <c r="H131" s="111"/>
      <c r="I131" s="110"/>
      <c r="J131" s="131"/>
      <c r="K131" s="131"/>
      <c r="L131" s="251"/>
      <c r="M131" s="254">
        <f>I129+J129+K129+G127</f>
        <v>1898286</v>
      </c>
      <c r="O131" s="254">
        <f>G129+I129+J129+K129</f>
        <v>47648097</v>
      </c>
    </row>
    <row r="132" spans="3:15">
      <c r="G132" s="110"/>
      <c r="H132" s="111"/>
      <c r="I132" s="110"/>
      <c r="J132" s="110"/>
      <c r="K132" s="110"/>
      <c r="M132" s="253" t="s">
        <v>197</v>
      </c>
      <c r="O132" s="253" t="s">
        <v>197</v>
      </c>
    </row>
    <row r="133" spans="3:15">
      <c r="G133" s="110"/>
      <c r="H133" s="111"/>
      <c r="I133" s="110"/>
      <c r="J133" s="110"/>
      <c r="K133" s="110"/>
      <c r="M133" s="110"/>
      <c r="O133" s="110"/>
    </row>
    <row r="134" spans="3:15">
      <c r="G134" s="110"/>
      <c r="H134" s="111"/>
      <c r="I134" s="110"/>
      <c r="J134" s="110"/>
      <c r="K134" s="110" t="s">
        <v>12</v>
      </c>
      <c r="M134" s="110"/>
      <c r="O134" s="110"/>
    </row>
    <row r="135" spans="3:15">
      <c r="G135" s="110"/>
      <c r="K135" s="2" t="s">
        <v>217</v>
      </c>
      <c r="M135" s="17">
        <f>M123</f>
        <v>523892</v>
      </c>
      <c r="O135" s="17">
        <f>O123</f>
        <v>15345818</v>
      </c>
    </row>
    <row r="136" spans="3:15">
      <c r="G136" s="110"/>
      <c r="K136" s="2" t="s">
        <v>218</v>
      </c>
      <c r="M136" s="270">
        <f>M127</f>
        <v>0</v>
      </c>
      <c r="O136" s="270">
        <f>O127</f>
        <v>0</v>
      </c>
    </row>
    <row r="137" spans="3:15">
      <c r="G137" s="110"/>
      <c r="M137" s="17">
        <f>SUM(M135:M136)</f>
        <v>523892</v>
      </c>
      <c r="O137" s="17">
        <f>SUM(O135:O136)</f>
        <v>15345818</v>
      </c>
    </row>
    <row r="138" spans="3:15">
      <c r="G138" s="110"/>
      <c r="I138" s="17"/>
      <c r="J138" s="17"/>
      <c r="K138" s="17"/>
      <c r="M138" s="17"/>
      <c r="O138" s="17"/>
    </row>
    <row r="139" spans="3:15">
      <c r="F139" s="248"/>
      <c r="G139" s="243"/>
    </row>
    <row r="140" spans="3:15">
      <c r="G140" s="244"/>
    </row>
  </sheetData>
  <mergeCells count="3">
    <mergeCell ref="C3:E3"/>
    <mergeCell ref="C4:E4"/>
    <mergeCell ref="C5:E5"/>
  </mergeCells>
  <phoneticPr fontId="0" type="noConversion"/>
  <pageMargins left="1" right="0.21" top="1" bottom="0.5" header="0.25" footer="0.25"/>
  <pageSetup scale="75" fitToHeight="3" orientation="landscape" r:id="rId1"/>
  <headerFooter alignWithMargins="0">
    <oddHeader>&amp;RAdjustment No. 3.02 Pro Forma Non-Exec
Workpaper Ref. &amp;A</oddHeader>
    <oddFooter>&amp;L&amp;F&amp;RPrep by: AMB     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O129"/>
  <sheetViews>
    <sheetView topLeftCell="A85" zoomScaleNormal="100" workbookViewId="0">
      <selection activeCell="K7" sqref="K7"/>
    </sheetView>
  </sheetViews>
  <sheetFormatPr defaultColWidth="9.33203125" defaultRowHeight="12.75"/>
  <cols>
    <col min="1" max="2" width="3.83203125" style="2" customWidth="1"/>
    <col min="3" max="3" width="6.33203125" style="2" customWidth="1"/>
    <col min="4" max="4" width="23.1640625" style="2" customWidth="1"/>
    <col min="5" max="5" width="14" style="2" bestFit="1" customWidth="1"/>
    <col min="6" max="6" width="11.83203125" style="2" hidden="1" customWidth="1"/>
    <col min="7" max="7" width="13.83203125" style="2" bestFit="1" customWidth="1"/>
    <col min="8" max="8" width="4.33203125" style="2" customWidth="1"/>
    <col min="9" max="9" width="18.5" style="2" customWidth="1"/>
    <col min="10" max="11" width="19.6640625" style="2" customWidth="1"/>
    <col min="12" max="12" width="2.33203125" style="11" customWidth="1"/>
    <col min="13" max="13" width="19.6640625" style="2" customWidth="1"/>
    <col min="14" max="14" width="20.33203125" style="30" bestFit="1" customWidth="1"/>
    <col min="15" max="15" width="2.6640625" style="2" customWidth="1"/>
    <col min="16" max="16384" width="9.33203125" style="2"/>
  </cols>
  <sheetData>
    <row r="1" spans="2:15">
      <c r="C1" s="31" t="s">
        <v>23</v>
      </c>
      <c r="D1" s="1"/>
      <c r="I1" s="34"/>
    </row>
    <row r="2" spans="2:15">
      <c r="C2" s="1" t="s">
        <v>98</v>
      </c>
      <c r="D2" s="1"/>
      <c r="I2" s="34"/>
    </row>
    <row r="3" spans="2:15" ht="13.5" thickBot="1">
      <c r="C3" s="1"/>
      <c r="D3" s="1"/>
      <c r="I3" s="34"/>
      <c r="N3" s="273"/>
      <c r="O3" s="93"/>
    </row>
    <row r="4" spans="2:15" s="3" customFormat="1">
      <c r="I4" s="60" t="s">
        <v>219</v>
      </c>
      <c r="J4" s="60">
        <v>2019</v>
      </c>
      <c r="K4" s="60">
        <v>2020</v>
      </c>
      <c r="L4" s="139"/>
      <c r="M4" s="280" t="s">
        <v>185</v>
      </c>
      <c r="N4" s="271" t="s">
        <v>0</v>
      </c>
      <c r="O4" s="60"/>
    </row>
    <row r="5" spans="2:15" s="3" customFormat="1">
      <c r="I5" s="109">
        <f>'Pro-Forma Increases'!D26</f>
        <v>5.1900000000000002E-3</v>
      </c>
      <c r="J5" s="109">
        <f>'Pro-Forma Increases'!D28</f>
        <v>0.03</v>
      </c>
      <c r="K5" s="109">
        <f>'Pro-Forma Increases'!D32</f>
        <v>2.4809999999999999E-2</v>
      </c>
      <c r="L5" s="140"/>
      <c r="M5" s="281" t="s">
        <v>182</v>
      </c>
      <c r="N5" s="272" t="s">
        <v>184</v>
      </c>
      <c r="O5" s="109"/>
    </row>
    <row r="6" spans="2:15" s="4" customFormat="1">
      <c r="E6" s="5" t="s">
        <v>99</v>
      </c>
      <c r="F6" s="5"/>
      <c r="G6" s="5" t="s">
        <v>116</v>
      </c>
      <c r="H6" s="5"/>
      <c r="I6" s="108">
        <f>'Pro-Forma Increases'!D11</f>
        <v>7.1399999999999996E-3</v>
      </c>
      <c r="J6" s="108">
        <f>'Pro-Forma Increases'!D13</f>
        <v>0.03</v>
      </c>
      <c r="K6" s="108">
        <f>'Pro-Forma Increases'!D17</f>
        <v>2.2859999999999998E-2</v>
      </c>
      <c r="L6" s="141"/>
      <c r="M6" s="282"/>
      <c r="N6" s="60">
        <v>2020</v>
      </c>
      <c r="O6" s="108"/>
    </row>
    <row r="7" spans="2:15">
      <c r="C7" s="2" t="s">
        <v>31</v>
      </c>
      <c r="M7" s="283"/>
    </row>
    <row r="8" spans="2:15">
      <c r="C8" s="2" t="s">
        <v>32</v>
      </c>
      <c r="E8" s="32"/>
      <c r="F8" s="32"/>
      <c r="G8" s="32"/>
      <c r="H8" s="32"/>
      <c r="M8" s="283"/>
    </row>
    <row r="9" spans="2:15">
      <c r="B9" s="2" t="s">
        <v>26</v>
      </c>
      <c r="C9" s="1">
        <v>500</v>
      </c>
      <c r="D9" s="1" t="s">
        <v>33</v>
      </c>
      <c r="E9" s="17">
        <f>'AN Electric'!L11</f>
        <v>75961</v>
      </c>
      <c r="F9" s="17"/>
      <c r="G9" s="17">
        <f t="shared" ref="G9:G19" si="0">F9+E9</f>
        <v>75961</v>
      </c>
      <c r="H9" s="17"/>
      <c r="I9" s="19">
        <f>ROUND(IF($B9="a",G9*I$5,G9*I$6),0)</f>
        <v>394</v>
      </c>
      <c r="J9" s="19">
        <f>ROUND(IF($B9="a",(G9+I9)*J$5,(G9+I9)*J$6),0)</f>
        <v>2291</v>
      </c>
      <c r="K9" s="19">
        <f>ROUND(IF($B9="a",(G9+I9+J9)*K$5,(G9+I9)*K$6),0)</f>
        <v>1951</v>
      </c>
      <c r="L9" s="41"/>
      <c r="M9" s="284">
        <f>SUM(I9:K9)</f>
        <v>4636</v>
      </c>
      <c r="N9" s="275">
        <f>G9+M9</f>
        <v>80597</v>
      </c>
      <c r="O9" s="19"/>
    </row>
    <row r="10" spans="2:15">
      <c r="C10" s="1">
        <v>501</v>
      </c>
      <c r="D10" s="1" t="s">
        <v>34</v>
      </c>
      <c r="E10" s="17">
        <f>'AN Electric'!L12</f>
        <v>303291</v>
      </c>
      <c r="F10" s="17"/>
      <c r="G10" s="17">
        <f t="shared" si="0"/>
        <v>303291</v>
      </c>
      <c r="H10" s="17"/>
      <c r="I10" s="20">
        <f t="shared" ref="I10:I19" si="1">ROUND(IF($B10="a",G10*I$5,G10*I$6),0)</f>
        <v>2165</v>
      </c>
      <c r="J10" s="20">
        <f>ROUND(IF($B10="a",(G10+I10)*J$5,(G10+I10)*J$6),0)</f>
        <v>9164</v>
      </c>
      <c r="K10" s="20">
        <f t="shared" ref="K10:K73" si="2">ROUND(IF($B10="a",(G10+I10+J10)*K$5,(G10+I10)*K$6),0)</f>
        <v>6983</v>
      </c>
      <c r="L10" s="40"/>
      <c r="M10" s="285">
        <f t="shared" ref="M10:M19" si="3">SUM(I10:K10)</f>
        <v>18312</v>
      </c>
      <c r="N10" s="276">
        <f t="shared" ref="N10:N73" si="4">G10+M10</f>
        <v>321603</v>
      </c>
      <c r="O10" s="20"/>
    </row>
    <row r="11" spans="2:15">
      <c r="C11" s="1">
        <v>502</v>
      </c>
      <c r="D11" s="1" t="s">
        <v>35</v>
      </c>
      <c r="E11" s="17">
        <f>'AN Electric'!L13</f>
        <v>176256</v>
      </c>
      <c r="F11" s="17"/>
      <c r="G11" s="17">
        <f t="shared" si="0"/>
        <v>176256</v>
      </c>
      <c r="H11" s="17"/>
      <c r="I11" s="20">
        <f t="shared" si="1"/>
        <v>1258</v>
      </c>
      <c r="J11" s="20">
        <f t="shared" ref="J11:J19" si="5">ROUND(IF($B11="a",(G11+I11)*J$5,(G11+I11)*J$6),0)</f>
        <v>5325</v>
      </c>
      <c r="K11" s="20">
        <f t="shared" si="2"/>
        <v>4058</v>
      </c>
      <c r="L11" s="40"/>
      <c r="M11" s="285">
        <f t="shared" si="3"/>
        <v>10641</v>
      </c>
      <c r="N11" s="276">
        <f t="shared" si="4"/>
        <v>186897</v>
      </c>
      <c r="O11" s="20"/>
    </row>
    <row r="12" spans="2:15">
      <c r="C12" s="1">
        <v>505</v>
      </c>
      <c r="D12" s="1" t="s">
        <v>36</v>
      </c>
      <c r="E12" s="17">
        <f>'AN Electric'!L14</f>
        <v>184164</v>
      </c>
      <c r="F12" s="17"/>
      <c r="G12" s="17">
        <f t="shared" si="0"/>
        <v>184164</v>
      </c>
      <c r="H12" s="17"/>
      <c r="I12" s="20">
        <f t="shared" si="1"/>
        <v>1315</v>
      </c>
      <c r="J12" s="20">
        <f t="shared" si="5"/>
        <v>5564</v>
      </c>
      <c r="K12" s="20">
        <f t="shared" si="2"/>
        <v>4240</v>
      </c>
      <c r="L12" s="40"/>
      <c r="M12" s="285">
        <f t="shared" si="3"/>
        <v>11119</v>
      </c>
      <c r="N12" s="276">
        <f t="shared" si="4"/>
        <v>195283</v>
      </c>
      <c r="O12" s="20"/>
    </row>
    <row r="13" spans="2:15">
      <c r="C13" s="1">
        <v>506</v>
      </c>
      <c r="D13" s="1" t="s">
        <v>37</v>
      </c>
      <c r="E13" s="17">
        <f>'AN Electric'!L15</f>
        <v>65116</v>
      </c>
      <c r="F13" s="17"/>
      <c r="G13" s="17">
        <f t="shared" si="0"/>
        <v>65116</v>
      </c>
      <c r="H13" s="17"/>
      <c r="I13" s="20">
        <f t="shared" si="1"/>
        <v>465</v>
      </c>
      <c r="J13" s="20">
        <f t="shared" si="5"/>
        <v>1967</v>
      </c>
      <c r="K13" s="20">
        <f t="shared" si="2"/>
        <v>1499</v>
      </c>
      <c r="L13" s="40"/>
      <c r="M13" s="285">
        <f t="shared" si="3"/>
        <v>3931</v>
      </c>
      <c r="N13" s="276">
        <f t="shared" si="4"/>
        <v>69047</v>
      </c>
      <c r="O13" s="20"/>
    </row>
    <row r="14" spans="2:15">
      <c r="C14" s="1">
        <v>507</v>
      </c>
      <c r="D14" s="1"/>
      <c r="E14" s="17">
        <f>'AN Electric'!L16</f>
        <v>0</v>
      </c>
      <c r="F14" s="17"/>
      <c r="G14" s="17"/>
      <c r="H14" s="17"/>
      <c r="I14" s="20"/>
      <c r="J14" s="20">
        <f t="shared" si="5"/>
        <v>0</v>
      </c>
      <c r="K14" s="20">
        <f t="shared" si="2"/>
        <v>0</v>
      </c>
      <c r="L14" s="40"/>
      <c r="M14" s="285">
        <f t="shared" si="3"/>
        <v>0</v>
      </c>
      <c r="N14" s="276">
        <f t="shared" si="4"/>
        <v>0</v>
      </c>
      <c r="O14" s="20"/>
    </row>
    <row r="15" spans="2:15">
      <c r="B15" s="2" t="s">
        <v>26</v>
      </c>
      <c r="C15" s="1">
        <v>510</v>
      </c>
      <c r="D15" s="1" t="s">
        <v>33</v>
      </c>
      <c r="E15" s="17">
        <f>'AN Electric'!L17</f>
        <v>34739</v>
      </c>
      <c r="F15" s="17"/>
      <c r="G15" s="17">
        <f t="shared" si="0"/>
        <v>34739</v>
      </c>
      <c r="H15" s="17"/>
      <c r="I15" s="19">
        <f t="shared" si="1"/>
        <v>180</v>
      </c>
      <c r="J15" s="19">
        <f t="shared" si="5"/>
        <v>1048</v>
      </c>
      <c r="K15" s="19">
        <f t="shared" si="2"/>
        <v>892</v>
      </c>
      <c r="L15" s="41"/>
      <c r="M15" s="284">
        <f t="shared" si="3"/>
        <v>2120</v>
      </c>
      <c r="N15" s="275">
        <f t="shared" si="4"/>
        <v>36859</v>
      </c>
      <c r="O15" s="19"/>
    </row>
    <row r="16" spans="2:15">
      <c r="C16" s="1">
        <v>511</v>
      </c>
      <c r="D16" s="1" t="s">
        <v>38</v>
      </c>
      <c r="E16" s="17">
        <f>'AN Electric'!L18</f>
        <v>2737</v>
      </c>
      <c r="F16" s="17"/>
      <c r="G16" s="17">
        <f t="shared" si="0"/>
        <v>2737</v>
      </c>
      <c r="H16" s="17"/>
      <c r="I16" s="20">
        <f t="shared" si="1"/>
        <v>20</v>
      </c>
      <c r="J16" s="20">
        <f t="shared" si="5"/>
        <v>83</v>
      </c>
      <c r="K16" s="20">
        <f t="shared" si="2"/>
        <v>63</v>
      </c>
      <c r="L16" s="40"/>
      <c r="M16" s="285">
        <f t="shared" si="3"/>
        <v>166</v>
      </c>
      <c r="N16" s="276">
        <f t="shared" si="4"/>
        <v>2903</v>
      </c>
      <c r="O16" s="20"/>
    </row>
    <row r="17" spans="2:15">
      <c r="C17" s="1">
        <v>512</v>
      </c>
      <c r="D17" s="1" t="s">
        <v>39</v>
      </c>
      <c r="E17" s="17">
        <f>'AN Electric'!L19</f>
        <v>235168</v>
      </c>
      <c r="F17" s="17"/>
      <c r="G17" s="17">
        <f t="shared" si="0"/>
        <v>235168</v>
      </c>
      <c r="H17" s="17"/>
      <c r="I17" s="20">
        <f t="shared" si="1"/>
        <v>1679</v>
      </c>
      <c r="J17" s="20">
        <f t="shared" si="5"/>
        <v>7105</v>
      </c>
      <c r="K17" s="20">
        <f t="shared" si="2"/>
        <v>5414</v>
      </c>
      <c r="L17" s="40"/>
      <c r="M17" s="285">
        <f t="shared" si="3"/>
        <v>14198</v>
      </c>
      <c r="N17" s="276">
        <f t="shared" si="4"/>
        <v>249366</v>
      </c>
      <c r="O17" s="20"/>
    </row>
    <row r="18" spans="2:15">
      <c r="C18" s="1">
        <v>513</v>
      </c>
      <c r="D18" s="1" t="s">
        <v>40</v>
      </c>
      <c r="E18" s="17">
        <f>'AN Electric'!L20</f>
        <v>98558</v>
      </c>
      <c r="F18" s="17"/>
      <c r="G18" s="17">
        <f t="shared" si="0"/>
        <v>98558</v>
      </c>
      <c r="H18" s="17"/>
      <c r="I18" s="20">
        <f t="shared" si="1"/>
        <v>704</v>
      </c>
      <c r="J18" s="20">
        <f t="shared" si="5"/>
        <v>2978</v>
      </c>
      <c r="K18" s="20">
        <f t="shared" si="2"/>
        <v>2269</v>
      </c>
      <c r="L18" s="40"/>
      <c r="M18" s="285">
        <f t="shared" si="3"/>
        <v>5951</v>
      </c>
      <c r="N18" s="276">
        <f t="shared" si="4"/>
        <v>104509</v>
      </c>
      <c r="O18" s="20"/>
    </row>
    <row r="19" spans="2:15">
      <c r="C19" s="1">
        <v>514</v>
      </c>
      <c r="D19" s="1" t="s">
        <v>41</v>
      </c>
      <c r="E19" s="17">
        <f>'AN Electric'!L21</f>
        <v>43210</v>
      </c>
      <c r="F19" s="17"/>
      <c r="G19" s="17">
        <f t="shared" si="0"/>
        <v>43210</v>
      </c>
      <c r="H19" s="17"/>
      <c r="I19" s="20">
        <f t="shared" si="1"/>
        <v>309</v>
      </c>
      <c r="J19" s="20">
        <f t="shared" si="5"/>
        <v>1306</v>
      </c>
      <c r="K19" s="20">
        <f t="shared" si="2"/>
        <v>995</v>
      </c>
      <c r="L19" s="40"/>
      <c r="M19" s="285">
        <f t="shared" si="3"/>
        <v>2610</v>
      </c>
      <c r="N19" s="276">
        <f t="shared" si="4"/>
        <v>45820</v>
      </c>
      <c r="O19" s="20"/>
    </row>
    <row r="20" spans="2:15">
      <c r="C20" s="2" t="s">
        <v>42</v>
      </c>
      <c r="E20" s="33">
        <f t="shared" ref="E20:G20" si="6">SUM(E9:E19)</f>
        <v>1219200</v>
      </c>
      <c r="F20" s="33"/>
      <c r="G20" s="33">
        <f t="shared" si="6"/>
        <v>1219200</v>
      </c>
      <c r="H20" s="33"/>
      <c r="I20" s="33">
        <f t="shared" ref="I20:N20" si="7">SUM(I9:I19)</f>
        <v>8489</v>
      </c>
      <c r="J20" s="33">
        <f t="shared" si="7"/>
        <v>36831</v>
      </c>
      <c r="K20" s="33">
        <f t="shared" si="7"/>
        <v>28364</v>
      </c>
      <c r="L20" s="33"/>
      <c r="M20" s="286">
        <f t="shared" si="7"/>
        <v>73684</v>
      </c>
      <c r="N20" s="33">
        <f t="shared" si="7"/>
        <v>1292884</v>
      </c>
      <c r="O20" s="33"/>
    </row>
    <row r="21" spans="2:15">
      <c r="E21" s="17"/>
      <c r="F21" s="17"/>
      <c r="G21" s="17"/>
      <c r="H21" s="17"/>
      <c r="I21" s="17"/>
      <c r="J21" s="17"/>
      <c r="K21" s="17"/>
      <c r="L21" s="18"/>
      <c r="M21" s="287"/>
      <c r="N21" s="278"/>
      <c r="O21" s="17"/>
    </row>
    <row r="22" spans="2:15">
      <c r="C22" s="2" t="s">
        <v>43</v>
      </c>
      <c r="E22" s="17"/>
      <c r="F22" s="17"/>
      <c r="G22" s="17"/>
      <c r="H22" s="17"/>
      <c r="I22" s="17"/>
      <c r="J22" s="17"/>
      <c r="K22" s="17"/>
      <c r="L22" s="18"/>
      <c r="M22" s="287"/>
      <c r="N22" s="278"/>
      <c r="O22" s="17"/>
    </row>
    <row r="23" spans="2:15">
      <c r="B23" s="2" t="s">
        <v>26</v>
      </c>
      <c r="C23" s="1">
        <v>535</v>
      </c>
      <c r="D23" s="1" t="s">
        <v>33</v>
      </c>
      <c r="E23" s="17">
        <f>'AN Electric'!L25</f>
        <v>500283</v>
      </c>
      <c r="F23" s="17"/>
      <c r="G23" s="17">
        <f t="shared" ref="G23:G32" si="8">F23+E23</f>
        <v>500283</v>
      </c>
      <c r="H23" s="17"/>
      <c r="I23" s="19">
        <f t="shared" ref="I23:I32" si="9">ROUND(IF($B23="a",G23*I$5,G23*I$6),0)</f>
        <v>2596</v>
      </c>
      <c r="J23" s="19">
        <f t="shared" ref="J23:J32" si="10">ROUND(IF($B23="a",(G23+I23)*J$5,(G23+I23)*J$6),0)</f>
        <v>15086</v>
      </c>
      <c r="K23" s="19">
        <f t="shared" si="2"/>
        <v>12851</v>
      </c>
      <c r="L23" s="41"/>
      <c r="M23" s="284">
        <f t="shared" ref="M23:M32" si="11">SUM(I23:K23)</f>
        <v>30533</v>
      </c>
      <c r="N23" s="275">
        <f t="shared" si="4"/>
        <v>530816</v>
      </c>
      <c r="O23" s="19"/>
    </row>
    <row r="24" spans="2:15">
      <c r="C24" s="1">
        <v>536</v>
      </c>
      <c r="D24" s="1" t="s">
        <v>44</v>
      </c>
      <c r="E24" s="17">
        <f>'AN Electric'!L26</f>
        <v>2935</v>
      </c>
      <c r="F24" s="17"/>
      <c r="G24" s="17">
        <f t="shared" si="8"/>
        <v>2935</v>
      </c>
      <c r="H24" s="17"/>
      <c r="I24" s="20">
        <f t="shared" si="9"/>
        <v>21</v>
      </c>
      <c r="J24" s="20">
        <f t="shared" si="10"/>
        <v>89</v>
      </c>
      <c r="K24" s="20">
        <f t="shared" si="2"/>
        <v>68</v>
      </c>
      <c r="L24" s="40"/>
      <c r="M24" s="285">
        <f t="shared" si="11"/>
        <v>178</v>
      </c>
      <c r="N24" s="276">
        <f t="shared" si="4"/>
        <v>3113</v>
      </c>
      <c r="O24" s="20"/>
    </row>
    <row r="25" spans="2:15">
      <c r="C25" s="1">
        <v>537</v>
      </c>
      <c r="D25" s="1" t="s">
        <v>45</v>
      </c>
      <c r="E25" s="17">
        <f>'AN Electric'!L27</f>
        <v>178631</v>
      </c>
      <c r="F25" s="17"/>
      <c r="G25" s="17">
        <f t="shared" si="8"/>
        <v>178631</v>
      </c>
      <c r="H25" s="17"/>
      <c r="I25" s="20">
        <f t="shared" si="9"/>
        <v>1275</v>
      </c>
      <c r="J25" s="20">
        <f t="shared" si="10"/>
        <v>5397</v>
      </c>
      <c r="K25" s="20">
        <f t="shared" si="2"/>
        <v>4113</v>
      </c>
      <c r="L25" s="40"/>
      <c r="M25" s="285">
        <f t="shared" si="11"/>
        <v>10785</v>
      </c>
      <c r="N25" s="276">
        <f t="shared" si="4"/>
        <v>189416</v>
      </c>
      <c r="O25" s="20"/>
    </row>
    <row r="26" spans="2:15">
      <c r="C26" s="1">
        <v>538</v>
      </c>
      <c r="D26" s="1" t="s">
        <v>36</v>
      </c>
      <c r="E26" s="17">
        <f>'AN Electric'!L28</f>
        <v>1723166</v>
      </c>
      <c r="F26" s="17"/>
      <c r="G26" s="17">
        <f t="shared" si="8"/>
        <v>1723166</v>
      </c>
      <c r="H26" s="17"/>
      <c r="I26" s="20">
        <f t="shared" si="9"/>
        <v>12303</v>
      </c>
      <c r="J26" s="20">
        <f t="shared" si="10"/>
        <v>52064</v>
      </c>
      <c r="K26" s="20">
        <f t="shared" si="2"/>
        <v>39673</v>
      </c>
      <c r="L26" s="40"/>
      <c r="M26" s="285">
        <f t="shared" si="11"/>
        <v>104040</v>
      </c>
      <c r="N26" s="276">
        <f t="shared" si="4"/>
        <v>1827206</v>
      </c>
      <c r="O26" s="20"/>
    </row>
    <row r="27" spans="2:15">
      <c r="C27" s="1">
        <v>539</v>
      </c>
      <c r="D27" s="1" t="s">
        <v>46</v>
      </c>
      <c r="E27" s="17">
        <f>'AN Electric'!L29</f>
        <v>65560</v>
      </c>
      <c r="F27" s="17"/>
      <c r="G27" s="17">
        <f>F27+E27</f>
        <v>65560</v>
      </c>
      <c r="H27" s="17"/>
      <c r="I27" s="20">
        <f t="shared" si="9"/>
        <v>468</v>
      </c>
      <c r="J27" s="20">
        <f t="shared" si="10"/>
        <v>1981</v>
      </c>
      <c r="K27" s="20">
        <f t="shared" si="2"/>
        <v>1509</v>
      </c>
      <c r="L27" s="40"/>
      <c r="M27" s="285">
        <f t="shared" si="11"/>
        <v>3958</v>
      </c>
      <c r="N27" s="276">
        <f t="shared" si="4"/>
        <v>69518</v>
      </c>
      <c r="O27" s="20"/>
    </row>
    <row r="28" spans="2:15">
      <c r="B28" s="2" t="s">
        <v>26</v>
      </c>
      <c r="C28" s="1">
        <v>541</v>
      </c>
      <c r="D28" s="1" t="s">
        <v>33</v>
      </c>
      <c r="E28" s="17">
        <f>'AN Electric'!L30</f>
        <v>156612</v>
      </c>
      <c r="F28" s="17"/>
      <c r="G28" s="17">
        <f>F28+E28</f>
        <v>156612</v>
      </c>
      <c r="H28" s="17"/>
      <c r="I28" s="20">
        <f>ROUND(IF($B28="a",G28*I$5,G28*I$6),0)</f>
        <v>813</v>
      </c>
      <c r="J28" s="20">
        <f t="shared" si="10"/>
        <v>4723</v>
      </c>
      <c r="K28" s="20">
        <f t="shared" si="2"/>
        <v>4023</v>
      </c>
      <c r="L28" s="40"/>
      <c r="M28" s="285">
        <f t="shared" si="11"/>
        <v>9559</v>
      </c>
      <c r="N28" s="276">
        <f t="shared" si="4"/>
        <v>166171</v>
      </c>
      <c r="O28" s="20"/>
    </row>
    <row r="29" spans="2:15">
      <c r="C29" s="1">
        <v>542</v>
      </c>
      <c r="D29" s="1">
        <f>D6</f>
        <v>0</v>
      </c>
      <c r="E29" s="17">
        <f>'AN Electric'!L31</f>
        <v>64405</v>
      </c>
      <c r="F29" s="17"/>
      <c r="G29" s="17">
        <f t="shared" si="8"/>
        <v>64405</v>
      </c>
      <c r="H29" s="17"/>
      <c r="I29" s="20">
        <f t="shared" si="9"/>
        <v>460</v>
      </c>
      <c r="J29" s="20">
        <f t="shared" si="10"/>
        <v>1946</v>
      </c>
      <c r="K29" s="20">
        <f t="shared" si="2"/>
        <v>1483</v>
      </c>
      <c r="L29" s="40"/>
      <c r="M29" s="285">
        <f t="shared" si="11"/>
        <v>3889</v>
      </c>
      <c r="N29" s="276">
        <f t="shared" si="4"/>
        <v>68294</v>
      </c>
      <c r="O29" s="20"/>
    </row>
    <row r="30" spans="2:15">
      <c r="C30" s="1">
        <v>543</v>
      </c>
      <c r="D30" s="1" t="s">
        <v>47</v>
      </c>
      <c r="E30" s="17">
        <f>'AN Electric'!L32</f>
        <v>192829</v>
      </c>
      <c r="F30" s="17"/>
      <c r="G30" s="17">
        <f t="shared" si="8"/>
        <v>192829</v>
      </c>
      <c r="H30" s="17"/>
      <c r="I30" s="20">
        <f t="shared" si="9"/>
        <v>1377</v>
      </c>
      <c r="J30" s="20">
        <f t="shared" si="10"/>
        <v>5826</v>
      </c>
      <c r="K30" s="20">
        <f t="shared" si="2"/>
        <v>4440</v>
      </c>
      <c r="L30" s="40"/>
      <c r="M30" s="285">
        <f t="shared" si="11"/>
        <v>11643</v>
      </c>
      <c r="N30" s="276">
        <f t="shared" si="4"/>
        <v>204472</v>
      </c>
      <c r="O30" s="20"/>
    </row>
    <row r="31" spans="2:15">
      <c r="C31" s="1">
        <v>544</v>
      </c>
      <c r="D31" s="1" t="s">
        <v>40</v>
      </c>
      <c r="E31" s="17">
        <f>'AN Electric'!L33</f>
        <v>698963</v>
      </c>
      <c r="F31" s="17"/>
      <c r="G31" s="17">
        <f t="shared" si="8"/>
        <v>698963</v>
      </c>
      <c r="H31" s="17"/>
      <c r="I31" s="20">
        <f t="shared" si="9"/>
        <v>4991</v>
      </c>
      <c r="J31" s="20">
        <f t="shared" si="10"/>
        <v>21119</v>
      </c>
      <c r="K31" s="20">
        <f t="shared" si="2"/>
        <v>16092</v>
      </c>
      <c r="L31" s="40"/>
      <c r="M31" s="285">
        <f t="shared" si="11"/>
        <v>42202</v>
      </c>
      <c r="N31" s="276">
        <f t="shared" si="4"/>
        <v>741165</v>
      </c>
      <c r="O31" s="20"/>
    </row>
    <row r="32" spans="2:15">
      <c r="C32" s="1">
        <v>545</v>
      </c>
      <c r="D32" s="1" t="s">
        <v>48</v>
      </c>
      <c r="E32" s="17">
        <f>'AN Electric'!L34</f>
        <v>228497</v>
      </c>
      <c r="F32" s="17"/>
      <c r="G32" s="17">
        <f t="shared" si="8"/>
        <v>228497</v>
      </c>
      <c r="H32" s="17"/>
      <c r="I32" s="20">
        <f t="shared" si="9"/>
        <v>1631</v>
      </c>
      <c r="J32" s="20">
        <f t="shared" si="10"/>
        <v>6904</v>
      </c>
      <c r="K32" s="20">
        <f t="shared" si="2"/>
        <v>5261</v>
      </c>
      <c r="L32" s="40"/>
      <c r="M32" s="285">
        <f t="shared" si="11"/>
        <v>13796</v>
      </c>
      <c r="N32" s="276">
        <f t="shared" si="4"/>
        <v>242293</v>
      </c>
      <c r="O32" s="20"/>
    </row>
    <row r="33" spans="2:15">
      <c r="C33" s="2" t="s">
        <v>49</v>
      </c>
      <c r="E33" s="33">
        <f t="shared" ref="E33:G33" si="12">SUM(E23:E32)</f>
        <v>3811881</v>
      </c>
      <c r="F33" s="33"/>
      <c r="G33" s="33">
        <f t="shared" si="12"/>
        <v>3811881</v>
      </c>
      <c r="H33" s="33"/>
      <c r="I33" s="33">
        <f t="shared" ref="I33:K33" si="13">SUM(I23:I32)</f>
        <v>25935</v>
      </c>
      <c r="J33" s="33">
        <f t="shared" si="13"/>
        <v>115135</v>
      </c>
      <c r="K33" s="33">
        <f t="shared" si="13"/>
        <v>89513</v>
      </c>
      <c r="L33" s="18"/>
      <c r="M33" s="286">
        <f t="shared" ref="M33" si="14">SUM(I33:J33)</f>
        <v>141070</v>
      </c>
      <c r="N33" s="277">
        <f t="shared" si="4"/>
        <v>3952951</v>
      </c>
      <c r="O33" s="33"/>
    </row>
    <row r="34" spans="2:15">
      <c r="E34" s="17"/>
      <c r="F34" s="17"/>
      <c r="G34" s="17"/>
      <c r="H34" s="17"/>
      <c r="I34" s="17"/>
      <c r="J34" s="17"/>
      <c r="K34" s="17"/>
      <c r="L34" s="18"/>
      <c r="M34" s="287"/>
      <c r="N34" s="278"/>
      <c r="O34" s="17"/>
    </row>
    <row r="35" spans="2:15">
      <c r="C35" s="2" t="s">
        <v>50</v>
      </c>
      <c r="E35" s="17"/>
      <c r="F35" s="17"/>
      <c r="G35" s="17"/>
      <c r="H35" s="17"/>
      <c r="I35" s="17"/>
      <c r="J35" s="17"/>
      <c r="K35" s="17"/>
      <c r="L35" s="18"/>
      <c r="M35" s="287"/>
      <c r="N35" s="278"/>
      <c r="O35" s="17"/>
    </row>
    <row r="36" spans="2:15">
      <c r="B36" s="2" t="s">
        <v>26</v>
      </c>
      <c r="C36" s="1">
        <v>546</v>
      </c>
      <c r="D36" s="1" t="s">
        <v>33</v>
      </c>
      <c r="E36" s="17">
        <f>'AN Electric'!L38</f>
        <v>39030</v>
      </c>
      <c r="F36" s="17"/>
      <c r="G36" s="17">
        <f t="shared" ref="G36:G42" si="15">F36+E36</f>
        <v>39030</v>
      </c>
      <c r="H36" s="17"/>
      <c r="I36" s="19">
        <f t="shared" ref="I36:I42" si="16">ROUND(IF($B36="a",G36*I$5,G36*I$6),0)</f>
        <v>203</v>
      </c>
      <c r="J36" s="19">
        <f t="shared" ref="J36:J42" si="17">ROUND(IF($B36="a",(G36+I36)*J$5,(G36+I36)*J$6),0)</f>
        <v>1177</v>
      </c>
      <c r="K36" s="19">
        <f t="shared" si="2"/>
        <v>1003</v>
      </c>
      <c r="L36" s="41"/>
      <c r="M36" s="284">
        <f t="shared" ref="M36:M42" si="18">SUM(I36:K36)</f>
        <v>2383</v>
      </c>
      <c r="N36" s="275">
        <f t="shared" si="4"/>
        <v>41413</v>
      </c>
      <c r="O36" s="19"/>
    </row>
    <row r="37" spans="2:15">
      <c r="C37" s="1">
        <v>548</v>
      </c>
      <c r="D37" s="1" t="s">
        <v>51</v>
      </c>
      <c r="E37" s="17">
        <f>'AN Electric'!L39</f>
        <v>101770</v>
      </c>
      <c r="F37" s="17"/>
      <c r="G37" s="17">
        <f t="shared" si="15"/>
        <v>101770</v>
      </c>
      <c r="H37" s="17"/>
      <c r="I37" s="20">
        <f t="shared" si="16"/>
        <v>727</v>
      </c>
      <c r="J37" s="20">
        <f t="shared" si="17"/>
        <v>3075</v>
      </c>
      <c r="K37" s="20">
        <f t="shared" si="2"/>
        <v>2343</v>
      </c>
      <c r="L37" s="40"/>
      <c r="M37" s="285">
        <f t="shared" si="18"/>
        <v>6145</v>
      </c>
      <c r="N37" s="276">
        <f t="shared" si="4"/>
        <v>107915</v>
      </c>
      <c r="O37" s="20"/>
    </row>
    <row r="38" spans="2:15">
      <c r="C38" s="1">
        <v>549</v>
      </c>
      <c r="D38" s="1" t="s">
        <v>52</v>
      </c>
      <c r="E38" s="17">
        <f>'AN Electric'!L40</f>
        <v>22174</v>
      </c>
      <c r="F38" s="17"/>
      <c r="G38" s="17">
        <f t="shared" si="15"/>
        <v>22174</v>
      </c>
      <c r="H38" s="17"/>
      <c r="I38" s="20">
        <f t="shared" si="16"/>
        <v>158</v>
      </c>
      <c r="J38" s="20">
        <f t="shared" si="17"/>
        <v>670</v>
      </c>
      <c r="K38" s="20">
        <f t="shared" si="2"/>
        <v>511</v>
      </c>
      <c r="L38" s="40"/>
      <c r="M38" s="285">
        <f t="shared" si="18"/>
        <v>1339</v>
      </c>
      <c r="N38" s="276">
        <f t="shared" si="4"/>
        <v>23513</v>
      </c>
      <c r="O38" s="20"/>
    </row>
    <row r="39" spans="2:15">
      <c r="B39" s="2" t="s">
        <v>26</v>
      </c>
      <c r="C39" s="1">
        <v>551</v>
      </c>
      <c r="D39" s="1" t="s">
        <v>33</v>
      </c>
      <c r="E39" s="17">
        <f>'AN Electric'!L41</f>
        <v>109441</v>
      </c>
      <c r="F39" s="17"/>
      <c r="G39" s="17">
        <f t="shared" si="15"/>
        <v>109441</v>
      </c>
      <c r="H39" s="17"/>
      <c r="I39" s="19">
        <f t="shared" si="16"/>
        <v>568</v>
      </c>
      <c r="J39" s="19">
        <f t="shared" si="17"/>
        <v>3300</v>
      </c>
      <c r="K39" s="19">
        <f t="shared" si="2"/>
        <v>2811</v>
      </c>
      <c r="L39" s="41"/>
      <c r="M39" s="284">
        <f t="shared" si="18"/>
        <v>6679</v>
      </c>
      <c r="N39" s="275">
        <f t="shared" si="4"/>
        <v>116120</v>
      </c>
      <c r="O39" s="19"/>
    </row>
    <row r="40" spans="2:15">
      <c r="C40" s="1">
        <v>552</v>
      </c>
      <c r="D40" s="1" t="s">
        <v>38</v>
      </c>
      <c r="E40" s="17">
        <f>'AN Electric'!L42</f>
        <v>200</v>
      </c>
      <c r="F40" s="17"/>
      <c r="G40" s="17">
        <f t="shared" si="15"/>
        <v>200</v>
      </c>
      <c r="H40" s="17"/>
      <c r="I40" s="20">
        <f t="shared" si="16"/>
        <v>1</v>
      </c>
      <c r="J40" s="20">
        <f t="shared" si="17"/>
        <v>6</v>
      </c>
      <c r="K40" s="20">
        <f t="shared" si="2"/>
        <v>5</v>
      </c>
      <c r="L40" s="40"/>
      <c r="M40" s="285">
        <f t="shared" si="18"/>
        <v>12</v>
      </c>
      <c r="N40" s="276">
        <f t="shared" si="4"/>
        <v>212</v>
      </c>
      <c r="O40" s="20"/>
    </row>
    <row r="41" spans="2:15">
      <c r="C41" s="1">
        <v>553</v>
      </c>
      <c r="D41" s="1" t="s">
        <v>53</v>
      </c>
      <c r="E41" s="17">
        <f>'AN Electric'!L43</f>
        <v>110749</v>
      </c>
      <c r="F41" s="17"/>
      <c r="G41" s="17">
        <f t="shared" si="15"/>
        <v>110749</v>
      </c>
      <c r="H41" s="17"/>
      <c r="I41" s="20">
        <f t="shared" si="16"/>
        <v>791</v>
      </c>
      <c r="J41" s="20">
        <f t="shared" si="17"/>
        <v>3346</v>
      </c>
      <c r="K41" s="20">
        <f t="shared" si="2"/>
        <v>2550</v>
      </c>
      <c r="L41" s="40"/>
      <c r="M41" s="285">
        <f t="shared" si="18"/>
        <v>6687</v>
      </c>
      <c r="N41" s="276">
        <f t="shared" si="4"/>
        <v>117436</v>
      </c>
      <c r="O41" s="20"/>
    </row>
    <row r="42" spans="2:15">
      <c r="C42" s="1">
        <v>554</v>
      </c>
      <c r="D42" s="1" t="s">
        <v>54</v>
      </c>
      <c r="E42" s="17">
        <f>'AN Electric'!L44</f>
        <v>23538</v>
      </c>
      <c r="F42" s="17"/>
      <c r="G42" s="17">
        <f t="shared" si="15"/>
        <v>23538</v>
      </c>
      <c r="H42" s="17"/>
      <c r="I42" s="20">
        <f t="shared" si="16"/>
        <v>168</v>
      </c>
      <c r="J42" s="20">
        <f t="shared" si="17"/>
        <v>711</v>
      </c>
      <c r="K42" s="20">
        <f t="shared" si="2"/>
        <v>542</v>
      </c>
      <c r="L42" s="40"/>
      <c r="M42" s="285">
        <f t="shared" si="18"/>
        <v>1421</v>
      </c>
      <c r="N42" s="276">
        <f t="shared" si="4"/>
        <v>24959</v>
      </c>
      <c r="O42" s="20"/>
    </row>
    <row r="43" spans="2:15">
      <c r="C43" s="2" t="s">
        <v>55</v>
      </c>
      <c r="E43" s="33">
        <f t="shared" ref="E43:G43" si="19">SUM(E36:E42)</f>
        <v>406902</v>
      </c>
      <c r="F43" s="33"/>
      <c r="G43" s="33">
        <f t="shared" si="19"/>
        <v>406902</v>
      </c>
      <c r="H43" s="33"/>
      <c r="I43" s="33">
        <f t="shared" ref="I43:N43" si="20">SUM(I36:I42)</f>
        <v>2616</v>
      </c>
      <c r="J43" s="33">
        <f t="shared" si="20"/>
        <v>12285</v>
      </c>
      <c r="K43" s="33">
        <f t="shared" si="20"/>
        <v>9765</v>
      </c>
      <c r="L43" s="33"/>
      <c r="M43" s="286">
        <f t="shared" si="20"/>
        <v>24666</v>
      </c>
      <c r="N43" s="33">
        <f t="shared" si="20"/>
        <v>431568</v>
      </c>
      <c r="O43" s="33"/>
    </row>
    <row r="44" spans="2:15">
      <c r="E44" s="17"/>
      <c r="F44" s="17"/>
      <c r="G44" s="17"/>
      <c r="H44" s="17"/>
      <c r="I44" s="17"/>
      <c r="J44" s="17"/>
      <c r="K44" s="17"/>
      <c r="L44" s="18"/>
      <c r="M44" s="287"/>
      <c r="N44" s="278"/>
      <c r="O44" s="17"/>
    </row>
    <row r="45" spans="2:15">
      <c r="C45" s="2" t="s">
        <v>56</v>
      </c>
      <c r="E45" s="17"/>
      <c r="F45" s="17"/>
      <c r="G45" s="17"/>
      <c r="H45" s="17"/>
      <c r="I45" s="17"/>
      <c r="J45" s="17"/>
      <c r="K45" s="17"/>
      <c r="L45" s="18"/>
      <c r="M45" s="287"/>
      <c r="N45" s="278"/>
      <c r="O45" s="17"/>
    </row>
    <row r="46" spans="2:15">
      <c r="B46" s="2" t="s">
        <v>26</v>
      </c>
      <c r="C46" s="1">
        <v>556</v>
      </c>
      <c r="D46" s="1" t="s">
        <v>57</v>
      </c>
      <c r="E46" s="17">
        <f>'AN Electric'!L48</f>
        <v>89209</v>
      </c>
      <c r="F46" s="17"/>
      <c r="G46" s="17">
        <f>F46+E46</f>
        <v>89209</v>
      </c>
      <c r="H46" s="17"/>
      <c r="I46" s="19">
        <f>ROUND(IF($B46="a",G46*I$5,G46*I$6),0)</f>
        <v>463</v>
      </c>
      <c r="J46" s="19">
        <f t="shared" ref="J46:J47" si="21">ROUND(IF($B46="a",(G46+I46)*J$5,(G46+I46)*J$6),0)</f>
        <v>2690</v>
      </c>
      <c r="K46" s="19">
        <f t="shared" si="2"/>
        <v>2292</v>
      </c>
      <c r="L46" s="41"/>
      <c r="M46" s="284">
        <f t="shared" ref="M46:M47" si="22">SUM(I46:K46)</f>
        <v>5445</v>
      </c>
      <c r="N46" s="275">
        <f t="shared" si="4"/>
        <v>94654</v>
      </c>
      <c r="O46" s="19"/>
    </row>
    <row r="47" spans="2:15">
      <c r="B47" s="2" t="s">
        <v>26</v>
      </c>
      <c r="C47" s="1">
        <v>557</v>
      </c>
      <c r="D47" s="1" t="s">
        <v>58</v>
      </c>
      <c r="E47" s="17">
        <f>'AN Electric'!L49</f>
        <v>1314282</v>
      </c>
      <c r="F47" s="17"/>
      <c r="G47" s="17">
        <f>F47+E47</f>
        <v>1314282</v>
      </c>
      <c r="H47" s="17"/>
      <c r="I47" s="19">
        <f>ROUND(IF($B47="a",G47*I$5,G47*I$6),0)</f>
        <v>6821</v>
      </c>
      <c r="J47" s="19">
        <f t="shared" si="21"/>
        <v>39633</v>
      </c>
      <c r="K47" s="19">
        <f t="shared" si="2"/>
        <v>33760</v>
      </c>
      <c r="L47" s="41"/>
      <c r="M47" s="284">
        <f t="shared" si="22"/>
        <v>80214</v>
      </c>
      <c r="N47" s="275">
        <f t="shared" si="4"/>
        <v>1394496</v>
      </c>
      <c r="O47" s="19"/>
    </row>
    <row r="48" spans="2:15">
      <c r="C48" s="2" t="s">
        <v>59</v>
      </c>
      <c r="E48" s="33">
        <f t="shared" ref="E48:G48" si="23">SUM(E46:E47)</f>
        <v>1403491</v>
      </c>
      <c r="F48" s="33"/>
      <c r="G48" s="33">
        <f t="shared" si="23"/>
        <v>1403491</v>
      </c>
      <c r="H48" s="33"/>
      <c r="I48" s="33">
        <f t="shared" ref="I48:N48" si="24">SUM(I46:I47)</f>
        <v>7284</v>
      </c>
      <c r="J48" s="33">
        <f t="shared" si="24"/>
        <v>42323</v>
      </c>
      <c r="K48" s="33">
        <f t="shared" si="24"/>
        <v>36052</v>
      </c>
      <c r="L48" s="33"/>
      <c r="M48" s="286">
        <f t="shared" si="24"/>
        <v>85659</v>
      </c>
      <c r="N48" s="33">
        <f t="shared" si="24"/>
        <v>1489150</v>
      </c>
      <c r="O48" s="33"/>
    </row>
    <row r="49" spans="2:15">
      <c r="E49" s="17"/>
      <c r="F49" s="17"/>
      <c r="G49" s="17"/>
      <c r="H49" s="17"/>
      <c r="I49" s="17"/>
      <c r="J49" s="17"/>
      <c r="K49" s="17"/>
      <c r="L49" s="18"/>
      <c r="M49" s="287"/>
      <c r="N49" s="278"/>
      <c r="O49" s="17"/>
    </row>
    <row r="50" spans="2:15">
      <c r="C50" s="2" t="s">
        <v>28</v>
      </c>
      <c r="E50" s="92">
        <f>E20+E33+E43+E48</f>
        <v>6841474</v>
      </c>
      <c r="F50" s="92"/>
      <c r="G50" s="92">
        <f>G20+G33+G43+G48</f>
        <v>6841474</v>
      </c>
      <c r="H50" s="92"/>
      <c r="I50" s="92">
        <f>I20+I33+I43+I48</f>
        <v>44324</v>
      </c>
      <c r="J50" s="92">
        <f t="shared" ref="J50:N50" si="25">J20+J33+J43+J48</f>
        <v>206574</v>
      </c>
      <c r="K50" s="92">
        <f t="shared" si="25"/>
        <v>163694</v>
      </c>
      <c r="L50" s="92"/>
      <c r="M50" s="288">
        <f t="shared" si="25"/>
        <v>325079</v>
      </c>
      <c r="N50" s="92">
        <f t="shared" si="25"/>
        <v>7166553</v>
      </c>
      <c r="O50" s="92"/>
    </row>
    <row r="51" spans="2:15">
      <c r="D51" s="2">
        <f>D29</f>
        <v>0</v>
      </c>
      <c r="E51" s="17"/>
      <c r="F51" s="17"/>
      <c r="G51" s="17"/>
      <c r="H51" s="17"/>
      <c r="I51" s="17"/>
      <c r="J51" s="17"/>
      <c r="K51" s="17"/>
      <c r="L51" s="18"/>
      <c r="M51" s="287"/>
      <c r="N51" s="278"/>
      <c r="O51" s="17"/>
    </row>
    <row r="52" spans="2:15">
      <c r="C52" s="2" t="s">
        <v>2</v>
      </c>
      <c r="E52" s="17"/>
      <c r="F52" s="17"/>
      <c r="G52" s="17"/>
      <c r="H52" s="17"/>
      <c r="I52" s="17"/>
      <c r="J52" s="17"/>
      <c r="K52" s="17"/>
      <c r="L52" s="18"/>
      <c r="M52" s="287"/>
      <c r="N52" s="278"/>
      <c r="O52" s="17"/>
    </row>
    <row r="53" spans="2:15">
      <c r="B53" s="2" t="s">
        <v>26</v>
      </c>
      <c r="C53" s="1">
        <v>560</v>
      </c>
      <c r="D53" s="1" t="s">
        <v>33</v>
      </c>
      <c r="E53" s="17">
        <f>'AN Electric'!L55</f>
        <v>429612</v>
      </c>
      <c r="F53" s="17"/>
      <c r="G53" s="17">
        <f t="shared" ref="G53:G65" si="26">F53+E53</f>
        <v>429612</v>
      </c>
      <c r="H53" s="17"/>
      <c r="I53" s="19">
        <f t="shared" ref="I53:I65" si="27">ROUND(IF($B53="a",G53*I$5,G53*I$6),0)</f>
        <v>2230</v>
      </c>
      <c r="J53" s="19">
        <f t="shared" ref="J53:J65" si="28">ROUND(IF($B53="a",(G53+I53)*J$5,(G53+I53)*J$6),0)</f>
        <v>12955</v>
      </c>
      <c r="K53" s="19">
        <f t="shared" si="2"/>
        <v>11035</v>
      </c>
      <c r="L53" s="41"/>
      <c r="M53" s="284">
        <f t="shared" ref="M53:M65" si="29">SUM(I53:K53)</f>
        <v>26220</v>
      </c>
      <c r="N53" s="275">
        <f t="shared" si="4"/>
        <v>455832</v>
      </c>
      <c r="O53" s="19"/>
    </row>
    <row r="54" spans="2:15">
      <c r="B54" s="2" t="s">
        <v>26</v>
      </c>
      <c r="C54" s="1">
        <v>561</v>
      </c>
      <c r="D54" s="1" t="s">
        <v>60</v>
      </c>
      <c r="E54" s="17">
        <f>'AN Electric'!L56</f>
        <v>663363</v>
      </c>
      <c r="F54" s="17"/>
      <c r="G54" s="17">
        <f t="shared" si="26"/>
        <v>663363</v>
      </c>
      <c r="H54" s="17"/>
      <c r="I54" s="19">
        <f t="shared" si="27"/>
        <v>3443</v>
      </c>
      <c r="J54" s="19">
        <f t="shared" si="28"/>
        <v>20004</v>
      </c>
      <c r="K54" s="19">
        <f t="shared" si="2"/>
        <v>17040</v>
      </c>
      <c r="L54" s="41"/>
      <c r="M54" s="284">
        <f t="shared" si="29"/>
        <v>40487</v>
      </c>
      <c r="N54" s="275">
        <f t="shared" si="4"/>
        <v>703850</v>
      </c>
      <c r="O54" s="19"/>
    </row>
    <row r="55" spans="2:15">
      <c r="C55" s="1">
        <v>562</v>
      </c>
      <c r="D55" s="1" t="s">
        <v>61</v>
      </c>
      <c r="E55" s="17">
        <f>'AN Electric'!L57</f>
        <v>47283</v>
      </c>
      <c r="F55" s="17"/>
      <c r="G55" s="17">
        <f t="shared" si="26"/>
        <v>47283</v>
      </c>
      <c r="H55" s="17"/>
      <c r="I55" s="20">
        <f t="shared" si="27"/>
        <v>338</v>
      </c>
      <c r="J55" s="20">
        <f t="shared" si="28"/>
        <v>1429</v>
      </c>
      <c r="K55" s="20">
        <f t="shared" si="2"/>
        <v>1089</v>
      </c>
      <c r="L55" s="40"/>
      <c r="M55" s="285">
        <f t="shared" si="29"/>
        <v>2856</v>
      </c>
      <c r="N55" s="276">
        <f t="shared" si="4"/>
        <v>50139</v>
      </c>
      <c r="O55" s="20"/>
    </row>
    <row r="56" spans="2:15">
      <c r="C56" s="1">
        <v>563</v>
      </c>
      <c r="D56" s="1" t="s">
        <v>62</v>
      </c>
      <c r="E56" s="17">
        <f>'AN Electric'!L58</f>
        <v>23857</v>
      </c>
      <c r="F56" s="17"/>
      <c r="G56" s="17">
        <f t="shared" si="26"/>
        <v>23857</v>
      </c>
      <c r="H56" s="17"/>
      <c r="I56" s="20">
        <f t="shared" si="27"/>
        <v>170</v>
      </c>
      <c r="J56" s="20">
        <f t="shared" si="28"/>
        <v>721</v>
      </c>
      <c r="K56" s="20">
        <f t="shared" si="2"/>
        <v>549</v>
      </c>
      <c r="L56" s="40"/>
      <c r="M56" s="285">
        <f t="shared" si="29"/>
        <v>1440</v>
      </c>
      <c r="N56" s="276">
        <f t="shared" si="4"/>
        <v>25297</v>
      </c>
      <c r="O56" s="20"/>
    </row>
    <row r="57" spans="2:15">
      <c r="C57" s="1">
        <v>564</v>
      </c>
      <c r="D57" s="1" t="s">
        <v>63</v>
      </c>
      <c r="E57" s="17">
        <f>'AN Electric'!L59</f>
        <v>0</v>
      </c>
      <c r="F57" s="17"/>
      <c r="G57" s="17">
        <f t="shared" si="26"/>
        <v>0</v>
      </c>
      <c r="H57" s="17"/>
      <c r="I57" s="20">
        <f t="shared" si="27"/>
        <v>0</v>
      </c>
      <c r="J57" s="20">
        <f t="shared" si="28"/>
        <v>0</v>
      </c>
      <c r="K57" s="20">
        <f t="shared" si="2"/>
        <v>0</v>
      </c>
      <c r="L57" s="40"/>
      <c r="M57" s="285">
        <f t="shared" si="29"/>
        <v>0</v>
      </c>
      <c r="N57" s="276">
        <f t="shared" si="4"/>
        <v>0</v>
      </c>
      <c r="O57" s="20"/>
    </row>
    <row r="58" spans="2:15">
      <c r="C58" s="1">
        <v>566</v>
      </c>
      <c r="D58" s="1" t="s">
        <v>64</v>
      </c>
      <c r="E58" s="17">
        <f>'AN Electric'!L60</f>
        <v>265820</v>
      </c>
      <c r="F58" s="17"/>
      <c r="G58" s="17">
        <f t="shared" si="26"/>
        <v>265820</v>
      </c>
      <c r="H58" s="17"/>
      <c r="I58" s="20">
        <f t="shared" si="27"/>
        <v>1898</v>
      </c>
      <c r="J58" s="20">
        <f t="shared" si="28"/>
        <v>8032</v>
      </c>
      <c r="K58" s="20">
        <f t="shared" si="2"/>
        <v>6120</v>
      </c>
      <c r="L58" s="40"/>
      <c r="M58" s="285">
        <f t="shared" si="29"/>
        <v>16050</v>
      </c>
      <c r="N58" s="276">
        <f t="shared" si="4"/>
        <v>281870</v>
      </c>
      <c r="O58" s="20"/>
    </row>
    <row r="59" spans="2:15">
      <c r="B59" s="114"/>
      <c r="C59" s="29">
        <v>567</v>
      </c>
      <c r="D59" s="29" t="s">
        <v>177</v>
      </c>
      <c r="E59" s="17">
        <f>'AN Electric'!L61</f>
        <v>3841</v>
      </c>
      <c r="F59" s="17"/>
      <c r="G59" s="17">
        <f t="shared" si="26"/>
        <v>3841</v>
      </c>
      <c r="H59" s="17"/>
      <c r="I59" s="20">
        <f t="shared" si="27"/>
        <v>27</v>
      </c>
      <c r="J59" s="20">
        <f t="shared" si="28"/>
        <v>116</v>
      </c>
      <c r="K59" s="20">
        <f t="shared" si="2"/>
        <v>88</v>
      </c>
      <c r="L59" s="40"/>
      <c r="M59" s="285">
        <f t="shared" si="29"/>
        <v>231</v>
      </c>
      <c r="N59" s="276">
        <f t="shared" si="4"/>
        <v>4072</v>
      </c>
      <c r="O59" s="20"/>
    </row>
    <row r="60" spans="2:15">
      <c r="B60" s="2" t="s">
        <v>26</v>
      </c>
      <c r="C60" s="1">
        <v>568</v>
      </c>
      <c r="D60" s="1" t="s">
        <v>33</v>
      </c>
      <c r="E60" s="17">
        <f>'AN Electric'!L62</f>
        <v>133123</v>
      </c>
      <c r="F60" s="17"/>
      <c r="G60" s="17">
        <f t="shared" si="26"/>
        <v>133123</v>
      </c>
      <c r="H60" s="17"/>
      <c r="I60" s="19">
        <f t="shared" si="27"/>
        <v>691</v>
      </c>
      <c r="J60" s="19">
        <f t="shared" si="28"/>
        <v>4014</v>
      </c>
      <c r="K60" s="19">
        <f t="shared" si="2"/>
        <v>3420</v>
      </c>
      <c r="L60" s="41"/>
      <c r="M60" s="284">
        <f t="shared" si="29"/>
        <v>8125</v>
      </c>
      <c r="N60" s="275">
        <f t="shared" si="4"/>
        <v>141248</v>
      </c>
      <c r="O60" s="19"/>
    </row>
    <row r="61" spans="2:15">
      <c r="C61" s="1">
        <v>569</v>
      </c>
      <c r="D61" s="1" t="s">
        <v>38</v>
      </c>
      <c r="E61" s="17">
        <f>'AN Electric'!L63</f>
        <v>128598</v>
      </c>
      <c r="F61" s="17"/>
      <c r="G61" s="17">
        <f t="shared" si="26"/>
        <v>128598</v>
      </c>
      <c r="H61" s="17"/>
      <c r="I61" s="20">
        <f t="shared" si="27"/>
        <v>918</v>
      </c>
      <c r="J61" s="20">
        <f t="shared" si="28"/>
        <v>3885</v>
      </c>
      <c r="K61" s="20">
        <f t="shared" si="2"/>
        <v>2961</v>
      </c>
      <c r="L61" s="40"/>
      <c r="M61" s="285">
        <f t="shared" si="29"/>
        <v>7764</v>
      </c>
      <c r="N61" s="276">
        <f t="shared" si="4"/>
        <v>136362</v>
      </c>
      <c r="O61" s="20"/>
    </row>
    <row r="62" spans="2:15">
      <c r="C62" s="1">
        <v>570</v>
      </c>
      <c r="D62" s="1" t="s">
        <v>65</v>
      </c>
      <c r="E62" s="17">
        <f>'AN Electric'!L64</f>
        <v>140110</v>
      </c>
      <c r="F62" s="17"/>
      <c r="G62" s="17">
        <f t="shared" si="26"/>
        <v>140110</v>
      </c>
      <c r="H62" s="17"/>
      <c r="I62" s="20">
        <f t="shared" si="27"/>
        <v>1000</v>
      </c>
      <c r="J62" s="20">
        <f t="shared" si="28"/>
        <v>4233</v>
      </c>
      <c r="K62" s="20">
        <f t="shared" si="2"/>
        <v>3226</v>
      </c>
      <c r="L62" s="40"/>
      <c r="M62" s="285">
        <f t="shared" si="29"/>
        <v>8459</v>
      </c>
      <c r="N62" s="276">
        <f t="shared" si="4"/>
        <v>148569</v>
      </c>
      <c r="O62" s="20"/>
    </row>
    <row r="63" spans="2:15">
      <c r="C63" s="1">
        <v>571</v>
      </c>
      <c r="D63" s="1" t="s">
        <v>66</v>
      </c>
      <c r="E63" s="17">
        <f>'AN Electric'!L65</f>
        <v>15436</v>
      </c>
      <c r="F63" s="17"/>
      <c r="G63" s="17">
        <f t="shared" si="26"/>
        <v>15436</v>
      </c>
      <c r="H63" s="17"/>
      <c r="I63" s="20">
        <f t="shared" si="27"/>
        <v>110</v>
      </c>
      <c r="J63" s="20">
        <f t="shared" si="28"/>
        <v>466</v>
      </c>
      <c r="K63" s="20">
        <f t="shared" si="2"/>
        <v>355</v>
      </c>
      <c r="L63" s="40"/>
      <c r="M63" s="285">
        <f t="shared" si="29"/>
        <v>931</v>
      </c>
      <c r="N63" s="276">
        <f t="shared" si="4"/>
        <v>16367</v>
      </c>
      <c r="O63" s="20"/>
    </row>
    <row r="64" spans="2:15">
      <c r="C64" s="1">
        <v>572</v>
      </c>
      <c r="D64" s="1" t="s">
        <v>67</v>
      </c>
      <c r="E64" s="17">
        <f>'AN Electric'!L66</f>
        <v>0</v>
      </c>
      <c r="F64" s="17"/>
      <c r="G64" s="17">
        <f t="shared" si="26"/>
        <v>0</v>
      </c>
      <c r="H64" s="17"/>
      <c r="I64" s="20">
        <f t="shared" si="27"/>
        <v>0</v>
      </c>
      <c r="J64" s="20">
        <f t="shared" si="28"/>
        <v>0</v>
      </c>
      <c r="K64" s="20">
        <f t="shared" si="2"/>
        <v>0</v>
      </c>
      <c r="L64" s="40"/>
      <c r="M64" s="285">
        <f t="shared" si="29"/>
        <v>0</v>
      </c>
      <c r="N64" s="276">
        <f t="shared" si="4"/>
        <v>0</v>
      </c>
      <c r="O64" s="20"/>
    </row>
    <row r="65" spans="2:15">
      <c r="C65" s="1">
        <v>573</v>
      </c>
      <c r="D65" s="1" t="s">
        <v>68</v>
      </c>
      <c r="E65" s="17">
        <f>'AN Electric'!L67</f>
        <v>5131</v>
      </c>
      <c r="F65" s="17"/>
      <c r="G65" s="17">
        <f t="shared" si="26"/>
        <v>5131</v>
      </c>
      <c r="H65" s="17"/>
      <c r="I65" s="20">
        <f t="shared" si="27"/>
        <v>37</v>
      </c>
      <c r="J65" s="20">
        <f t="shared" si="28"/>
        <v>155</v>
      </c>
      <c r="K65" s="20">
        <f t="shared" si="2"/>
        <v>118</v>
      </c>
      <c r="L65" s="40"/>
      <c r="M65" s="285">
        <f t="shared" si="29"/>
        <v>310</v>
      </c>
      <c r="N65" s="276">
        <f t="shared" si="4"/>
        <v>5441</v>
      </c>
      <c r="O65" s="20"/>
    </row>
    <row r="66" spans="2:15">
      <c r="C66" s="2" t="s">
        <v>3</v>
      </c>
      <c r="E66" s="33">
        <f t="shared" ref="E66:G66" si="30">SUM(E53:E65)</f>
        <v>1856174</v>
      </c>
      <c r="F66" s="33"/>
      <c r="G66" s="33">
        <f t="shared" si="30"/>
        <v>1856174</v>
      </c>
      <c r="H66" s="33"/>
      <c r="I66" s="33">
        <f t="shared" ref="I66:N66" si="31">SUM(I53:I65)</f>
        <v>10862</v>
      </c>
      <c r="J66" s="33">
        <f t="shared" si="31"/>
        <v>56010</v>
      </c>
      <c r="K66" s="33">
        <f t="shared" si="31"/>
        <v>46001</v>
      </c>
      <c r="L66" s="33"/>
      <c r="M66" s="286">
        <f t="shared" si="31"/>
        <v>112873</v>
      </c>
      <c r="N66" s="33">
        <f t="shared" si="31"/>
        <v>1969047</v>
      </c>
      <c r="O66" s="33"/>
    </row>
    <row r="67" spans="2:15">
      <c r="E67" s="17"/>
      <c r="F67" s="17"/>
      <c r="G67" s="17"/>
      <c r="H67" s="17"/>
      <c r="I67" s="17"/>
      <c r="J67" s="17"/>
      <c r="K67" s="17"/>
      <c r="L67" s="18"/>
      <c r="M67" s="287"/>
      <c r="N67" s="278"/>
      <c r="O67" s="17"/>
    </row>
    <row r="68" spans="2:15">
      <c r="C68" s="2" t="s">
        <v>4</v>
      </c>
      <c r="E68" s="17"/>
      <c r="F68" s="17"/>
      <c r="G68" s="17"/>
      <c r="H68" s="17"/>
      <c r="I68" s="17"/>
      <c r="J68" s="17"/>
      <c r="K68" s="17"/>
      <c r="L68" s="18"/>
      <c r="M68" s="287"/>
      <c r="N68" s="278"/>
      <c r="O68" s="17"/>
    </row>
    <row r="69" spans="2:15">
      <c r="B69" s="2" t="s">
        <v>26</v>
      </c>
      <c r="C69" s="1">
        <v>580</v>
      </c>
      <c r="D69" s="1" t="s">
        <v>33</v>
      </c>
      <c r="E69" s="17">
        <f>'AN Electric'!L71</f>
        <v>681474</v>
      </c>
      <c r="F69" s="17"/>
      <c r="G69" s="17">
        <f t="shared" ref="G69:G87" si="32">F69+E69</f>
        <v>681474</v>
      </c>
      <c r="H69" s="17"/>
      <c r="I69" s="19">
        <f t="shared" ref="I69:I87" si="33">ROUND(IF($B69="a",G69*I$5,G69*I$6),0)</f>
        <v>3537</v>
      </c>
      <c r="J69" s="19">
        <f t="shared" ref="J69:J84" si="34">ROUND(IF($B69="a",(G69+I69)*J$5,(G69+I69)*J$6),0)</f>
        <v>20550</v>
      </c>
      <c r="K69" s="19">
        <f t="shared" si="2"/>
        <v>17505</v>
      </c>
      <c r="L69" s="41"/>
      <c r="M69" s="284">
        <f t="shared" ref="M69:M87" si="35">SUM(I69:K69)</f>
        <v>41592</v>
      </c>
      <c r="N69" s="275">
        <f t="shared" si="4"/>
        <v>723066</v>
      </c>
      <c r="O69" s="19"/>
    </row>
    <row r="70" spans="2:15">
      <c r="B70" s="2" t="s">
        <v>26</v>
      </c>
      <c r="C70" s="1">
        <v>581</v>
      </c>
      <c r="D70" s="1" t="s">
        <v>60</v>
      </c>
      <c r="E70" s="17">
        <f>'AN Electric'!L72</f>
        <v>0</v>
      </c>
      <c r="F70" s="17"/>
      <c r="G70" s="17">
        <f t="shared" si="32"/>
        <v>0</v>
      </c>
      <c r="H70" s="17"/>
      <c r="I70" s="19">
        <f t="shared" si="33"/>
        <v>0</v>
      </c>
      <c r="J70" s="19">
        <f t="shared" si="34"/>
        <v>0</v>
      </c>
      <c r="K70" s="19">
        <f t="shared" si="2"/>
        <v>0</v>
      </c>
      <c r="L70" s="41"/>
      <c r="M70" s="284">
        <f t="shared" si="35"/>
        <v>0</v>
      </c>
      <c r="N70" s="275">
        <f t="shared" si="4"/>
        <v>0</v>
      </c>
      <c r="O70" s="19"/>
    </row>
    <row r="71" spans="2:15">
      <c r="C71" s="1">
        <v>582</v>
      </c>
      <c r="D71" s="1" t="s">
        <v>61</v>
      </c>
      <c r="E71" s="17">
        <f>'AN Electric'!L73</f>
        <v>178146</v>
      </c>
      <c r="F71" s="17"/>
      <c r="G71" s="17">
        <f t="shared" si="32"/>
        <v>178146</v>
      </c>
      <c r="H71" s="17"/>
      <c r="I71" s="20">
        <f t="shared" si="33"/>
        <v>1272</v>
      </c>
      <c r="J71" s="20">
        <f t="shared" si="34"/>
        <v>5383</v>
      </c>
      <c r="K71" s="20">
        <f t="shared" si="2"/>
        <v>4101</v>
      </c>
      <c r="L71" s="40"/>
      <c r="M71" s="285">
        <f t="shared" si="35"/>
        <v>10756</v>
      </c>
      <c r="N71" s="276">
        <f t="shared" si="4"/>
        <v>188902</v>
      </c>
      <c r="O71" s="20"/>
    </row>
    <row r="72" spans="2:15">
      <c r="C72" s="1">
        <v>583</v>
      </c>
      <c r="D72" s="1" t="s">
        <v>62</v>
      </c>
      <c r="E72" s="17">
        <f>'AN Electric'!L74</f>
        <v>371449</v>
      </c>
      <c r="F72" s="17"/>
      <c r="G72" s="17">
        <f t="shared" si="32"/>
        <v>371449</v>
      </c>
      <c r="H72" s="17"/>
      <c r="I72" s="20">
        <f t="shared" si="33"/>
        <v>2652</v>
      </c>
      <c r="J72" s="20">
        <f t="shared" si="34"/>
        <v>11223</v>
      </c>
      <c r="K72" s="20">
        <f t="shared" si="2"/>
        <v>8552</v>
      </c>
      <c r="L72" s="40"/>
      <c r="M72" s="285">
        <f t="shared" si="35"/>
        <v>22427</v>
      </c>
      <c r="N72" s="276">
        <f t="shared" si="4"/>
        <v>393876</v>
      </c>
      <c r="O72" s="20"/>
    </row>
    <row r="73" spans="2:15">
      <c r="C73" s="1">
        <v>584</v>
      </c>
      <c r="D73" s="1">
        <f>D51</f>
        <v>0</v>
      </c>
      <c r="E73" s="17">
        <f>'AN Electric'!L75</f>
        <v>221283</v>
      </c>
      <c r="F73" s="17"/>
      <c r="G73" s="17">
        <f t="shared" si="32"/>
        <v>221283</v>
      </c>
      <c r="H73" s="17"/>
      <c r="I73" s="20">
        <f t="shared" si="33"/>
        <v>1580</v>
      </c>
      <c r="J73" s="20">
        <f t="shared" si="34"/>
        <v>6686</v>
      </c>
      <c r="K73" s="20">
        <f t="shared" si="2"/>
        <v>5095</v>
      </c>
      <c r="L73" s="40"/>
      <c r="M73" s="285">
        <f t="shared" si="35"/>
        <v>13361</v>
      </c>
      <c r="N73" s="276">
        <f t="shared" si="4"/>
        <v>234644</v>
      </c>
      <c r="O73" s="20"/>
    </row>
    <row r="74" spans="2:15">
      <c r="C74" s="1">
        <v>585</v>
      </c>
      <c r="D74" s="1" t="s">
        <v>69</v>
      </c>
      <c r="E74" s="17">
        <f>'AN Electric'!L76</f>
        <v>0</v>
      </c>
      <c r="F74" s="17"/>
      <c r="G74" s="17">
        <f t="shared" si="32"/>
        <v>0</v>
      </c>
      <c r="H74" s="17"/>
      <c r="I74" s="20">
        <f t="shared" si="33"/>
        <v>0</v>
      </c>
      <c r="J74" s="20">
        <f t="shared" si="34"/>
        <v>0</v>
      </c>
      <c r="K74" s="20">
        <f t="shared" ref="K74:K119" si="36">ROUND(IF($B74="a",(G74+I74+J74)*K$5,(G74+I74)*K$6),0)</f>
        <v>0</v>
      </c>
      <c r="L74" s="40"/>
      <c r="M74" s="285">
        <f t="shared" si="35"/>
        <v>0</v>
      </c>
      <c r="N74" s="276">
        <f t="shared" ref="N74:N122" si="37">G74+M74</f>
        <v>0</v>
      </c>
      <c r="O74" s="20"/>
    </row>
    <row r="75" spans="2:15">
      <c r="C75" s="1">
        <v>586</v>
      </c>
      <c r="D75" s="1" t="s">
        <v>70</v>
      </c>
      <c r="E75" s="17">
        <f>'AN Electric'!L77</f>
        <v>246613</v>
      </c>
      <c r="F75" s="17"/>
      <c r="G75" s="17">
        <f t="shared" si="32"/>
        <v>246613</v>
      </c>
      <c r="H75" s="17"/>
      <c r="I75" s="20">
        <f t="shared" si="33"/>
        <v>1761</v>
      </c>
      <c r="J75" s="20">
        <f t="shared" si="34"/>
        <v>7451</v>
      </c>
      <c r="K75" s="20">
        <f t="shared" si="36"/>
        <v>5678</v>
      </c>
      <c r="L75" s="40"/>
      <c r="M75" s="285">
        <f t="shared" si="35"/>
        <v>14890</v>
      </c>
      <c r="N75" s="276">
        <f t="shared" si="37"/>
        <v>261503</v>
      </c>
      <c r="O75" s="20"/>
    </row>
    <row r="76" spans="2:15">
      <c r="C76" s="1">
        <v>587</v>
      </c>
      <c r="D76" s="1" t="s">
        <v>71</v>
      </c>
      <c r="E76" s="17">
        <f>'AN Electric'!L78</f>
        <v>152208</v>
      </c>
      <c r="F76" s="17"/>
      <c r="G76" s="17">
        <f t="shared" si="32"/>
        <v>152208</v>
      </c>
      <c r="H76" s="17"/>
      <c r="I76" s="20">
        <f t="shared" si="33"/>
        <v>1087</v>
      </c>
      <c r="J76" s="20">
        <f t="shared" si="34"/>
        <v>4599</v>
      </c>
      <c r="K76" s="20">
        <f t="shared" si="36"/>
        <v>3504</v>
      </c>
      <c r="L76" s="40"/>
      <c r="M76" s="285">
        <f t="shared" si="35"/>
        <v>9190</v>
      </c>
      <c r="N76" s="276">
        <f t="shared" si="37"/>
        <v>161398</v>
      </c>
      <c r="O76" s="20"/>
    </row>
    <row r="77" spans="2:15">
      <c r="C77" s="1">
        <v>588</v>
      </c>
      <c r="D77" s="1" t="s">
        <v>72</v>
      </c>
      <c r="E77" s="17">
        <f>'AN Electric'!L79</f>
        <v>1459196</v>
      </c>
      <c r="F77" s="17"/>
      <c r="G77" s="17">
        <f t="shared" si="32"/>
        <v>1459196</v>
      </c>
      <c r="H77" s="17"/>
      <c r="I77" s="20">
        <f t="shared" si="33"/>
        <v>10419</v>
      </c>
      <c r="J77" s="20">
        <f t="shared" si="34"/>
        <v>44088</v>
      </c>
      <c r="K77" s="20">
        <f t="shared" si="36"/>
        <v>33595</v>
      </c>
      <c r="L77" s="40"/>
      <c r="M77" s="285">
        <f t="shared" si="35"/>
        <v>88102</v>
      </c>
      <c r="N77" s="276">
        <f t="shared" si="37"/>
        <v>1547298</v>
      </c>
      <c r="O77" s="20"/>
    </row>
    <row r="78" spans="2:15">
      <c r="C78" s="1">
        <v>589</v>
      </c>
      <c r="D78" s="1" t="s">
        <v>73</v>
      </c>
      <c r="E78" s="17">
        <f>'AN Electric'!L80</f>
        <v>9182</v>
      </c>
      <c r="F78" s="17"/>
      <c r="G78" s="17">
        <f t="shared" si="32"/>
        <v>9182</v>
      </c>
      <c r="H78" s="17"/>
      <c r="I78" s="20">
        <f t="shared" si="33"/>
        <v>66</v>
      </c>
      <c r="J78" s="20">
        <f t="shared" si="34"/>
        <v>277</v>
      </c>
      <c r="K78" s="20">
        <f t="shared" si="36"/>
        <v>211</v>
      </c>
      <c r="L78" s="40"/>
      <c r="M78" s="285">
        <f t="shared" si="35"/>
        <v>554</v>
      </c>
      <c r="N78" s="276">
        <f t="shared" si="37"/>
        <v>9736</v>
      </c>
      <c r="O78" s="20"/>
    </row>
    <row r="79" spans="2:15">
      <c r="B79" s="2" t="s">
        <v>26</v>
      </c>
      <c r="C79" s="1">
        <v>590</v>
      </c>
      <c r="D79" s="1" t="s">
        <v>33</v>
      </c>
      <c r="E79" s="17">
        <f>'AN Electric'!L81</f>
        <v>202298</v>
      </c>
      <c r="F79" s="17"/>
      <c r="G79" s="17">
        <f t="shared" si="32"/>
        <v>202298</v>
      </c>
      <c r="H79" s="17"/>
      <c r="I79" s="19">
        <f t="shared" si="33"/>
        <v>1050</v>
      </c>
      <c r="J79" s="19">
        <f t="shared" si="34"/>
        <v>6100</v>
      </c>
      <c r="K79" s="19">
        <f t="shared" si="36"/>
        <v>5196</v>
      </c>
      <c r="L79" s="41"/>
      <c r="M79" s="284">
        <f t="shared" si="35"/>
        <v>12346</v>
      </c>
      <c r="N79" s="275">
        <f t="shared" si="37"/>
        <v>214644</v>
      </c>
      <c r="O79" s="19"/>
    </row>
    <row r="80" spans="2:15">
      <c r="C80" s="1">
        <v>591</v>
      </c>
      <c r="D80" s="1" t="s">
        <v>38</v>
      </c>
      <c r="E80" s="17">
        <f>'AN Electric'!L82</f>
        <v>89254</v>
      </c>
      <c r="F80" s="17"/>
      <c r="G80" s="17">
        <f t="shared" si="32"/>
        <v>89254</v>
      </c>
      <c r="H80" s="17"/>
      <c r="I80" s="20">
        <f t="shared" si="33"/>
        <v>637</v>
      </c>
      <c r="J80" s="20">
        <f t="shared" si="34"/>
        <v>2697</v>
      </c>
      <c r="K80" s="20">
        <f t="shared" si="36"/>
        <v>2055</v>
      </c>
      <c r="L80" s="40"/>
      <c r="M80" s="285">
        <f t="shared" si="35"/>
        <v>5389</v>
      </c>
      <c r="N80" s="276">
        <f t="shared" si="37"/>
        <v>94643</v>
      </c>
      <c r="O80" s="20"/>
    </row>
    <row r="81" spans="2:15">
      <c r="C81" s="1">
        <v>592</v>
      </c>
      <c r="D81" s="1" t="s">
        <v>74</v>
      </c>
      <c r="E81" s="17">
        <f>'AN Electric'!L83</f>
        <v>139315</v>
      </c>
      <c r="F81" s="17"/>
      <c r="G81" s="17">
        <f t="shared" si="32"/>
        <v>139315</v>
      </c>
      <c r="H81" s="17"/>
      <c r="I81" s="20">
        <f t="shared" si="33"/>
        <v>995</v>
      </c>
      <c r="J81" s="20">
        <f t="shared" si="34"/>
        <v>4209</v>
      </c>
      <c r="K81" s="20">
        <f t="shared" si="36"/>
        <v>3207</v>
      </c>
      <c r="L81" s="40"/>
      <c r="M81" s="285">
        <f t="shared" si="35"/>
        <v>8411</v>
      </c>
      <c r="N81" s="276">
        <f t="shared" si="37"/>
        <v>147726</v>
      </c>
      <c r="O81" s="20"/>
    </row>
    <row r="82" spans="2:15">
      <c r="C82" s="1">
        <v>593</v>
      </c>
      <c r="D82" s="1" t="s">
        <v>66</v>
      </c>
      <c r="E82" s="17">
        <f>'AN Electric'!L84</f>
        <v>620038</v>
      </c>
      <c r="F82" s="17"/>
      <c r="G82" s="17">
        <f t="shared" si="32"/>
        <v>620038</v>
      </c>
      <c r="H82" s="17"/>
      <c r="I82" s="20">
        <f t="shared" si="33"/>
        <v>4427</v>
      </c>
      <c r="J82" s="20">
        <f t="shared" si="34"/>
        <v>18734</v>
      </c>
      <c r="K82" s="20">
        <f t="shared" si="36"/>
        <v>14275</v>
      </c>
      <c r="L82" s="40"/>
      <c r="M82" s="285">
        <f t="shared" si="35"/>
        <v>37436</v>
      </c>
      <c r="N82" s="276">
        <f t="shared" si="37"/>
        <v>657474</v>
      </c>
      <c r="O82" s="20"/>
    </row>
    <row r="83" spans="2:15">
      <c r="C83" s="1">
        <v>594</v>
      </c>
      <c r="D83" s="1" t="s">
        <v>75</v>
      </c>
      <c r="E83" s="17">
        <f>'AN Electric'!L85</f>
        <v>159433</v>
      </c>
      <c r="F83" s="17"/>
      <c r="G83" s="17">
        <f t="shared" si="32"/>
        <v>159433</v>
      </c>
      <c r="H83" s="17"/>
      <c r="I83" s="20">
        <f t="shared" si="33"/>
        <v>1138</v>
      </c>
      <c r="J83" s="20">
        <f t="shared" si="34"/>
        <v>4817</v>
      </c>
      <c r="K83" s="20">
        <f t="shared" si="36"/>
        <v>3671</v>
      </c>
      <c r="L83" s="40"/>
      <c r="M83" s="285">
        <f t="shared" si="35"/>
        <v>9626</v>
      </c>
      <c r="N83" s="276">
        <f t="shared" si="37"/>
        <v>169059</v>
      </c>
      <c r="O83" s="20"/>
    </row>
    <row r="84" spans="2:15">
      <c r="C84" s="1">
        <v>595</v>
      </c>
      <c r="D84" s="1" t="s">
        <v>76</v>
      </c>
      <c r="E84" s="17">
        <f>'AN Electric'!L86</f>
        <v>54685</v>
      </c>
      <c r="F84" s="17"/>
      <c r="G84" s="17">
        <f t="shared" si="32"/>
        <v>54685</v>
      </c>
      <c r="H84" s="17"/>
      <c r="I84" s="20">
        <f t="shared" si="33"/>
        <v>390</v>
      </c>
      <c r="J84" s="20">
        <f t="shared" si="34"/>
        <v>1652</v>
      </c>
      <c r="K84" s="20">
        <f t="shared" si="36"/>
        <v>1259</v>
      </c>
      <c r="L84" s="40"/>
      <c r="M84" s="285">
        <f t="shared" si="35"/>
        <v>3301</v>
      </c>
      <c r="N84" s="276">
        <f t="shared" si="37"/>
        <v>57986</v>
      </c>
      <c r="O84" s="20"/>
    </row>
    <row r="85" spans="2:15">
      <c r="C85" s="1">
        <v>596</v>
      </c>
      <c r="D85" s="1" t="s">
        <v>77</v>
      </c>
      <c r="E85" s="17">
        <f>'AN Electric'!L87</f>
        <v>13729</v>
      </c>
      <c r="F85" s="17"/>
      <c r="G85" s="17">
        <f t="shared" si="32"/>
        <v>13729</v>
      </c>
      <c r="H85" s="17"/>
      <c r="I85" s="20">
        <f t="shared" si="33"/>
        <v>98</v>
      </c>
      <c r="J85" s="20">
        <f t="shared" ref="J85:J87" si="38">ROUND(IF($B85="a",(G85+I85)*J$5,(G85+I85)*J$6),0)</f>
        <v>415</v>
      </c>
      <c r="K85" s="20">
        <f t="shared" si="36"/>
        <v>316</v>
      </c>
      <c r="L85" s="40"/>
      <c r="M85" s="285">
        <f t="shared" si="35"/>
        <v>829</v>
      </c>
      <c r="N85" s="276">
        <f t="shared" si="37"/>
        <v>14558</v>
      </c>
      <c r="O85" s="20"/>
    </row>
    <row r="86" spans="2:15">
      <c r="C86" s="1">
        <v>597</v>
      </c>
      <c r="D86" s="1" t="s">
        <v>78</v>
      </c>
      <c r="E86" s="17">
        <f>'AN Electric'!L88</f>
        <v>3475</v>
      </c>
      <c r="F86" s="17"/>
      <c r="G86" s="17">
        <f t="shared" si="32"/>
        <v>3475</v>
      </c>
      <c r="H86" s="17"/>
      <c r="I86" s="20">
        <f t="shared" si="33"/>
        <v>25</v>
      </c>
      <c r="J86" s="20">
        <f t="shared" si="38"/>
        <v>105</v>
      </c>
      <c r="K86" s="20">
        <f t="shared" si="36"/>
        <v>80</v>
      </c>
      <c r="L86" s="40"/>
      <c r="M86" s="285">
        <f t="shared" si="35"/>
        <v>210</v>
      </c>
      <c r="N86" s="276">
        <f t="shared" si="37"/>
        <v>3685</v>
      </c>
      <c r="O86" s="20"/>
    </row>
    <row r="87" spans="2:15">
      <c r="C87" s="1">
        <v>598</v>
      </c>
      <c r="D87" s="1" t="s">
        <v>72</v>
      </c>
      <c r="E87" s="17">
        <f>'AN Electric'!L89</f>
        <v>43520</v>
      </c>
      <c r="F87" s="17"/>
      <c r="G87" s="17">
        <f t="shared" si="32"/>
        <v>43520</v>
      </c>
      <c r="H87" s="17"/>
      <c r="I87" s="20">
        <f t="shared" si="33"/>
        <v>311</v>
      </c>
      <c r="J87" s="20">
        <f t="shared" si="38"/>
        <v>1315</v>
      </c>
      <c r="K87" s="20">
        <f t="shared" si="36"/>
        <v>1002</v>
      </c>
      <c r="L87" s="40"/>
      <c r="M87" s="285">
        <f t="shared" si="35"/>
        <v>2628</v>
      </c>
      <c r="N87" s="276">
        <f t="shared" si="37"/>
        <v>46148</v>
      </c>
      <c r="O87" s="20"/>
    </row>
    <row r="88" spans="2:15">
      <c r="C88" s="2" t="s">
        <v>5</v>
      </c>
      <c r="E88" s="33">
        <f t="shared" ref="E88:G88" si="39">SUM(E69:E87)</f>
        <v>4645298</v>
      </c>
      <c r="F88" s="33"/>
      <c r="G88" s="33">
        <f t="shared" si="39"/>
        <v>4645298</v>
      </c>
      <c r="H88" s="33"/>
      <c r="I88" s="33">
        <f t="shared" ref="I88:O88" si="40">SUM(I69:I87)</f>
        <v>31445</v>
      </c>
      <c r="J88" s="33">
        <f t="shared" si="40"/>
        <v>140301</v>
      </c>
      <c r="K88" s="33">
        <f t="shared" si="40"/>
        <v>109302</v>
      </c>
      <c r="L88" s="33"/>
      <c r="M88" s="286">
        <f t="shared" si="40"/>
        <v>281048</v>
      </c>
      <c r="N88" s="33">
        <f t="shared" si="40"/>
        <v>4926346</v>
      </c>
      <c r="O88" s="33">
        <f t="shared" si="40"/>
        <v>0</v>
      </c>
    </row>
    <row r="89" spans="2:15">
      <c r="E89" s="17"/>
      <c r="F89" s="17"/>
      <c r="G89" s="17"/>
      <c r="H89" s="17"/>
      <c r="I89" s="17"/>
      <c r="J89" s="17"/>
      <c r="K89" s="17"/>
      <c r="L89" s="18"/>
      <c r="M89" s="287"/>
      <c r="N89" s="278"/>
      <c r="O89" s="17"/>
    </row>
    <row r="90" spans="2:15">
      <c r="C90" s="2" t="s">
        <v>6</v>
      </c>
      <c r="E90" s="17"/>
      <c r="F90" s="17"/>
      <c r="G90" s="17"/>
      <c r="H90" s="17"/>
      <c r="I90" s="17"/>
      <c r="J90" s="17"/>
      <c r="K90" s="17"/>
      <c r="L90" s="18"/>
      <c r="M90" s="287"/>
      <c r="N90" s="278"/>
      <c r="O90" s="17"/>
    </row>
    <row r="91" spans="2:15">
      <c r="B91" s="2" t="s">
        <v>26</v>
      </c>
      <c r="C91" s="1">
        <v>901</v>
      </c>
      <c r="D91" s="1" t="s">
        <v>79</v>
      </c>
      <c r="E91" s="17">
        <f>'AN Electric'!L93</f>
        <v>38257</v>
      </c>
      <c r="F91" s="17"/>
      <c r="G91" s="17">
        <f>F91+E91</f>
        <v>38257</v>
      </c>
      <c r="H91" s="17"/>
      <c r="I91" s="19">
        <f>ROUND(IF($B91="a",G91*I$5,G91*I$6),0)</f>
        <v>199</v>
      </c>
      <c r="J91" s="19">
        <f t="shared" ref="J91:J94" si="41">ROUND(IF($B91="a",(G91+I91)*J$5,(G91+I91)*J$6),0)</f>
        <v>1154</v>
      </c>
      <c r="K91" s="19">
        <f t="shared" si="36"/>
        <v>983</v>
      </c>
      <c r="L91" s="41"/>
      <c r="M91" s="284">
        <f t="shared" ref="M91:M94" si="42">SUM(I91:K91)</f>
        <v>2336</v>
      </c>
      <c r="N91" s="275">
        <f t="shared" si="37"/>
        <v>40593</v>
      </c>
      <c r="O91" s="19"/>
    </row>
    <row r="92" spans="2:15">
      <c r="C92" s="1">
        <v>902</v>
      </c>
      <c r="D92" s="1" t="s">
        <v>80</v>
      </c>
      <c r="E92" s="17">
        <f>'AN Electric'!L94</f>
        <v>107989</v>
      </c>
      <c r="F92" s="17"/>
      <c r="G92" s="17">
        <f>F92+E92</f>
        <v>107989</v>
      </c>
      <c r="H92" s="17"/>
      <c r="I92" s="20">
        <f>ROUND(IF($B92="a",G92*I$5,G92*I$6),0)</f>
        <v>771</v>
      </c>
      <c r="J92" s="20">
        <f t="shared" si="41"/>
        <v>3263</v>
      </c>
      <c r="K92" s="20">
        <f t="shared" si="36"/>
        <v>2486</v>
      </c>
      <c r="L92" s="40"/>
      <c r="M92" s="285">
        <f t="shared" si="42"/>
        <v>6520</v>
      </c>
      <c r="N92" s="276">
        <f t="shared" si="37"/>
        <v>114509</v>
      </c>
      <c r="O92" s="20"/>
    </row>
    <row r="93" spans="2:15">
      <c r="B93" s="2" t="s">
        <v>26</v>
      </c>
      <c r="C93" s="1">
        <v>903</v>
      </c>
      <c r="D93" s="1" t="s">
        <v>81</v>
      </c>
      <c r="E93" s="17">
        <f>'AN Electric'!L95</f>
        <v>1587717</v>
      </c>
      <c r="F93" s="17"/>
      <c r="G93" s="17">
        <f>F93+E93</f>
        <v>1587717</v>
      </c>
      <c r="H93" s="17"/>
      <c r="I93" s="19">
        <f>ROUND(IF($B93="a",G93*I$5,G93*I$6),0)</f>
        <v>8240</v>
      </c>
      <c r="J93" s="19">
        <f t="shared" si="41"/>
        <v>47879</v>
      </c>
      <c r="K93" s="19">
        <f t="shared" si="36"/>
        <v>40784</v>
      </c>
      <c r="L93" s="41"/>
      <c r="M93" s="284">
        <f t="shared" si="42"/>
        <v>96903</v>
      </c>
      <c r="N93" s="275">
        <f t="shared" si="37"/>
        <v>1684620</v>
      </c>
      <c r="O93" s="19"/>
    </row>
    <row r="94" spans="2:15">
      <c r="B94" s="2" t="s">
        <v>26</v>
      </c>
      <c r="C94" s="1">
        <v>905</v>
      </c>
      <c r="D94" s="1" t="s">
        <v>82</v>
      </c>
      <c r="E94" s="17">
        <f>'AN Electric'!L96</f>
        <v>47689</v>
      </c>
      <c r="F94" s="17"/>
      <c r="G94" s="17">
        <f>F94+E94</f>
        <v>47689</v>
      </c>
      <c r="H94" s="17"/>
      <c r="I94" s="19">
        <f>ROUND(IF($B94="a",G94*I$5,G94*I$6),0)</f>
        <v>248</v>
      </c>
      <c r="J94" s="19">
        <f t="shared" si="41"/>
        <v>1438</v>
      </c>
      <c r="K94" s="19">
        <f t="shared" si="36"/>
        <v>1225</v>
      </c>
      <c r="L94" s="41"/>
      <c r="M94" s="284">
        <f t="shared" si="42"/>
        <v>2911</v>
      </c>
      <c r="N94" s="275">
        <f t="shared" si="37"/>
        <v>50600</v>
      </c>
      <c r="O94" s="19"/>
    </row>
    <row r="95" spans="2:15">
      <c r="C95" s="2" t="s">
        <v>7</v>
      </c>
      <c r="E95" s="33">
        <f t="shared" ref="E95:G95" si="43">SUM(E91:E94)</f>
        <v>1781652</v>
      </c>
      <c r="F95" s="33"/>
      <c r="G95" s="33">
        <f t="shared" si="43"/>
        <v>1781652</v>
      </c>
      <c r="H95" s="33"/>
      <c r="I95" s="33">
        <f t="shared" ref="I95:N95" si="44">SUM(I91:I94)</f>
        <v>9458</v>
      </c>
      <c r="J95" s="33">
        <f t="shared" si="44"/>
        <v>53734</v>
      </c>
      <c r="K95" s="33">
        <f t="shared" si="44"/>
        <v>45478</v>
      </c>
      <c r="L95" s="33"/>
      <c r="M95" s="286">
        <f t="shared" si="44"/>
        <v>108670</v>
      </c>
      <c r="N95" s="33">
        <f t="shared" si="44"/>
        <v>1890322</v>
      </c>
      <c r="O95" s="33"/>
    </row>
    <row r="96" spans="2:15">
      <c r="E96" s="17"/>
      <c r="F96" s="17"/>
      <c r="G96" s="17"/>
      <c r="H96" s="17"/>
      <c r="I96" s="17"/>
      <c r="J96" s="17"/>
      <c r="K96" s="17"/>
      <c r="L96" s="18"/>
      <c r="M96" s="287"/>
      <c r="N96" s="278"/>
      <c r="O96" s="17"/>
    </row>
    <row r="97" spans="2:15">
      <c r="C97" s="2" t="s">
        <v>8</v>
      </c>
      <c r="E97" s="17"/>
      <c r="F97" s="17"/>
      <c r="G97" s="17"/>
      <c r="H97" s="17"/>
      <c r="I97" s="17"/>
      <c r="J97" s="17"/>
      <c r="K97" s="17"/>
      <c r="L97" s="18"/>
      <c r="M97" s="287"/>
      <c r="N97" s="278"/>
      <c r="O97" s="17"/>
    </row>
    <row r="98" spans="2:15">
      <c r="B98" s="2" t="s">
        <v>26</v>
      </c>
      <c r="C98" s="1">
        <v>908</v>
      </c>
      <c r="D98" s="1" t="s">
        <v>83</v>
      </c>
      <c r="E98" s="17">
        <f>'AN Electric'!L100</f>
        <v>95249</v>
      </c>
      <c r="F98" s="17"/>
      <c r="G98" s="17">
        <f>F98+E98</f>
        <v>95249</v>
      </c>
      <c r="H98" s="17"/>
      <c r="I98" s="19">
        <f>ROUND(IF($B98="a",G98*I$5,G98*I$6),0)</f>
        <v>494</v>
      </c>
      <c r="J98" s="19">
        <f t="shared" ref="J98:J100" si="45">ROUND(IF($B98="a",(G98+I98)*J$5,(G98+I98)*J$6),0)</f>
        <v>2872</v>
      </c>
      <c r="K98" s="19">
        <f t="shared" si="36"/>
        <v>2447</v>
      </c>
      <c r="L98" s="41"/>
      <c r="M98" s="284">
        <f t="shared" ref="M98:M100" si="46">SUM(I98:K98)</f>
        <v>5813</v>
      </c>
      <c r="N98" s="275">
        <f t="shared" si="37"/>
        <v>101062</v>
      </c>
      <c r="O98" s="19"/>
    </row>
    <row r="99" spans="2:15">
      <c r="B99" s="2" t="s">
        <v>26</v>
      </c>
      <c r="C99" s="1">
        <v>909</v>
      </c>
      <c r="D99" s="1" t="s">
        <v>84</v>
      </c>
      <c r="E99" s="17">
        <f>'AN Electric'!L101</f>
        <v>70809</v>
      </c>
      <c r="F99" s="17"/>
      <c r="G99" s="17">
        <f>F99+E99</f>
        <v>70809</v>
      </c>
      <c r="H99" s="17"/>
      <c r="I99" s="19">
        <f>ROUND(IF($B99="a",G99*I$5,G99*I$6),0)</f>
        <v>367</v>
      </c>
      <c r="J99" s="19">
        <f t="shared" si="45"/>
        <v>2135</v>
      </c>
      <c r="K99" s="19">
        <f t="shared" si="36"/>
        <v>1819</v>
      </c>
      <c r="L99" s="41"/>
      <c r="M99" s="284">
        <f t="shared" si="46"/>
        <v>4321</v>
      </c>
      <c r="N99" s="275">
        <f t="shared" si="37"/>
        <v>75130</v>
      </c>
      <c r="O99" s="19"/>
    </row>
    <row r="100" spans="2:15">
      <c r="B100" s="2" t="s">
        <v>26</v>
      </c>
      <c r="C100" s="1">
        <v>910</v>
      </c>
      <c r="D100" s="1" t="s">
        <v>85</v>
      </c>
      <c r="E100" s="17">
        <f>'AN Electric'!L102</f>
        <v>19107</v>
      </c>
      <c r="F100" s="17"/>
      <c r="G100" s="17">
        <f>F100+E100</f>
        <v>19107</v>
      </c>
      <c r="H100" s="17"/>
      <c r="I100" s="19">
        <f>ROUND(IF($B100="a",G100*I$5,G100*I$6),0)</f>
        <v>99</v>
      </c>
      <c r="J100" s="19">
        <f t="shared" si="45"/>
        <v>576</v>
      </c>
      <c r="K100" s="19">
        <f t="shared" si="36"/>
        <v>491</v>
      </c>
      <c r="L100" s="41"/>
      <c r="M100" s="284">
        <f t="shared" si="46"/>
        <v>1166</v>
      </c>
      <c r="N100" s="275">
        <f t="shared" si="37"/>
        <v>20273</v>
      </c>
      <c r="O100" s="19"/>
    </row>
    <row r="101" spans="2:15">
      <c r="C101" s="2" t="s">
        <v>9</v>
      </c>
      <c r="E101" s="33">
        <f>SUM(E98:E100)</f>
        <v>185165</v>
      </c>
      <c r="F101" s="33"/>
      <c r="G101" s="33">
        <f>SUM(G98:G100)</f>
        <v>185165</v>
      </c>
      <c r="H101" s="33"/>
      <c r="I101" s="33">
        <f>SUM(I98:I100)</f>
        <v>960</v>
      </c>
      <c r="J101" s="33">
        <f t="shared" ref="J101:N101" si="47">SUM(J98:J100)</f>
        <v>5583</v>
      </c>
      <c r="K101" s="33">
        <f t="shared" si="47"/>
        <v>4757</v>
      </c>
      <c r="L101" s="33"/>
      <c r="M101" s="286">
        <f t="shared" si="47"/>
        <v>11300</v>
      </c>
      <c r="N101" s="33">
        <f t="shared" si="47"/>
        <v>196465</v>
      </c>
      <c r="O101" s="33"/>
    </row>
    <row r="102" spans="2:15">
      <c r="E102" s="17"/>
      <c r="F102" s="17"/>
      <c r="G102" s="17"/>
      <c r="H102" s="17"/>
      <c r="I102" s="17"/>
      <c r="J102" s="17"/>
      <c r="K102" s="17"/>
      <c r="L102" s="18"/>
      <c r="M102" s="287">
        <f t="shared" ref="M102:M108" si="48">SUM(I102:J102)</f>
        <v>0</v>
      </c>
      <c r="N102" s="278">
        <f t="shared" si="37"/>
        <v>0</v>
      </c>
      <c r="O102" s="17"/>
    </row>
    <row r="103" spans="2:15">
      <c r="C103" s="2" t="s">
        <v>10</v>
      </c>
      <c r="E103" s="17"/>
      <c r="F103" s="17"/>
      <c r="G103" s="17"/>
      <c r="H103" s="17"/>
      <c r="I103" s="17"/>
      <c r="J103" s="17"/>
      <c r="K103" s="17"/>
      <c r="L103" s="18"/>
      <c r="M103" s="287">
        <f t="shared" si="48"/>
        <v>0</v>
      </c>
      <c r="N103" s="278">
        <f t="shared" si="37"/>
        <v>0</v>
      </c>
      <c r="O103" s="17"/>
    </row>
    <row r="104" spans="2:15">
      <c r="B104" s="2" t="s">
        <v>26</v>
      </c>
      <c r="C104" s="2">
        <v>911</v>
      </c>
      <c r="D104" s="2" t="s">
        <v>79</v>
      </c>
      <c r="E104" s="17">
        <f>'AN Electric'!L106</f>
        <v>0</v>
      </c>
      <c r="F104" s="17"/>
      <c r="G104" s="17">
        <f>F104+E104</f>
        <v>0</v>
      </c>
      <c r="H104" s="17"/>
      <c r="I104" s="19">
        <f>ROUND(IF($B104="a",G104*I$5,G104*I$6),0)</f>
        <v>0</v>
      </c>
      <c r="J104" s="19">
        <f t="shared" ref="J104:J107" si="49">ROUND(IF($B104="a",(G104+I104)*J$5,(G104+I104)*J$6),0)</f>
        <v>0</v>
      </c>
      <c r="K104" s="19">
        <f t="shared" si="36"/>
        <v>0</v>
      </c>
      <c r="L104" s="41"/>
      <c r="M104" s="284">
        <f t="shared" ref="M104:M107" si="50">SUM(I104:K104)</f>
        <v>0</v>
      </c>
      <c r="N104" s="275">
        <f t="shared" si="37"/>
        <v>0</v>
      </c>
      <c r="O104" s="19"/>
    </row>
    <row r="105" spans="2:15">
      <c r="B105" s="2" t="s">
        <v>26</v>
      </c>
      <c r="C105" s="1">
        <v>912</v>
      </c>
      <c r="D105" s="1" t="s">
        <v>86</v>
      </c>
      <c r="E105" s="17">
        <f>'AN Electric'!L107</f>
        <v>0</v>
      </c>
      <c r="F105" s="17"/>
      <c r="G105" s="17">
        <f>F105+E105</f>
        <v>0</v>
      </c>
      <c r="H105" s="17"/>
      <c r="I105" s="19">
        <f>ROUND(IF($B105="a",G105*I$5,G105*I$6),0)</f>
        <v>0</v>
      </c>
      <c r="J105" s="19">
        <f t="shared" si="49"/>
        <v>0</v>
      </c>
      <c r="K105" s="19">
        <f t="shared" si="36"/>
        <v>0</v>
      </c>
      <c r="L105" s="41"/>
      <c r="M105" s="284">
        <f t="shared" si="50"/>
        <v>0</v>
      </c>
      <c r="N105" s="275">
        <f t="shared" si="37"/>
        <v>0</v>
      </c>
      <c r="O105" s="19"/>
    </row>
    <row r="106" spans="2:15">
      <c r="B106" s="2" t="s">
        <v>26</v>
      </c>
      <c r="C106" s="1">
        <v>913</v>
      </c>
      <c r="D106" s="1" t="s">
        <v>84</v>
      </c>
      <c r="E106" s="17">
        <f>'AN Electric'!L108</f>
        <v>0</v>
      </c>
      <c r="F106" s="17"/>
      <c r="G106" s="17">
        <f>F106+E106</f>
        <v>0</v>
      </c>
      <c r="H106" s="17"/>
      <c r="I106" s="19">
        <f>ROUND(IF($B106="a",G106*I$5,G106*I$6),0)</f>
        <v>0</v>
      </c>
      <c r="J106" s="19">
        <f t="shared" si="49"/>
        <v>0</v>
      </c>
      <c r="K106" s="19">
        <f t="shared" si="36"/>
        <v>0</v>
      </c>
      <c r="L106" s="41"/>
      <c r="M106" s="284">
        <f t="shared" si="50"/>
        <v>0</v>
      </c>
      <c r="N106" s="275">
        <f t="shared" si="37"/>
        <v>0</v>
      </c>
      <c r="O106" s="19"/>
    </row>
    <row r="107" spans="2:15">
      <c r="B107" s="2" t="s">
        <v>26</v>
      </c>
      <c r="C107" s="1">
        <v>916</v>
      </c>
      <c r="D107" s="1" t="s">
        <v>87</v>
      </c>
      <c r="E107" s="17">
        <f>'AN Electric'!L109</f>
        <v>0</v>
      </c>
      <c r="F107" s="17"/>
      <c r="G107" s="17">
        <f>F107+E107</f>
        <v>0</v>
      </c>
      <c r="H107" s="17"/>
      <c r="I107" s="19">
        <f>ROUND(IF($B107="a",G107*I$5,G107*I$6),0)</f>
        <v>0</v>
      </c>
      <c r="J107" s="19">
        <f t="shared" si="49"/>
        <v>0</v>
      </c>
      <c r="K107" s="19">
        <f t="shared" si="36"/>
        <v>0</v>
      </c>
      <c r="L107" s="41"/>
      <c r="M107" s="284">
        <f t="shared" si="50"/>
        <v>0</v>
      </c>
      <c r="N107" s="275">
        <f t="shared" si="37"/>
        <v>0</v>
      </c>
      <c r="O107" s="19"/>
    </row>
    <row r="108" spans="2:15">
      <c r="C108" s="2" t="s">
        <v>11</v>
      </c>
      <c r="E108" s="33">
        <f t="shared" ref="E108:G108" si="51">SUM(E104:E107)</f>
        <v>0</v>
      </c>
      <c r="F108" s="33"/>
      <c r="G108" s="33">
        <f t="shared" si="51"/>
        <v>0</v>
      </c>
      <c r="H108" s="33"/>
      <c r="I108" s="33">
        <f t="shared" ref="I108:J108" si="52">SUM(I104:I107)</f>
        <v>0</v>
      </c>
      <c r="J108" s="33">
        <f t="shared" si="52"/>
        <v>0</v>
      </c>
      <c r="K108" s="33">
        <f t="shared" si="36"/>
        <v>0</v>
      </c>
      <c r="L108" s="18"/>
      <c r="M108" s="286">
        <f t="shared" si="48"/>
        <v>0</v>
      </c>
      <c r="N108" s="277">
        <f t="shared" si="37"/>
        <v>0</v>
      </c>
      <c r="O108" s="33"/>
    </row>
    <row r="109" spans="2:15">
      <c r="E109" s="17"/>
      <c r="F109" s="17"/>
      <c r="G109" s="17"/>
      <c r="H109" s="17"/>
      <c r="I109" s="17"/>
      <c r="J109" s="17"/>
      <c r="K109" s="17"/>
      <c r="L109" s="18"/>
      <c r="M109" s="287"/>
      <c r="N109" s="278"/>
      <c r="O109" s="17"/>
    </row>
    <row r="110" spans="2:15">
      <c r="C110" s="2" t="s">
        <v>12</v>
      </c>
      <c r="E110" s="17"/>
      <c r="F110" s="17"/>
      <c r="G110" s="17"/>
      <c r="H110" s="17"/>
      <c r="I110" s="17"/>
      <c r="J110" s="17"/>
      <c r="K110" s="17"/>
      <c r="L110" s="18"/>
      <c r="M110" s="287"/>
      <c r="N110" s="278"/>
      <c r="O110" s="17"/>
    </row>
    <row r="111" spans="2:15">
      <c r="B111" s="2" t="s">
        <v>26</v>
      </c>
      <c r="C111" s="1">
        <v>920</v>
      </c>
      <c r="D111" s="1" t="s">
        <v>88</v>
      </c>
      <c r="E111" s="17">
        <f>'AN Electric'!L113</f>
        <v>5508596</v>
      </c>
      <c r="F111" s="17"/>
      <c r="G111" s="17">
        <f t="shared" ref="G111:G119" si="53">F111+E111</f>
        <v>5508596</v>
      </c>
      <c r="H111" s="17"/>
      <c r="I111" s="19">
        <f t="shared" ref="I111:I119" si="54">ROUND(IF($B111="a",G111*I$5,G111*I$6),0)</f>
        <v>28590</v>
      </c>
      <c r="J111" s="19">
        <f>ROUND(IF($B111="a",(G111+I111)*J$5,(G111+I111)*J$6),0)</f>
        <v>166116</v>
      </c>
      <c r="K111" s="19">
        <f t="shared" si="36"/>
        <v>141499</v>
      </c>
      <c r="L111" s="41"/>
      <c r="M111" s="284">
        <f t="shared" ref="M111:M119" si="55">SUM(I111:K111)</f>
        <v>336205</v>
      </c>
      <c r="N111" s="275">
        <f t="shared" si="37"/>
        <v>5844801</v>
      </c>
      <c r="O111" s="19"/>
    </row>
    <row r="112" spans="2:15">
      <c r="B112" s="2" t="s">
        <v>26</v>
      </c>
      <c r="C112" s="1">
        <v>921</v>
      </c>
      <c r="D112" s="1" t="s">
        <v>89</v>
      </c>
      <c r="E112" s="17">
        <f>'AN Electric'!L114</f>
        <v>113909</v>
      </c>
      <c r="F112" s="17"/>
      <c r="G112" s="17">
        <f t="shared" si="53"/>
        <v>113909</v>
      </c>
      <c r="H112" s="17"/>
      <c r="I112" s="19">
        <f t="shared" si="54"/>
        <v>591</v>
      </c>
      <c r="J112" s="19">
        <f t="shared" ref="J112:J119" si="56">ROUND(IF($B112="a",(G112+I112)*J$5,(G112+I112)*J$6),0)</f>
        <v>3435</v>
      </c>
      <c r="K112" s="19">
        <f t="shared" si="36"/>
        <v>2926</v>
      </c>
      <c r="L112" s="41"/>
      <c r="M112" s="284">
        <f t="shared" si="55"/>
        <v>6952</v>
      </c>
      <c r="N112" s="275">
        <f t="shared" si="37"/>
        <v>120861</v>
      </c>
      <c r="O112" s="19"/>
    </row>
    <row r="113" spans="2:15">
      <c r="B113" s="2" t="s">
        <v>26</v>
      </c>
      <c r="C113" s="1">
        <v>923</v>
      </c>
      <c r="D113" s="1" t="s">
        <v>90</v>
      </c>
      <c r="E113" s="17">
        <f>'AN Electric'!L115</f>
        <v>8461</v>
      </c>
      <c r="F113" s="17"/>
      <c r="G113" s="17">
        <f t="shared" si="53"/>
        <v>8461</v>
      </c>
      <c r="H113" s="17"/>
      <c r="I113" s="19">
        <f t="shared" si="54"/>
        <v>44</v>
      </c>
      <c r="J113" s="19">
        <f t="shared" si="56"/>
        <v>255</v>
      </c>
      <c r="K113" s="19">
        <f t="shared" si="36"/>
        <v>217</v>
      </c>
      <c r="L113" s="41"/>
      <c r="M113" s="284">
        <f t="shared" si="55"/>
        <v>516</v>
      </c>
      <c r="N113" s="275">
        <f t="shared" si="37"/>
        <v>8977</v>
      </c>
      <c r="O113" s="19"/>
    </row>
    <row r="114" spans="2:15">
      <c r="B114" s="2" t="s">
        <v>26</v>
      </c>
      <c r="C114" s="1">
        <v>925</v>
      </c>
      <c r="D114" s="1" t="s">
        <v>91</v>
      </c>
      <c r="E114" s="17">
        <f>'AN Electric'!L116</f>
        <v>0</v>
      </c>
      <c r="F114" s="17"/>
      <c r="G114" s="17">
        <f t="shared" si="53"/>
        <v>0</v>
      </c>
      <c r="H114" s="17"/>
      <c r="I114" s="19">
        <f t="shared" si="54"/>
        <v>0</v>
      </c>
      <c r="J114" s="19">
        <f t="shared" si="56"/>
        <v>0</v>
      </c>
      <c r="K114" s="19">
        <f t="shared" si="36"/>
        <v>0</v>
      </c>
      <c r="L114" s="41"/>
      <c r="M114" s="284">
        <f t="shared" si="55"/>
        <v>0</v>
      </c>
      <c r="N114" s="275">
        <f t="shared" si="37"/>
        <v>0</v>
      </c>
      <c r="O114" s="19"/>
    </row>
    <row r="115" spans="2:15">
      <c r="B115" s="2" t="s">
        <v>26</v>
      </c>
      <c r="C115" s="1">
        <v>926</v>
      </c>
      <c r="D115" s="1" t="s">
        <v>92</v>
      </c>
      <c r="E115" s="17">
        <f>'AN Electric'!L117</f>
        <v>126149</v>
      </c>
      <c r="F115" s="17"/>
      <c r="G115" s="17">
        <f t="shared" si="53"/>
        <v>126149</v>
      </c>
      <c r="H115" s="17"/>
      <c r="I115" s="19">
        <f t="shared" si="54"/>
        <v>655</v>
      </c>
      <c r="J115" s="19">
        <f t="shared" si="56"/>
        <v>3804</v>
      </c>
      <c r="K115" s="19">
        <f t="shared" si="36"/>
        <v>3240</v>
      </c>
      <c r="L115" s="41"/>
      <c r="M115" s="284">
        <f t="shared" si="55"/>
        <v>7699</v>
      </c>
      <c r="N115" s="275">
        <f t="shared" si="37"/>
        <v>133848</v>
      </c>
      <c r="O115" s="19"/>
    </row>
    <row r="116" spans="2:15">
      <c r="B116" s="2" t="s">
        <v>26</v>
      </c>
      <c r="C116" s="1">
        <v>927</v>
      </c>
      <c r="D116" s="1" t="s">
        <v>93</v>
      </c>
      <c r="E116" s="17">
        <f>'AN Electric'!L118</f>
        <v>0</v>
      </c>
      <c r="F116" s="17"/>
      <c r="G116" s="17">
        <f t="shared" si="53"/>
        <v>0</v>
      </c>
      <c r="H116" s="17"/>
      <c r="I116" s="19">
        <f t="shared" si="54"/>
        <v>0</v>
      </c>
      <c r="J116" s="19">
        <f t="shared" si="56"/>
        <v>0</v>
      </c>
      <c r="K116" s="19">
        <f t="shared" si="36"/>
        <v>0</v>
      </c>
      <c r="L116" s="41"/>
      <c r="M116" s="284">
        <f t="shared" si="55"/>
        <v>0</v>
      </c>
      <c r="N116" s="275">
        <f t="shared" si="37"/>
        <v>0</v>
      </c>
      <c r="O116" s="19"/>
    </row>
    <row r="117" spans="2:15">
      <c r="B117" s="2" t="s">
        <v>26</v>
      </c>
      <c r="C117" s="1">
        <v>928</v>
      </c>
      <c r="D117" s="1" t="s">
        <v>94</v>
      </c>
      <c r="E117" s="17">
        <f>'AN Electric'!L119</f>
        <v>291360</v>
      </c>
      <c r="F117" s="17"/>
      <c r="G117" s="17">
        <f t="shared" si="53"/>
        <v>291360</v>
      </c>
      <c r="H117" s="17"/>
      <c r="I117" s="19">
        <f t="shared" si="54"/>
        <v>1512</v>
      </c>
      <c r="J117" s="19">
        <f t="shared" si="56"/>
        <v>8786</v>
      </c>
      <c r="K117" s="19">
        <f t="shared" si="36"/>
        <v>7484</v>
      </c>
      <c r="L117" s="41"/>
      <c r="M117" s="284">
        <f t="shared" si="55"/>
        <v>17782</v>
      </c>
      <c r="N117" s="275">
        <f t="shared" si="37"/>
        <v>309142</v>
      </c>
      <c r="O117" s="19"/>
    </row>
    <row r="118" spans="2:15">
      <c r="B118" s="2" t="s">
        <v>26</v>
      </c>
      <c r="C118" s="1">
        <v>930</v>
      </c>
      <c r="D118" s="1" t="s">
        <v>95</v>
      </c>
      <c r="E118" s="17">
        <f>'AN Electric'!L120</f>
        <v>89366</v>
      </c>
      <c r="F118" s="17"/>
      <c r="G118" s="17">
        <f t="shared" si="53"/>
        <v>89366</v>
      </c>
      <c r="H118" s="17"/>
      <c r="I118" s="19">
        <f t="shared" si="54"/>
        <v>464</v>
      </c>
      <c r="J118" s="19">
        <f t="shared" si="56"/>
        <v>2695</v>
      </c>
      <c r="K118" s="19">
        <f t="shared" si="36"/>
        <v>2296</v>
      </c>
      <c r="L118" s="41"/>
      <c r="M118" s="284">
        <f t="shared" si="55"/>
        <v>5455</v>
      </c>
      <c r="N118" s="275">
        <f t="shared" si="37"/>
        <v>94821</v>
      </c>
      <c r="O118" s="19"/>
    </row>
    <row r="119" spans="2:15">
      <c r="C119" s="1">
        <v>935</v>
      </c>
      <c r="D119" s="1" t="s">
        <v>96</v>
      </c>
      <c r="E119" s="17">
        <f>'AN Electric'!L121</f>
        <v>659730</v>
      </c>
      <c r="F119" s="17"/>
      <c r="G119" s="17">
        <f t="shared" si="53"/>
        <v>659730</v>
      </c>
      <c r="H119" s="17"/>
      <c r="I119" s="20">
        <f t="shared" si="54"/>
        <v>4710</v>
      </c>
      <c r="J119" s="20">
        <f t="shared" si="56"/>
        <v>19933</v>
      </c>
      <c r="K119" s="20">
        <f t="shared" si="36"/>
        <v>15189</v>
      </c>
      <c r="L119" s="40"/>
      <c r="M119" s="285">
        <f t="shared" si="55"/>
        <v>39832</v>
      </c>
      <c r="N119" s="276">
        <f t="shared" si="37"/>
        <v>699562</v>
      </c>
      <c r="O119" s="20"/>
    </row>
    <row r="120" spans="2:15">
      <c r="C120" s="2" t="s">
        <v>13</v>
      </c>
      <c r="E120" s="33">
        <f>SUM(E111:E119)</f>
        <v>6797571</v>
      </c>
      <c r="F120" s="33"/>
      <c r="G120" s="33">
        <f>SUM(G111:G119)</f>
        <v>6797571</v>
      </c>
      <c r="H120" s="33"/>
      <c r="I120" s="33">
        <f>SUM(I111:I119)</f>
        <v>36566</v>
      </c>
      <c r="J120" s="33">
        <f t="shared" ref="J120:N120" si="57">SUM(J111:J119)</f>
        <v>205024</v>
      </c>
      <c r="K120" s="33">
        <f t="shared" si="57"/>
        <v>172851</v>
      </c>
      <c r="L120" s="33"/>
      <c r="M120" s="286">
        <f t="shared" si="57"/>
        <v>414441</v>
      </c>
      <c r="N120" s="33">
        <f t="shared" si="57"/>
        <v>7212012</v>
      </c>
      <c r="O120" s="33"/>
    </row>
    <row r="121" spans="2:15">
      <c r="E121" s="17"/>
      <c r="F121" s="17"/>
      <c r="G121" s="17"/>
      <c r="H121" s="17"/>
      <c r="I121" s="17"/>
      <c r="J121" s="17"/>
      <c r="K121" s="17"/>
      <c r="L121" s="18"/>
      <c r="M121" s="287"/>
      <c r="N121" s="278"/>
      <c r="O121" s="17"/>
    </row>
    <row r="122" spans="2:15" ht="13.5" thickBot="1">
      <c r="C122" s="2" t="s">
        <v>97</v>
      </c>
      <c r="E122" s="33">
        <f>E120+E108+E101+E95+E88+E66+E50</f>
        <v>22107334</v>
      </c>
      <c r="F122" s="33"/>
      <c r="G122" s="33">
        <f>G120+G108+G101+G95+G88+G66+G50</f>
        <v>22107334</v>
      </c>
      <c r="H122" s="33"/>
      <c r="I122" s="33">
        <f>I120+I108+I101+I95+I88+I66+I50</f>
        <v>133615</v>
      </c>
      <c r="J122" s="33">
        <f>J120+J108+J101+J95+J88+J66+J50</f>
        <v>667226</v>
      </c>
      <c r="K122" s="33">
        <f>K120+K108+K101+K95+K88+K66+K50</f>
        <v>542083</v>
      </c>
      <c r="L122" s="18"/>
      <c r="M122" s="289">
        <f>SUM(I122:K122)</f>
        <v>1342924</v>
      </c>
      <c r="N122" s="277">
        <f t="shared" si="37"/>
        <v>23450258</v>
      </c>
      <c r="O122" s="33"/>
    </row>
    <row r="123" spans="2:15">
      <c r="E123" s="17">
        <f>'AN Electric'!L124</f>
        <v>22107336</v>
      </c>
      <c r="F123" s="17"/>
      <c r="N123" s="279"/>
      <c r="O123" s="131"/>
    </row>
    <row r="124" spans="2:15">
      <c r="G124" s="6"/>
      <c r="H124" s="6"/>
      <c r="N124" s="274"/>
      <c r="O124" s="110"/>
    </row>
    <row r="125" spans="2:15">
      <c r="D125" s="9"/>
      <c r="E125" s="90"/>
      <c r="F125" s="90"/>
      <c r="N125" s="274"/>
      <c r="O125" s="110"/>
    </row>
    <row r="126" spans="2:15">
      <c r="E126" s="18"/>
      <c r="N126" s="274"/>
      <c r="O126" s="110"/>
    </row>
    <row r="127" spans="2:15">
      <c r="E127" s="17"/>
      <c r="F127" s="17"/>
      <c r="N127" s="274"/>
      <c r="O127" s="110"/>
    </row>
    <row r="128" spans="2:15">
      <c r="N128" s="274"/>
      <c r="O128" s="110"/>
    </row>
    <row r="129" spans="14:15">
      <c r="N129" s="274"/>
      <c r="O129" s="110"/>
    </row>
  </sheetData>
  <phoneticPr fontId="0" type="noConversion"/>
  <pageMargins left="0" right="0" top="1" bottom="1" header="0.5" footer="0.5"/>
  <pageSetup scale="60" fitToHeight="0" orientation="landscape" r:id="rId1"/>
  <headerFooter alignWithMargins="0">
    <oddHeader>&amp;RAdjustment No. 3.02 Pro Forma Non-Exec
Workpaper Ref. &amp;A</oddHeader>
    <oddFooter>&amp;L&amp;F&amp;RPrep by: AMB
          Date:  &amp;D           Mgr. Review:__________</oddFooter>
  </headerFooter>
  <rowBreaks count="2" manualBreakCount="2">
    <brk id="51" min="2" max="19" man="1"/>
    <brk id="95" min="2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tabColor rgb="FFFFFF00"/>
  </sheetPr>
  <dimension ref="A1:J90"/>
  <sheetViews>
    <sheetView zoomScaleNormal="100" workbookViewId="0">
      <pane xSplit="1" ySplit="4" topLeftCell="B69" activePane="bottomRight" state="frozen"/>
      <selection activeCell="I6" sqref="I6:K7"/>
      <selection pane="topRight" activeCell="I6" sqref="I6:K7"/>
      <selection pane="bottomLeft" activeCell="I6" sqref="I6:K7"/>
      <selection pane="bottomRight" activeCell="I6" sqref="I6:K7"/>
    </sheetView>
  </sheetViews>
  <sheetFormatPr defaultColWidth="9.33203125" defaultRowHeight="15"/>
  <cols>
    <col min="1" max="1" width="19.33203125" style="172" customWidth="1"/>
    <col min="2" max="5" width="23.83203125" style="192" customWidth="1"/>
    <col min="6" max="6" width="15" style="172" customWidth="1"/>
    <col min="7" max="7" width="10.5" style="172" bestFit="1" customWidth="1"/>
    <col min="8" max="9" width="9.5" style="172" bestFit="1" customWidth="1"/>
    <col min="10" max="10" width="17.6640625" style="172" bestFit="1" customWidth="1"/>
    <col min="11" max="16384" width="9.33203125" style="172"/>
  </cols>
  <sheetData>
    <row r="1" spans="1:5">
      <c r="A1" s="172" t="s">
        <v>193</v>
      </c>
    </row>
    <row r="3" spans="1:5" s="174" customFormat="1" ht="15.75" thickBot="1">
      <c r="A3" s="218" t="s">
        <v>172</v>
      </c>
      <c r="B3" s="193"/>
      <c r="C3" s="193"/>
      <c r="D3" s="193"/>
      <c r="E3" s="193"/>
    </row>
    <row r="4" spans="1:5" s="206" customFormat="1" ht="30.75" thickBot="1">
      <c r="A4" s="220">
        <v>2019</v>
      </c>
      <c r="B4" s="232" t="s">
        <v>192</v>
      </c>
      <c r="C4" s="226" t="s">
        <v>180</v>
      </c>
      <c r="D4" s="205" t="s">
        <v>179</v>
      </c>
      <c r="E4" s="204" t="s">
        <v>181</v>
      </c>
    </row>
    <row r="5" spans="1:5" s="174" customFormat="1">
      <c r="A5" s="219" t="s">
        <v>169</v>
      </c>
      <c r="B5" s="229"/>
      <c r="C5" s="227"/>
      <c r="D5" s="221"/>
      <c r="E5" s="221"/>
    </row>
    <row r="6" spans="1:5">
      <c r="A6" s="171">
        <v>500</v>
      </c>
      <c r="B6" s="230">
        <v>219477</v>
      </c>
      <c r="C6" s="228"/>
      <c r="D6" s="170"/>
      <c r="E6" s="170">
        <f t="shared" ref="E6:E37" si="0">SUM(B6:D6)</f>
        <v>219477</v>
      </c>
    </row>
    <row r="7" spans="1:5">
      <c r="A7" s="171">
        <v>501.2</v>
      </c>
      <c r="B7" s="230">
        <v>876309</v>
      </c>
      <c r="C7" s="228"/>
      <c r="D7" s="170"/>
      <c r="E7" s="170">
        <f t="shared" si="0"/>
        <v>876309</v>
      </c>
    </row>
    <row r="8" spans="1:5">
      <c r="A8" s="171">
        <v>502</v>
      </c>
      <c r="B8" s="230">
        <v>509264</v>
      </c>
      <c r="C8" s="228"/>
      <c r="D8" s="170"/>
      <c r="E8" s="170">
        <f t="shared" si="0"/>
        <v>509264</v>
      </c>
    </row>
    <row r="9" spans="1:5">
      <c r="A9" s="171">
        <v>505</v>
      </c>
      <c r="B9" s="230">
        <v>532112</v>
      </c>
      <c r="C9" s="228"/>
      <c r="D9" s="170"/>
      <c r="E9" s="170">
        <f t="shared" si="0"/>
        <v>532112</v>
      </c>
    </row>
    <row r="10" spans="1:5">
      <c r="A10" s="171">
        <v>506</v>
      </c>
      <c r="B10" s="230">
        <v>188142</v>
      </c>
      <c r="C10" s="228"/>
      <c r="D10" s="170"/>
      <c r="E10" s="170">
        <f t="shared" si="0"/>
        <v>188142</v>
      </c>
    </row>
    <row r="11" spans="1:5">
      <c r="A11" s="171">
        <v>510</v>
      </c>
      <c r="B11" s="230">
        <v>100374</v>
      </c>
      <c r="C11" s="228"/>
      <c r="D11" s="170"/>
      <c r="E11" s="170">
        <f t="shared" si="0"/>
        <v>100374</v>
      </c>
    </row>
    <row r="12" spans="1:5">
      <c r="A12" s="171">
        <v>511</v>
      </c>
      <c r="B12" s="230">
        <v>7907</v>
      </c>
      <c r="C12" s="228"/>
      <c r="D12" s="170"/>
      <c r="E12" s="170">
        <f t="shared" si="0"/>
        <v>7907</v>
      </c>
    </row>
    <row r="13" spans="1:5">
      <c r="A13" s="171">
        <v>512</v>
      </c>
      <c r="B13" s="230">
        <v>679481</v>
      </c>
      <c r="C13" s="228"/>
      <c r="D13" s="170"/>
      <c r="E13" s="170">
        <f t="shared" si="0"/>
        <v>679481</v>
      </c>
    </row>
    <row r="14" spans="1:5">
      <c r="A14" s="171">
        <v>513</v>
      </c>
      <c r="B14" s="230">
        <v>284767</v>
      </c>
      <c r="C14" s="228"/>
      <c r="D14" s="170"/>
      <c r="E14" s="170">
        <f t="shared" si="0"/>
        <v>284767</v>
      </c>
    </row>
    <row r="15" spans="1:5">
      <c r="A15" s="171">
        <v>514</v>
      </c>
      <c r="B15" s="230">
        <v>124847</v>
      </c>
      <c r="C15" s="228"/>
      <c r="D15" s="170"/>
      <c r="E15" s="170">
        <f t="shared" si="0"/>
        <v>124847</v>
      </c>
    </row>
    <row r="16" spans="1:5">
      <c r="A16" s="171">
        <v>535</v>
      </c>
      <c r="B16" s="230">
        <v>1445488</v>
      </c>
      <c r="C16" s="228"/>
      <c r="D16" s="170"/>
      <c r="E16" s="170">
        <f t="shared" si="0"/>
        <v>1445488</v>
      </c>
    </row>
    <row r="17" spans="1:5">
      <c r="A17" s="171">
        <v>536</v>
      </c>
      <c r="B17" s="230">
        <v>8480</v>
      </c>
      <c r="C17" s="228"/>
      <c r="D17" s="170"/>
      <c r="E17" s="170">
        <f t="shared" si="0"/>
        <v>8480</v>
      </c>
    </row>
    <row r="18" spans="1:5">
      <c r="A18" s="171">
        <v>537</v>
      </c>
      <c r="B18" s="230">
        <v>516125</v>
      </c>
      <c r="C18" s="228"/>
      <c r="D18" s="170"/>
      <c r="E18" s="170">
        <f t="shared" si="0"/>
        <v>516125</v>
      </c>
    </row>
    <row r="19" spans="1:5">
      <c r="A19" s="171">
        <v>538</v>
      </c>
      <c r="B19" s="230">
        <v>4978809</v>
      </c>
      <c r="C19" s="228"/>
      <c r="D19" s="170"/>
      <c r="E19" s="170">
        <f t="shared" si="0"/>
        <v>4978809</v>
      </c>
    </row>
    <row r="20" spans="1:5">
      <c r="A20" s="171">
        <v>539</v>
      </c>
      <c r="B20" s="230">
        <v>189424</v>
      </c>
      <c r="C20" s="228"/>
      <c r="D20" s="170"/>
      <c r="E20" s="170">
        <f t="shared" si="0"/>
        <v>189424</v>
      </c>
    </row>
    <row r="21" spans="1:5">
      <c r="A21" s="171">
        <v>541</v>
      </c>
      <c r="B21" s="230">
        <v>452506</v>
      </c>
      <c r="C21" s="228"/>
      <c r="D21" s="170"/>
      <c r="E21" s="170">
        <f t="shared" si="0"/>
        <v>452506</v>
      </c>
    </row>
    <row r="22" spans="1:5">
      <c r="A22" s="171">
        <v>542</v>
      </c>
      <c r="B22" s="230">
        <v>186087</v>
      </c>
      <c r="C22" s="228"/>
      <c r="D22" s="170"/>
      <c r="E22" s="170">
        <f t="shared" si="0"/>
        <v>186087</v>
      </c>
    </row>
    <row r="23" spans="1:5">
      <c r="A23" s="171">
        <v>543</v>
      </c>
      <c r="B23" s="230">
        <v>557147</v>
      </c>
      <c r="C23" s="228"/>
      <c r="D23" s="170"/>
      <c r="E23" s="170">
        <f t="shared" si="0"/>
        <v>557147</v>
      </c>
    </row>
    <row r="24" spans="1:5">
      <c r="A24" s="171">
        <v>544</v>
      </c>
      <c r="B24" s="230">
        <v>2019540</v>
      </c>
      <c r="C24" s="228"/>
      <c r="D24" s="170"/>
      <c r="E24" s="170">
        <f t="shared" si="0"/>
        <v>2019540</v>
      </c>
    </row>
    <row r="25" spans="1:5">
      <c r="A25" s="171">
        <v>545</v>
      </c>
      <c r="B25" s="230">
        <f>659370+835</f>
        <v>660205</v>
      </c>
      <c r="C25" s="228"/>
      <c r="D25" s="170"/>
      <c r="E25" s="170">
        <f t="shared" si="0"/>
        <v>660205</v>
      </c>
    </row>
    <row r="26" spans="1:5">
      <c r="A26" s="171">
        <v>546</v>
      </c>
      <c r="B26" s="230">
        <v>112771</v>
      </c>
      <c r="C26" s="228"/>
      <c r="D26" s="170"/>
      <c r="E26" s="170">
        <f t="shared" si="0"/>
        <v>112771</v>
      </c>
    </row>
    <row r="27" spans="1:5">
      <c r="A27" s="171">
        <v>548</v>
      </c>
      <c r="B27" s="230">
        <v>294048</v>
      </c>
      <c r="C27" s="228"/>
      <c r="D27" s="170"/>
      <c r="E27" s="170">
        <f t="shared" si="0"/>
        <v>294048</v>
      </c>
    </row>
    <row r="28" spans="1:5">
      <c r="A28" s="171">
        <v>549</v>
      </c>
      <c r="B28" s="230">
        <v>64067</v>
      </c>
      <c r="C28" s="228"/>
      <c r="D28" s="170"/>
      <c r="E28" s="170">
        <f t="shared" si="0"/>
        <v>64067</v>
      </c>
    </row>
    <row r="29" spans="1:5">
      <c r="A29" s="171">
        <v>551</v>
      </c>
      <c r="B29" s="230">
        <v>316212</v>
      </c>
      <c r="C29" s="228"/>
      <c r="D29" s="170"/>
      <c r="E29" s="170">
        <f t="shared" si="0"/>
        <v>316212</v>
      </c>
    </row>
    <row r="30" spans="1:5">
      <c r="A30" s="171">
        <v>552</v>
      </c>
      <c r="B30" s="230">
        <v>579</v>
      </c>
      <c r="C30" s="228"/>
      <c r="D30" s="170"/>
      <c r="E30" s="170">
        <f t="shared" si="0"/>
        <v>579</v>
      </c>
    </row>
    <row r="31" spans="1:5">
      <c r="A31" s="171">
        <v>553</v>
      </c>
      <c r="B31" s="230">
        <v>319991</v>
      </c>
      <c r="C31" s="228"/>
      <c r="D31" s="170"/>
      <c r="E31" s="170">
        <f t="shared" si="0"/>
        <v>319991</v>
      </c>
    </row>
    <row r="32" spans="1:5">
      <c r="A32" s="171">
        <v>554</v>
      </c>
      <c r="B32" s="230">
        <v>68008</v>
      </c>
      <c r="C32" s="228"/>
      <c r="D32" s="170"/>
      <c r="E32" s="170">
        <f t="shared" si="0"/>
        <v>68008</v>
      </c>
    </row>
    <row r="33" spans="1:7">
      <c r="A33" s="171">
        <v>556</v>
      </c>
      <c r="B33" s="230">
        <v>257755</v>
      </c>
      <c r="C33" s="228"/>
      <c r="D33" s="170"/>
      <c r="E33" s="170">
        <f t="shared" si="0"/>
        <v>257755</v>
      </c>
      <c r="F33" s="185"/>
      <c r="G33" s="173"/>
    </row>
    <row r="34" spans="1:7">
      <c r="A34" s="171">
        <v>557</v>
      </c>
      <c r="B34" s="230">
        <f>3798570-1164</f>
        <v>3797406</v>
      </c>
      <c r="C34" s="228"/>
      <c r="D34" s="170"/>
      <c r="E34" s="170">
        <f t="shared" si="0"/>
        <v>3797406</v>
      </c>
      <c r="F34" s="185"/>
      <c r="G34" s="173"/>
    </row>
    <row r="35" spans="1:7">
      <c r="A35" s="171">
        <v>560</v>
      </c>
      <c r="B35" s="230">
        <v>1241294</v>
      </c>
      <c r="C35" s="228"/>
      <c r="D35" s="170"/>
      <c r="E35" s="170">
        <f t="shared" si="0"/>
        <v>1241294</v>
      </c>
    </row>
    <row r="36" spans="1:7">
      <c r="A36" s="171">
        <v>561</v>
      </c>
      <c r="B36" s="230">
        <v>4219</v>
      </c>
      <c r="C36" s="228"/>
      <c r="D36" s="170"/>
      <c r="E36" s="170">
        <f t="shared" si="0"/>
        <v>4219</v>
      </c>
    </row>
    <row r="37" spans="1:7">
      <c r="A37" s="171">
        <v>561</v>
      </c>
      <c r="B37" s="230">
        <v>33469</v>
      </c>
      <c r="C37" s="228"/>
      <c r="D37" s="170"/>
      <c r="E37" s="170">
        <f t="shared" si="0"/>
        <v>33469</v>
      </c>
    </row>
    <row r="38" spans="1:7">
      <c r="A38" s="171">
        <v>561</v>
      </c>
      <c r="B38" s="230">
        <f>623846+855932+399215</f>
        <v>1878993</v>
      </c>
      <c r="C38" s="228"/>
      <c r="D38" s="170"/>
      <c r="E38" s="170">
        <f t="shared" ref="E38:E69" si="1">SUM(B38:D38)</f>
        <v>1878993</v>
      </c>
    </row>
    <row r="39" spans="1:7">
      <c r="A39" s="171">
        <v>562</v>
      </c>
      <c r="B39" s="230">
        <v>136618</v>
      </c>
      <c r="C39" s="228"/>
      <c r="D39" s="170"/>
      <c r="E39" s="170">
        <f t="shared" si="1"/>
        <v>136618</v>
      </c>
    </row>
    <row r="40" spans="1:7">
      <c r="A40" s="171">
        <v>563</v>
      </c>
      <c r="B40" s="230">
        <v>68932</v>
      </c>
      <c r="C40" s="228"/>
      <c r="D40" s="170"/>
      <c r="E40" s="170">
        <f t="shared" si="1"/>
        <v>68932</v>
      </c>
    </row>
    <row r="41" spans="1:7">
      <c r="A41" s="171">
        <v>566</v>
      </c>
      <c r="B41" s="230">
        <v>768043</v>
      </c>
      <c r="C41" s="228"/>
      <c r="D41" s="170"/>
      <c r="E41" s="170">
        <f t="shared" si="1"/>
        <v>768043</v>
      </c>
    </row>
    <row r="42" spans="1:7">
      <c r="A42" s="171">
        <v>567</v>
      </c>
      <c r="B42" s="230">
        <v>11097</v>
      </c>
      <c r="C42" s="228"/>
      <c r="D42" s="170"/>
      <c r="E42" s="170">
        <f t="shared" si="1"/>
        <v>11097</v>
      </c>
    </row>
    <row r="43" spans="1:7">
      <c r="A43" s="171">
        <v>568</v>
      </c>
      <c r="B43" s="230">
        <v>384636</v>
      </c>
      <c r="C43" s="228"/>
      <c r="D43" s="170"/>
      <c r="E43" s="170">
        <f t="shared" si="1"/>
        <v>384636</v>
      </c>
    </row>
    <row r="44" spans="1:7">
      <c r="A44" s="171">
        <v>569</v>
      </c>
      <c r="B44" s="230">
        <v>370006</v>
      </c>
      <c r="C44" s="228">
        <v>539</v>
      </c>
      <c r="D44" s="170"/>
      <c r="E44" s="170">
        <f t="shared" si="1"/>
        <v>370545</v>
      </c>
    </row>
    <row r="45" spans="1:7">
      <c r="A45" s="171">
        <v>570</v>
      </c>
      <c r="B45" s="230">
        <v>404826</v>
      </c>
      <c r="C45" s="228"/>
      <c r="D45" s="170"/>
      <c r="E45" s="170">
        <f t="shared" si="1"/>
        <v>404826</v>
      </c>
    </row>
    <row r="46" spans="1:7">
      <c r="A46" s="171">
        <v>571</v>
      </c>
      <c r="B46" s="230">
        <v>29433</v>
      </c>
      <c r="C46" s="228">
        <v>5249</v>
      </c>
      <c r="D46" s="170"/>
      <c r="E46" s="170">
        <f t="shared" si="1"/>
        <v>34682</v>
      </c>
    </row>
    <row r="47" spans="1:7">
      <c r="A47" s="171">
        <v>572</v>
      </c>
      <c r="B47" s="230">
        <v>0</v>
      </c>
      <c r="C47" s="228"/>
      <c r="D47" s="170"/>
      <c r="E47" s="234">
        <f t="shared" si="1"/>
        <v>0</v>
      </c>
    </row>
    <row r="48" spans="1:7">
      <c r="A48" s="171">
        <v>573</v>
      </c>
      <c r="B48" s="230">
        <v>14824</v>
      </c>
      <c r="C48" s="228"/>
      <c r="D48" s="170"/>
      <c r="E48" s="234">
        <f t="shared" si="1"/>
        <v>14824</v>
      </c>
    </row>
    <row r="49" spans="1:5">
      <c r="A49" s="171">
        <v>580</v>
      </c>
      <c r="B49" s="230">
        <v>1751844</v>
      </c>
      <c r="C49" s="228">
        <v>116785</v>
      </c>
      <c r="D49" s="170">
        <v>326769</v>
      </c>
      <c r="E49" s="234">
        <f t="shared" si="1"/>
        <v>2195398</v>
      </c>
    </row>
    <row r="50" spans="1:5">
      <c r="A50" s="171">
        <v>582</v>
      </c>
      <c r="B50" s="230">
        <v>25867</v>
      </c>
      <c r="C50" s="228">
        <v>169808</v>
      </c>
      <c r="D50" s="170">
        <v>171026</v>
      </c>
      <c r="E50" s="234">
        <f t="shared" si="1"/>
        <v>366701</v>
      </c>
    </row>
    <row r="51" spans="1:5">
      <c r="A51" s="171">
        <v>583</v>
      </c>
      <c r="B51" s="230">
        <v>221761</v>
      </c>
      <c r="C51" s="228">
        <v>299967</v>
      </c>
      <c r="D51" s="170">
        <v>600348</v>
      </c>
      <c r="E51" s="234">
        <f t="shared" si="1"/>
        <v>1122076</v>
      </c>
    </row>
    <row r="52" spans="1:5">
      <c r="A52" s="171">
        <v>584</v>
      </c>
      <c r="B52" s="230">
        <v>0</v>
      </c>
      <c r="C52" s="228">
        <v>221283</v>
      </c>
      <c r="D52" s="170">
        <v>261877</v>
      </c>
      <c r="E52" s="234">
        <f t="shared" si="1"/>
        <v>483160</v>
      </c>
    </row>
    <row r="53" spans="1:5">
      <c r="A53" s="171">
        <v>584</v>
      </c>
      <c r="B53" s="230">
        <v>0</v>
      </c>
      <c r="C53" s="228"/>
      <c r="D53" s="170"/>
      <c r="E53" s="234">
        <f t="shared" si="1"/>
        <v>0</v>
      </c>
    </row>
    <row r="54" spans="1:5">
      <c r="A54" s="171">
        <v>585</v>
      </c>
      <c r="B54" s="230">
        <v>0</v>
      </c>
      <c r="C54" s="228"/>
      <c r="D54" s="170">
        <v>3405</v>
      </c>
      <c r="E54" s="234">
        <f t="shared" si="1"/>
        <v>3405</v>
      </c>
    </row>
    <row r="55" spans="1:5">
      <c r="A55" s="171">
        <v>586</v>
      </c>
      <c r="B55" s="230">
        <v>19405</v>
      </c>
      <c r="C55" s="228">
        <v>240358</v>
      </c>
      <c r="D55" s="170">
        <v>803901</v>
      </c>
      <c r="E55" s="234">
        <f t="shared" si="1"/>
        <v>1063664</v>
      </c>
    </row>
    <row r="56" spans="1:5">
      <c r="A56" s="171">
        <v>587</v>
      </c>
      <c r="B56" s="230">
        <v>83660</v>
      </c>
      <c r="C56" s="228">
        <v>125241</v>
      </c>
      <c r="D56" s="170">
        <v>225188</v>
      </c>
      <c r="E56" s="234">
        <f t="shared" si="1"/>
        <v>434089</v>
      </c>
    </row>
    <row r="57" spans="1:5">
      <c r="A57" s="171">
        <v>588</v>
      </c>
      <c r="B57" s="230">
        <v>2113167</v>
      </c>
      <c r="C57" s="228">
        <v>778038</v>
      </c>
      <c r="D57" s="170">
        <v>1301461</v>
      </c>
      <c r="E57" s="234">
        <f t="shared" si="1"/>
        <v>4192666</v>
      </c>
    </row>
    <row r="58" spans="1:5">
      <c r="A58" s="171">
        <v>589</v>
      </c>
      <c r="B58" s="230">
        <v>28485</v>
      </c>
      <c r="C58" s="228"/>
      <c r="D58" s="170"/>
      <c r="E58" s="234">
        <f t="shared" si="1"/>
        <v>28485</v>
      </c>
    </row>
    <row r="59" spans="1:5">
      <c r="A59" s="171">
        <v>590</v>
      </c>
      <c r="B59" s="230">
        <v>419474</v>
      </c>
      <c r="C59" s="228">
        <v>67085</v>
      </c>
      <c r="D59" s="170">
        <v>87077</v>
      </c>
      <c r="E59" s="234">
        <f t="shared" si="1"/>
        <v>573636</v>
      </c>
    </row>
    <row r="60" spans="1:5">
      <c r="A60" s="171">
        <v>591</v>
      </c>
      <c r="B60" s="230">
        <v>0</v>
      </c>
      <c r="C60" s="228">
        <v>89254</v>
      </c>
      <c r="D60" s="170">
        <v>135916</v>
      </c>
      <c r="E60" s="234">
        <f t="shared" si="1"/>
        <v>225170</v>
      </c>
    </row>
    <row r="61" spans="1:5">
      <c r="A61" s="171">
        <v>592</v>
      </c>
      <c r="B61" s="230">
        <v>31220</v>
      </c>
      <c r="C61" s="228">
        <v>129252</v>
      </c>
      <c r="D61" s="170">
        <v>196233</v>
      </c>
      <c r="E61" s="234">
        <f t="shared" si="1"/>
        <v>356705</v>
      </c>
    </row>
    <row r="62" spans="1:5">
      <c r="A62" s="171">
        <v>593</v>
      </c>
      <c r="B62" s="230">
        <v>2573</v>
      </c>
      <c r="C62" s="228">
        <v>619209</v>
      </c>
      <c r="D62" s="170">
        <v>1167655</v>
      </c>
      <c r="E62" s="234">
        <f t="shared" si="1"/>
        <v>1789437</v>
      </c>
    </row>
    <row r="63" spans="1:5">
      <c r="A63" s="171">
        <v>594</v>
      </c>
      <c r="B63" s="230">
        <v>0</v>
      </c>
      <c r="C63" s="228">
        <v>159433</v>
      </c>
      <c r="D63" s="170">
        <v>362643</v>
      </c>
      <c r="E63" s="234">
        <f t="shared" si="1"/>
        <v>522076</v>
      </c>
    </row>
    <row r="64" spans="1:5">
      <c r="A64" s="171">
        <v>595</v>
      </c>
      <c r="B64" s="230">
        <v>0</v>
      </c>
      <c r="C64" s="228">
        <v>54685</v>
      </c>
      <c r="D64" s="170">
        <v>180501</v>
      </c>
      <c r="E64" s="234">
        <f t="shared" si="1"/>
        <v>235186</v>
      </c>
    </row>
    <row r="65" spans="1:10">
      <c r="A65" s="171">
        <v>596</v>
      </c>
      <c r="B65" s="230">
        <v>0</v>
      </c>
      <c r="C65" s="228">
        <v>13729</v>
      </c>
      <c r="D65" s="170">
        <v>99214</v>
      </c>
      <c r="E65" s="234">
        <f t="shared" si="1"/>
        <v>112943</v>
      </c>
    </row>
    <row r="66" spans="1:10">
      <c r="A66" s="171">
        <v>597</v>
      </c>
      <c r="B66" s="230">
        <v>0</v>
      </c>
      <c r="C66" s="228">
        <v>3475</v>
      </c>
      <c r="D66" s="170">
        <v>12364</v>
      </c>
      <c r="E66" s="234">
        <f t="shared" si="1"/>
        <v>15839</v>
      </c>
    </row>
    <row r="67" spans="1:10">
      <c r="A67" s="171">
        <v>598</v>
      </c>
      <c r="B67" s="230">
        <v>43852</v>
      </c>
      <c r="C67" s="228">
        <v>29385</v>
      </c>
      <c r="D67" s="170">
        <v>42832</v>
      </c>
      <c r="E67" s="234">
        <f t="shared" si="1"/>
        <v>116069</v>
      </c>
    </row>
    <row r="68" spans="1:10">
      <c r="A68" s="171">
        <v>901</v>
      </c>
      <c r="B68" s="230">
        <v>111152</v>
      </c>
      <c r="C68" s="228"/>
      <c r="D68" s="170"/>
      <c r="E68" s="234">
        <f t="shared" si="1"/>
        <v>111152</v>
      </c>
    </row>
    <row r="69" spans="1:10">
      <c r="A69" s="171">
        <v>902</v>
      </c>
      <c r="B69" s="230">
        <v>91281</v>
      </c>
      <c r="C69" s="228">
        <v>76571</v>
      </c>
      <c r="D69" s="170">
        <v>1493992</v>
      </c>
      <c r="E69" s="234">
        <f t="shared" si="1"/>
        <v>1661844</v>
      </c>
    </row>
    <row r="70" spans="1:10">
      <c r="A70" s="171">
        <v>903</v>
      </c>
      <c r="B70" s="230">
        <v>3860488</v>
      </c>
      <c r="C70" s="228">
        <v>258976</v>
      </c>
      <c r="D70" s="170">
        <v>630626</v>
      </c>
      <c r="E70" s="234">
        <f t="shared" ref="E70:E83" si="2">SUM(B70:D70)</f>
        <v>4750090</v>
      </c>
    </row>
    <row r="71" spans="1:10">
      <c r="A71" s="171">
        <v>905</v>
      </c>
      <c r="B71" s="230">
        <v>138553</v>
      </c>
      <c r="C71" s="228"/>
      <c r="D71" s="170"/>
      <c r="E71" s="234">
        <f t="shared" si="2"/>
        <v>138553</v>
      </c>
    </row>
    <row r="72" spans="1:10">
      <c r="A72" s="171">
        <v>908</v>
      </c>
      <c r="B72" s="230">
        <v>140199</v>
      </c>
      <c r="C72" s="228">
        <v>46994</v>
      </c>
      <c r="D72" s="170">
        <v>172010</v>
      </c>
      <c r="E72" s="234">
        <f t="shared" si="2"/>
        <v>359203</v>
      </c>
    </row>
    <row r="73" spans="1:10">
      <c r="A73" s="171">
        <v>909</v>
      </c>
      <c r="B73" s="230">
        <v>204742</v>
      </c>
      <c r="C73" s="228">
        <v>339</v>
      </c>
      <c r="D73" s="170"/>
      <c r="E73" s="234">
        <f t="shared" si="2"/>
        <v>205081</v>
      </c>
      <c r="G73" s="184"/>
      <c r="H73" s="184"/>
      <c r="I73" s="184"/>
      <c r="J73" s="194"/>
    </row>
    <row r="74" spans="1:10">
      <c r="A74" s="171">
        <v>910</v>
      </c>
      <c r="B74" s="230">
        <v>55514</v>
      </c>
      <c r="C74" s="228"/>
      <c r="D74" s="170"/>
      <c r="E74" s="234">
        <f t="shared" si="2"/>
        <v>55514</v>
      </c>
      <c r="F74" s="185"/>
      <c r="G74" s="186"/>
      <c r="H74" s="186"/>
      <c r="I74" s="186"/>
      <c r="J74" s="194"/>
    </row>
    <row r="75" spans="1:10">
      <c r="A75" s="171">
        <v>920</v>
      </c>
      <c r="B75" s="230">
        <v>17207005</v>
      </c>
      <c r="C75" s="228">
        <v>104736</v>
      </c>
      <c r="D75" s="170"/>
      <c r="E75" s="234">
        <f t="shared" si="2"/>
        <v>17311741</v>
      </c>
      <c r="F75" s="185"/>
      <c r="G75" s="187"/>
      <c r="H75" s="187"/>
      <c r="I75" s="187"/>
      <c r="J75" s="194"/>
    </row>
    <row r="76" spans="1:10">
      <c r="A76" s="171">
        <v>921</v>
      </c>
      <c r="B76" s="230">
        <f>362459+250</f>
        <v>362709</v>
      </c>
      <c r="C76" s="228"/>
      <c r="D76" s="170">
        <v>301372</v>
      </c>
      <c r="E76" s="170">
        <f t="shared" si="2"/>
        <v>664081</v>
      </c>
    </row>
    <row r="77" spans="1:10">
      <c r="A77" s="171">
        <v>923</v>
      </c>
      <c r="B77" s="230">
        <v>26942</v>
      </c>
      <c r="C77" s="228"/>
      <c r="D77" s="170">
        <v>1086</v>
      </c>
      <c r="E77" s="170">
        <f t="shared" si="2"/>
        <v>28028</v>
      </c>
    </row>
    <row r="78" spans="1:10">
      <c r="A78" s="171">
        <v>925</v>
      </c>
      <c r="B78" s="230">
        <v>0</v>
      </c>
      <c r="C78" s="228"/>
      <c r="D78" s="170"/>
      <c r="E78" s="170">
        <f t="shared" si="2"/>
        <v>0</v>
      </c>
    </row>
    <row r="79" spans="1:10">
      <c r="A79" s="171">
        <v>926</v>
      </c>
      <c r="B79" s="230">
        <v>401686</v>
      </c>
      <c r="C79" s="228"/>
      <c r="D79" s="170">
        <v>3002</v>
      </c>
      <c r="E79" s="170">
        <f t="shared" si="2"/>
        <v>404688</v>
      </c>
    </row>
    <row r="80" spans="1:10">
      <c r="A80" s="188">
        <v>928</v>
      </c>
      <c r="B80" s="230">
        <v>635317</v>
      </c>
      <c r="C80" s="228">
        <v>71477</v>
      </c>
      <c r="D80" s="170">
        <v>260224</v>
      </c>
      <c r="E80" s="170">
        <f t="shared" si="2"/>
        <v>967018</v>
      </c>
    </row>
    <row r="81" spans="1:5">
      <c r="A81" s="195">
        <v>930</v>
      </c>
      <c r="B81" s="230">
        <v>251416</v>
      </c>
      <c r="C81" s="228">
        <v>10271</v>
      </c>
      <c r="D81" s="170">
        <v>8055</v>
      </c>
      <c r="E81" s="170">
        <f t="shared" si="2"/>
        <v>269742</v>
      </c>
    </row>
    <row r="82" spans="1:5">
      <c r="A82" s="171">
        <v>931</v>
      </c>
      <c r="B82" s="230">
        <v>440</v>
      </c>
      <c r="C82" s="228"/>
      <c r="D82" s="170"/>
      <c r="E82" s="170">
        <f t="shared" si="2"/>
        <v>440</v>
      </c>
    </row>
    <row r="83" spans="1:5">
      <c r="A83" s="171">
        <v>935</v>
      </c>
      <c r="B83" s="230">
        <f>1886129+721.01</f>
        <v>1886850.01</v>
      </c>
      <c r="C83" s="228">
        <v>67165</v>
      </c>
      <c r="D83" s="170">
        <v>19740</v>
      </c>
      <c r="E83" s="170">
        <f t="shared" si="2"/>
        <v>1973755.01</v>
      </c>
    </row>
    <row r="84" spans="1:5" ht="15.75" thickBot="1">
      <c r="A84" s="171"/>
      <c r="B84" s="230"/>
      <c r="C84" s="228"/>
      <c r="D84" s="170"/>
      <c r="E84" s="170"/>
    </row>
    <row r="85" spans="1:5" s="174" customFormat="1" ht="16.5" thickTop="1" thickBot="1">
      <c r="A85" s="196" t="s">
        <v>191</v>
      </c>
      <c r="B85" s="231">
        <f>SUM(B6:B84)</f>
        <v>55229320.009999998</v>
      </c>
      <c r="C85" s="269">
        <f t="shared" ref="C85:E85" si="3">SUM(C6:C84)</f>
        <v>3759304</v>
      </c>
      <c r="D85" s="268">
        <f t="shared" si="3"/>
        <v>8868517</v>
      </c>
      <c r="E85" s="197">
        <f t="shared" si="3"/>
        <v>67857141.010000005</v>
      </c>
    </row>
    <row r="86" spans="1:5">
      <c r="A86" s="172" t="s">
        <v>21</v>
      </c>
      <c r="B86" s="198"/>
      <c r="C86" s="198"/>
    </row>
    <row r="89" spans="1:5">
      <c r="A89" s="173"/>
    </row>
    <row r="90" spans="1:5">
      <c r="A90" s="173"/>
    </row>
  </sheetData>
  <phoneticPr fontId="0" type="noConversion"/>
  <pageMargins left="0.36" right="0.5" top="1" bottom="1" header="0.5" footer="0.5"/>
  <pageSetup scale="65" fitToHeight="2" orientation="portrait" r:id="rId1"/>
  <headerFooter alignWithMargins="0">
    <oddHeader>&amp;RAdjustment No.3.02 Pro-Forma Non-Exec
Workpaper Ref. &amp;A</oddHeader>
    <oddFooter>&amp;L&amp;F&amp;RPrep by: AMB 
          Date:  &amp;D           Mgr. Review:__________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9" tint="0.59999389629810485"/>
  </sheetPr>
  <dimension ref="B1:P248"/>
  <sheetViews>
    <sheetView zoomScaleNormal="100" zoomScaleSheetLayoutView="100" workbookViewId="0">
      <pane xSplit="1" ySplit="9" topLeftCell="B10" activePane="bottomRight" state="frozen"/>
      <selection activeCell="I6" sqref="I6:K7"/>
      <selection pane="topRight" activeCell="I6" sqref="I6:K7"/>
      <selection pane="bottomLeft" activeCell="I6" sqref="I6:K7"/>
      <selection pane="bottomRight" activeCell="O1" sqref="O1"/>
    </sheetView>
  </sheetViews>
  <sheetFormatPr defaultColWidth="9.33203125" defaultRowHeight="12.75" outlineLevelRow="1"/>
  <cols>
    <col min="1" max="1" width="2.33203125" style="2" customWidth="1"/>
    <col min="2" max="2" width="3" style="2" customWidth="1"/>
    <col min="3" max="3" width="5.5" style="14" customWidth="1"/>
    <col min="4" max="4" width="33.5" style="14" customWidth="1"/>
    <col min="5" max="6" width="12.1640625" style="2" hidden="1" customWidth="1"/>
    <col min="7" max="7" width="14.33203125" style="2" bestFit="1" customWidth="1"/>
    <col min="8" max="8" width="5.33203125" style="2" customWidth="1"/>
    <col min="9" max="9" width="16.6640625" style="2" customWidth="1"/>
    <col min="10" max="11" width="14.33203125" style="2" bestFit="1" customWidth="1"/>
    <col min="12" max="12" width="4.1640625" style="11" customWidth="1"/>
    <col min="13" max="13" width="14.33203125" style="2" bestFit="1" customWidth="1"/>
    <col min="14" max="14" width="7" style="2" customWidth="1"/>
    <col min="15" max="15" width="16" style="2" customWidth="1"/>
    <col min="16" max="16" width="10.83203125" style="2" bestFit="1" customWidth="1"/>
    <col min="17" max="19" width="9.33203125" style="2"/>
    <col min="20" max="20" width="12.5" style="2" bestFit="1" customWidth="1"/>
    <col min="21" max="16384" width="9.33203125" style="2"/>
  </cols>
  <sheetData>
    <row r="1" spans="2:15" ht="15.75">
      <c r="C1" s="47" t="s">
        <v>23</v>
      </c>
      <c r="D1" s="13"/>
      <c r="N1" s="3"/>
      <c r="O1" s="132" t="s">
        <v>232</v>
      </c>
    </row>
    <row r="2" spans="2:15">
      <c r="C2" s="15" t="s">
        <v>107</v>
      </c>
      <c r="D2" s="15"/>
      <c r="N2" s="3"/>
    </row>
    <row r="3" spans="2:15">
      <c r="C3" s="294"/>
      <c r="D3" s="294"/>
      <c r="E3" s="294"/>
      <c r="N3" s="3"/>
    </row>
    <row r="4" spans="2:15">
      <c r="C4" s="294"/>
      <c r="D4" s="294"/>
      <c r="E4" s="294"/>
      <c r="N4" s="3"/>
    </row>
    <row r="5" spans="2:15">
      <c r="C5" s="294"/>
      <c r="D5" s="294"/>
      <c r="E5" s="294"/>
      <c r="N5" s="3"/>
    </row>
    <row r="6" spans="2:15" ht="15.75" customHeight="1">
      <c r="C6" s="15"/>
      <c r="D6" s="15"/>
      <c r="I6" s="240" t="s">
        <v>205</v>
      </c>
      <c r="J6" s="240"/>
      <c r="K6" s="240" t="s">
        <v>211</v>
      </c>
      <c r="M6" s="3"/>
      <c r="N6" s="3"/>
    </row>
    <row r="7" spans="2:15" ht="15.75">
      <c r="C7" s="16"/>
      <c r="D7" s="16"/>
      <c r="E7" s="3"/>
      <c r="F7" s="3"/>
      <c r="G7" s="3"/>
      <c r="H7" s="3"/>
      <c r="I7" s="240" t="s">
        <v>206</v>
      </c>
      <c r="J7" s="271">
        <v>2019</v>
      </c>
      <c r="K7" s="271">
        <v>2020</v>
      </c>
      <c r="M7" s="241" t="s">
        <v>113</v>
      </c>
      <c r="N7" s="3"/>
      <c r="O7" s="3" t="s">
        <v>196</v>
      </c>
    </row>
    <row r="8" spans="2:15" ht="15.75">
      <c r="C8" s="16"/>
      <c r="D8" s="16"/>
      <c r="E8" s="3"/>
      <c r="F8" s="3"/>
      <c r="G8" s="3" t="s">
        <v>1</v>
      </c>
      <c r="H8" s="3"/>
      <c r="I8" s="272">
        <f>'Washington Electric PF'!I8</f>
        <v>5.1900000000000002E-3</v>
      </c>
      <c r="J8" s="272">
        <f>'Washington Electric PF'!J8</f>
        <v>0.03</v>
      </c>
      <c r="K8" s="272">
        <v>0</v>
      </c>
      <c r="M8" s="272" t="s">
        <v>202</v>
      </c>
      <c r="N8" s="3"/>
      <c r="O8" s="252" t="s">
        <v>198</v>
      </c>
    </row>
    <row r="9" spans="2:15">
      <c r="E9" s="5" t="s">
        <v>30</v>
      </c>
      <c r="F9" s="5"/>
      <c r="G9" s="5" t="s">
        <v>30</v>
      </c>
      <c r="H9" s="5"/>
      <c r="I9" s="242">
        <f>'Washington Electric PF'!I9</f>
        <v>7.1399999999999996E-3</v>
      </c>
      <c r="J9" s="242">
        <f>'Washington Electric PF'!J9</f>
        <v>0.03</v>
      </c>
      <c r="K9" s="242">
        <f>'Pro-Forma Increases'!D15</f>
        <v>0.03</v>
      </c>
      <c r="M9" s="242" t="s">
        <v>194</v>
      </c>
      <c r="N9" s="4"/>
      <c r="O9" s="242"/>
    </row>
    <row r="10" spans="2:15">
      <c r="E10" s="5"/>
      <c r="F10" s="5"/>
      <c r="G10" s="5"/>
      <c r="H10" s="5"/>
      <c r="I10" s="5"/>
      <c r="J10" s="5"/>
      <c r="K10" s="5"/>
      <c r="M10" s="5"/>
      <c r="O10" s="5"/>
    </row>
    <row r="11" spans="2:15" hidden="1" outlineLevel="1">
      <c r="C11" s="14" t="s">
        <v>31</v>
      </c>
      <c r="E11" s="5"/>
      <c r="F11" s="5"/>
      <c r="G11" s="5"/>
      <c r="H11" s="5"/>
      <c r="I11" s="5"/>
      <c r="J11" s="5"/>
      <c r="K11" s="5"/>
      <c r="M11" s="5"/>
      <c r="O11" s="5"/>
    </row>
    <row r="12" spans="2:15" s="75" customFormat="1" hidden="1" outlineLevel="1">
      <c r="B12" s="75" t="s">
        <v>26</v>
      </c>
      <c r="C12" s="31" t="s">
        <v>122</v>
      </c>
      <c r="D12" s="13"/>
      <c r="E12" s="46">
        <f>'AN Gas'!F10</f>
        <v>0</v>
      </c>
      <c r="F12" s="46"/>
      <c r="G12" s="46">
        <f>F12+E12</f>
        <v>0</v>
      </c>
      <c r="H12" s="46"/>
      <c r="I12" s="46">
        <f>ROUND(IF($B12="a",G12*I$8,G12*I$9),0)</f>
        <v>0</v>
      </c>
      <c r="J12" s="46">
        <f>ROUND(IF($B12="a",(G12+I12)*J$8,(G12+I12)*J$9),0)</f>
        <v>0</v>
      </c>
      <c r="K12" s="46">
        <f>ROUND(IF($B12="a",(G12+I12+J12)*K$8,(G12+I12+J12)*K$9),0)</f>
        <v>0</v>
      </c>
      <c r="L12" s="77"/>
      <c r="M12" s="46">
        <f>I12+J12+K12</f>
        <v>0</v>
      </c>
      <c r="O12" s="46">
        <f>G12+M12</f>
        <v>0</v>
      </c>
    </row>
    <row r="13" spans="2:15" s="75" customFormat="1" hidden="1" outlineLevel="1">
      <c r="B13" s="75" t="s">
        <v>26</v>
      </c>
      <c r="C13" s="31" t="s">
        <v>123</v>
      </c>
      <c r="D13" s="13"/>
      <c r="E13" s="46">
        <f>'AN Gas'!F11</f>
        <v>0</v>
      </c>
      <c r="F13" s="46"/>
      <c r="G13" s="46">
        <f>F13+E13</f>
        <v>0</v>
      </c>
      <c r="H13" s="46"/>
      <c r="I13" s="46">
        <f t="shared" ref="I13:I75" si="0">ROUND(IF($B13="a",G13*I$8,G13*I$9),0)</f>
        <v>0</v>
      </c>
      <c r="J13" s="46">
        <f t="shared" ref="J13:J75" si="1">ROUND(IF($B13="a",(G13+I13)*J$8,(G13+I13)*J$9),0)</f>
        <v>0</v>
      </c>
      <c r="K13" s="46">
        <f t="shared" ref="K13:K75" si="2">ROUND(IF($B13="a",(G13+I13+J13)*K$8,(G13+I13+J13)*K$9),0)</f>
        <v>0</v>
      </c>
      <c r="L13" s="77"/>
      <c r="M13" s="46">
        <f>I13+J13+K13</f>
        <v>0</v>
      </c>
      <c r="O13" s="46">
        <f t="shared" ref="O13:O76" si="3">G13+M13</f>
        <v>0</v>
      </c>
    </row>
    <row r="14" spans="2:15" s="75" customFormat="1" hidden="1" outlineLevel="1">
      <c r="B14" s="75" t="s">
        <v>26</v>
      </c>
      <c r="C14" s="31" t="s">
        <v>124</v>
      </c>
      <c r="D14" s="13"/>
      <c r="E14" s="46">
        <f>'AN Gas'!F12</f>
        <v>444317</v>
      </c>
      <c r="F14" s="46"/>
      <c r="G14" s="46">
        <f>F14+E14</f>
        <v>444317</v>
      </c>
      <c r="H14" s="46"/>
      <c r="I14" s="46">
        <f t="shared" si="0"/>
        <v>2306</v>
      </c>
      <c r="J14" s="46">
        <f t="shared" si="1"/>
        <v>13399</v>
      </c>
      <c r="K14" s="46">
        <f t="shared" si="2"/>
        <v>0</v>
      </c>
      <c r="L14" s="77"/>
      <c r="M14" s="46">
        <f>I14+J14+K14</f>
        <v>15705</v>
      </c>
      <c r="O14" s="46">
        <f t="shared" si="3"/>
        <v>460022</v>
      </c>
    </row>
    <row r="15" spans="2:15" collapsed="1">
      <c r="C15" s="14" t="s">
        <v>28</v>
      </c>
      <c r="E15" s="21">
        <f>SUM(E12:E14)</f>
        <v>444317</v>
      </c>
      <c r="F15" s="21"/>
      <c r="G15" s="21">
        <f t="shared" ref="G15:K15" si="4">SUM(G12:G14)</f>
        <v>444317</v>
      </c>
      <c r="H15" s="21"/>
      <c r="I15" s="21">
        <f t="shared" si="4"/>
        <v>2306</v>
      </c>
      <c r="J15" s="21">
        <f t="shared" si="4"/>
        <v>13399</v>
      </c>
      <c r="K15" s="21">
        <f t="shared" si="4"/>
        <v>0</v>
      </c>
      <c r="L15" s="26"/>
      <c r="M15" s="21">
        <f>+I15+J15</f>
        <v>15705</v>
      </c>
      <c r="O15" s="21">
        <f t="shared" si="3"/>
        <v>460022</v>
      </c>
    </row>
    <row r="16" spans="2:15">
      <c r="E16" s="22"/>
      <c r="F16" s="22"/>
      <c r="G16" s="22"/>
      <c r="H16" s="22"/>
      <c r="I16" s="22"/>
      <c r="J16" s="22"/>
      <c r="K16" s="22"/>
      <c r="L16" s="64"/>
      <c r="M16" s="21"/>
      <c r="O16" s="22">
        <f t="shared" si="3"/>
        <v>0</v>
      </c>
    </row>
    <row r="17" spans="2:15" hidden="1" outlineLevel="1">
      <c r="C17" s="14" t="s">
        <v>108</v>
      </c>
      <c r="E17" s="22"/>
      <c r="F17" s="22"/>
      <c r="G17" s="22"/>
      <c r="H17" s="22"/>
      <c r="I17" s="22"/>
      <c r="J17" s="22"/>
      <c r="K17" s="22"/>
      <c r="L17" s="64"/>
      <c r="M17" s="21">
        <f t="shared" ref="M17:M76" si="5">+I17+J17</f>
        <v>0</v>
      </c>
      <c r="O17" s="22">
        <f t="shared" si="3"/>
        <v>0</v>
      </c>
    </row>
    <row r="18" spans="2:15" s="75" customFormat="1" hidden="1" outlineLevel="1">
      <c r="B18" s="75" t="s">
        <v>26</v>
      </c>
      <c r="C18" s="31" t="s">
        <v>125</v>
      </c>
      <c r="D18" s="13"/>
      <c r="E18" s="46">
        <f>'AN Gas'!F16</f>
        <v>7944</v>
      </c>
      <c r="F18" s="46"/>
      <c r="G18" s="46">
        <f>F18+E18</f>
        <v>7944</v>
      </c>
      <c r="H18" s="46"/>
      <c r="I18" s="46">
        <f t="shared" si="0"/>
        <v>41</v>
      </c>
      <c r="J18" s="46">
        <f t="shared" si="1"/>
        <v>240</v>
      </c>
      <c r="K18" s="46">
        <f t="shared" si="2"/>
        <v>0</v>
      </c>
      <c r="L18" s="255"/>
      <c r="M18" s="21">
        <f t="shared" si="5"/>
        <v>281</v>
      </c>
      <c r="O18" s="46">
        <f t="shared" si="3"/>
        <v>8225</v>
      </c>
    </row>
    <row r="19" spans="2:15" hidden="1" outlineLevel="1">
      <c r="C19" s="1" t="s">
        <v>126</v>
      </c>
      <c r="D19" s="15"/>
      <c r="E19" s="17">
        <f>'AN Gas'!F17</f>
        <v>0</v>
      </c>
      <c r="F19" s="17"/>
      <c r="G19" s="17">
        <f>F19+E19</f>
        <v>0</v>
      </c>
      <c r="H19" s="17"/>
      <c r="I19" s="17">
        <f t="shared" si="0"/>
        <v>0</v>
      </c>
      <c r="J19" s="17">
        <f t="shared" si="1"/>
        <v>0</v>
      </c>
      <c r="K19" s="17">
        <f t="shared" si="2"/>
        <v>0</v>
      </c>
      <c r="L19" s="64"/>
      <c r="M19" s="21">
        <f t="shared" si="5"/>
        <v>0</v>
      </c>
      <c r="O19" s="46">
        <f t="shared" si="3"/>
        <v>0</v>
      </c>
    </row>
    <row r="20" spans="2:15" collapsed="1">
      <c r="C20" s="15" t="s">
        <v>29</v>
      </c>
      <c r="D20" s="15"/>
      <c r="E20" s="21">
        <f>SUM(E16:E19)</f>
        <v>7944</v>
      </c>
      <c r="F20" s="21"/>
      <c r="G20" s="21">
        <f t="shared" ref="G20:K20" si="6">SUM(G17:G19)</f>
        <v>7944</v>
      </c>
      <c r="H20" s="21"/>
      <c r="I20" s="21">
        <f t="shared" si="6"/>
        <v>41</v>
      </c>
      <c r="J20" s="21">
        <f t="shared" si="6"/>
        <v>240</v>
      </c>
      <c r="K20" s="21">
        <f t="shared" si="6"/>
        <v>0</v>
      </c>
      <c r="L20" s="26"/>
      <c r="M20" s="21">
        <f t="shared" si="5"/>
        <v>281</v>
      </c>
      <c r="O20" s="21">
        <f t="shared" si="3"/>
        <v>8225</v>
      </c>
    </row>
    <row r="21" spans="2:15">
      <c r="E21" s="22"/>
      <c r="F21" s="22"/>
      <c r="G21" s="22"/>
      <c r="H21" s="22"/>
      <c r="I21" s="22"/>
      <c r="J21" s="22"/>
      <c r="K21" s="22"/>
      <c r="L21" s="64"/>
      <c r="M21" s="21"/>
      <c r="O21" s="22">
        <f t="shared" si="3"/>
        <v>0</v>
      </c>
    </row>
    <row r="22" spans="2:15" hidden="1" outlineLevel="1">
      <c r="C22" s="14" t="s">
        <v>4</v>
      </c>
      <c r="E22" s="22"/>
      <c r="F22" s="22"/>
      <c r="G22" s="22"/>
      <c r="H22" s="22"/>
      <c r="I22" s="22"/>
      <c r="J22" s="22"/>
      <c r="K22" s="22"/>
      <c r="L22" s="64"/>
      <c r="M22" s="21">
        <f t="shared" si="5"/>
        <v>0</v>
      </c>
      <c r="O22" s="22">
        <f t="shared" si="3"/>
        <v>0</v>
      </c>
    </row>
    <row r="23" spans="2:15" s="75" customFormat="1" hidden="1" outlineLevel="1">
      <c r="B23" s="75" t="s">
        <v>26</v>
      </c>
      <c r="C23" s="31" t="s">
        <v>127</v>
      </c>
      <c r="D23" s="13"/>
      <c r="E23" s="46">
        <f>'AN Gas'!F21</f>
        <v>814373</v>
      </c>
      <c r="F23" s="46"/>
      <c r="G23" s="46">
        <f t="shared" ref="G23:G33" si="7">F23+E23</f>
        <v>814373</v>
      </c>
      <c r="H23" s="46"/>
      <c r="I23" s="46">
        <f t="shared" si="0"/>
        <v>4227</v>
      </c>
      <c r="J23" s="46">
        <f t="shared" si="1"/>
        <v>24558</v>
      </c>
      <c r="K23" s="46">
        <f t="shared" si="2"/>
        <v>0</v>
      </c>
      <c r="L23" s="255"/>
      <c r="M23" s="21">
        <f t="shared" si="5"/>
        <v>28785</v>
      </c>
      <c r="O23" s="46">
        <f t="shared" si="3"/>
        <v>843158</v>
      </c>
    </row>
    <row r="24" spans="2:15" hidden="1" outlineLevel="1">
      <c r="C24" s="15" t="s">
        <v>128</v>
      </c>
      <c r="D24" s="15"/>
      <c r="E24" s="17">
        <f>'AN Gas'!F22</f>
        <v>0</v>
      </c>
      <c r="F24" s="17"/>
      <c r="G24" s="17">
        <f t="shared" si="7"/>
        <v>0</v>
      </c>
      <c r="H24" s="17"/>
      <c r="I24" s="17">
        <f t="shared" si="0"/>
        <v>0</v>
      </c>
      <c r="J24" s="17">
        <f t="shared" si="1"/>
        <v>0</v>
      </c>
      <c r="K24" s="17">
        <f t="shared" si="2"/>
        <v>0</v>
      </c>
      <c r="L24" s="64"/>
      <c r="M24" s="21">
        <f t="shared" si="5"/>
        <v>0</v>
      </c>
      <c r="O24" s="46">
        <f t="shared" si="3"/>
        <v>0</v>
      </c>
    </row>
    <row r="25" spans="2:15" hidden="1" outlineLevel="1">
      <c r="C25" s="15">
        <v>872</v>
      </c>
      <c r="D25" s="15"/>
      <c r="E25" s="17">
        <f>'AN Gas'!F23</f>
        <v>0</v>
      </c>
      <c r="F25" s="17"/>
      <c r="G25" s="17"/>
      <c r="H25" s="17"/>
      <c r="I25" s="17">
        <f t="shared" si="0"/>
        <v>0</v>
      </c>
      <c r="J25" s="17">
        <f t="shared" si="1"/>
        <v>0</v>
      </c>
      <c r="K25" s="17">
        <f t="shared" si="2"/>
        <v>0</v>
      </c>
      <c r="L25" s="64"/>
      <c r="M25" s="21">
        <f t="shared" si="5"/>
        <v>0</v>
      </c>
      <c r="O25" s="46">
        <f t="shared" si="3"/>
        <v>0</v>
      </c>
    </row>
    <row r="26" spans="2:15" hidden="1" outlineLevel="1">
      <c r="C26" s="1" t="s">
        <v>129</v>
      </c>
      <c r="D26" s="15"/>
      <c r="E26" s="17">
        <f>'AN Gas'!F24</f>
        <v>1155098</v>
      </c>
      <c r="F26" s="17"/>
      <c r="G26" s="17">
        <f t="shared" si="7"/>
        <v>1155098</v>
      </c>
      <c r="H26" s="17"/>
      <c r="I26" s="17">
        <f t="shared" si="0"/>
        <v>8247</v>
      </c>
      <c r="J26" s="17">
        <f t="shared" si="1"/>
        <v>34900</v>
      </c>
      <c r="K26" s="17">
        <f t="shared" si="2"/>
        <v>35947</v>
      </c>
      <c r="L26" s="64"/>
      <c r="M26" s="21">
        <f t="shared" si="5"/>
        <v>43147</v>
      </c>
      <c r="O26" s="46">
        <f t="shared" si="3"/>
        <v>1198245</v>
      </c>
    </row>
    <row r="27" spans="2:15" hidden="1" outlineLevel="1">
      <c r="C27" s="1" t="s">
        <v>130</v>
      </c>
      <c r="D27" s="15"/>
      <c r="E27" s="17">
        <f>'AN Gas'!F25</f>
        <v>43596</v>
      </c>
      <c r="F27" s="17"/>
      <c r="G27" s="17">
        <f t="shared" si="7"/>
        <v>43596</v>
      </c>
      <c r="H27" s="17"/>
      <c r="I27" s="17">
        <f t="shared" si="0"/>
        <v>311</v>
      </c>
      <c r="J27" s="17">
        <f t="shared" si="1"/>
        <v>1317</v>
      </c>
      <c r="K27" s="17">
        <f t="shared" si="2"/>
        <v>1357</v>
      </c>
      <c r="L27" s="64"/>
      <c r="M27" s="21">
        <f t="shared" si="5"/>
        <v>1628</v>
      </c>
      <c r="O27" s="46">
        <f t="shared" si="3"/>
        <v>45224</v>
      </c>
    </row>
    <row r="28" spans="2:15" hidden="1" outlineLevel="1">
      <c r="C28" s="1" t="s">
        <v>131</v>
      </c>
      <c r="D28" s="15"/>
      <c r="E28" s="17">
        <f>'AN Gas'!F26</f>
        <v>3438</v>
      </c>
      <c r="F28" s="17"/>
      <c r="G28" s="17">
        <f t="shared" si="7"/>
        <v>3438</v>
      </c>
      <c r="H28" s="17"/>
      <c r="I28" s="17">
        <f t="shared" si="0"/>
        <v>25</v>
      </c>
      <c r="J28" s="17">
        <f t="shared" si="1"/>
        <v>104</v>
      </c>
      <c r="K28" s="17">
        <f t="shared" si="2"/>
        <v>107</v>
      </c>
      <c r="L28" s="64"/>
      <c r="M28" s="21">
        <f t="shared" si="5"/>
        <v>129</v>
      </c>
      <c r="O28" s="46">
        <f t="shared" si="3"/>
        <v>3567</v>
      </c>
    </row>
    <row r="29" spans="2:15" hidden="1" outlineLevel="1">
      <c r="C29" s="1" t="s">
        <v>132</v>
      </c>
      <c r="D29" s="15"/>
      <c r="E29" s="17">
        <f>'AN Gas'!F27</f>
        <v>31005</v>
      </c>
      <c r="F29" s="17"/>
      <c r="G29" s="17">
        <f t="shared" si="7"/>
        <v>31005</v>
      </c>
      <c r="H29" s="17"/>
      <c r="I29" s="17">
        <f t="shared" si="0"/>
        <v>221</v>
      </c>
      <c r="J29" s="17">
        <f t="shared" si="1"/>
        <v>937</v>
      </c>
      <c r="K29" s="17">
        <f t="shared" si="2"/>
        <v>965</v>
      </c>
      <c r="L29" s="64"/>
      <c r="M29" s="21">
        <f t="shared" si="5"/>
        <v>1158</v>
      </c>
      <c r="O29" s="46">
        <f t="shared" si="3"/>
        <v>32163</v>
      </c>
    </row>
    <row r="30" spans="2:15" hidden="1" outlineLevel="1">
      <c r="C30" s="1" t="s">
        <v>133</v>
      </c>
      <c r="D30" s="15"/>
      <c r="E30" s="17">
        <f>'AN Gas'!F28</f>
        <v>1972</v>
      </c>
      <c r="F30" s="17"/>
      <c r="G30" s="17">
        <f>F30+E30</f>
        <v>1972</v>
      </c>
      <c r="H30" s="17"/>
      <c r="I30" s="17">
        <f t="shared" si="0"/>
        <v>14</v>
      </c>
      <c r="J30" s="17">
        <f t="shared" si="1"/>
        <v>60</v>
      </c>
      <c r="K30" s="17">
        <f t="shared" si="2"/>
        <v>61</v>
      </c>
      <c r="L30" s="64"/>
      <c r="M30" s="21">
        <f t="shared" si="5"/>
        <v>74</v>
      </c>
      <c r="O30" s="46">
        <f t="shared" si="3"/>
        <v>2046</v>
      </c>
    </row>
    <row r="31" spans="2:15" hidden="1" outlineLevel="1">
      <c r="C31" s="1" t="s">
        <v>134</v>
      </c>
      <c r="D31" s="15"/>
      <c r="E31" s="17">
        <f>'AN Gas'!F29</f>
        <v>867582</v>
      </c>
      <c r="F31" s="17"/>
      <c r="G31" s="17">
        <f>F31+E31</f>
        <v>867582</v>
      </c>
      <c r="H31" s="17"/>
      <c r="I31" s="17">
        <f t="shared" si="0"/>
        <v>6195</v>
      </c>
      <c r="J31" s="17">
        <f t="shared" si="1"/>
        <v>26213</v>
      </c>
      <c r="K31" s="17">
        <f t="shared" si="2"/>
        <v>27000</v>
      </c>
      <c r="L31" s="64"/>
      <c r="M31" s="21">
        <f t="shared" si="5"/>
        <v>32408</v>
      </c>
      <c r="O31" s="46">
        <f t="shared" si="3"/>
        <v>899990</v>
      </c>
    </row>
    <row r="32" spans="2:15" hidden="1" outlineLevel="1">
      <c r="C32" s="1" t="s">
        <v>135</v>
      </c>
      <c r="D32" s="15">
        <f>D9</f>
        <v>0</v>
      </c>
      <c r="E32" s="17">
        <f>'AN Gas'!F30</f>
        <v>1070688</v>
      </c>
      <c r="F32" s="17"/>
      <c r="G32" s="17">
        <f t="shared" si="7"/>
        <v>1070688</v>
      </c>
      <c r="H32" s="17"/>
      <c r="I32" s="17">
        <f t="shared" si="0"/>
        <v>7645</v>
      </c>
      <c r="J32" s="17">
        <f t="shared" si="1"/>
        <v>32350</v>
      </c>
      <c r="K32" s="17">
        <f t="shared" si="2"/>
        <v>33320</v>
      </c>
      <c r="L32" s="64"/>
      <c r="M32" s="21">
        <f t="shared" si="5"/>
        <v>39995</v>
      </c>
      <c r="O32" s="46">
        <f t="shared" si="3"/>
        <v>1110683</v>
      </c>
    </row>
    <row r="33" spans="2:15" hidden="1" outlineLevel="1">
      <c r="C33" s="1" t="s">
        <v>168</v>
      </c>
      <c r="D33" s="15"/>
      <c r="E33" s="17">
        <f>'AN Gas'!F31</f>
        <v>5685</v>
      </c>
      <c r="F33" s="17"/>
      <c r="G33" s="17">
        <f t="shared" si="7"/>
        <v>5685</v>
      </c>
      <c r="H33" s="17"/>
      <c r="I33" s="17">
        <f t="shared" si="0"/>
        <v>41</v>
      </c>
      <c r="J33" s="17">
        <f t="shared" si="1"/>
        <v>172</v>
      </c>
      <c r="K33" s="17">
        <f t="shared" si="2"/>
        <v>177</v>
      </c>
      <c r="L33" s="64"/>
      <c r="M33" s="21">
        <f t="shared" si="5"/>
        <v>213</v>
      </c>
      <c r="O33" s="46">
        <f t="shared" si="3"/>
        <v>5898</v>
      </c>
    </row>
    <row r="34" spans="2:15" hidden="1" outlineLevel="1">
      <c r="C34" s="1" t="s">
        <v>136</v>
      </c>
      <c r="D34" s="1"/>
      <c r="E34" s="17">
        <f>'AN Gas'!F32</f>
        <v>52707</v>
      </c>
      <c r="F34" s="17"/>
      <c r="G34" s="17">
        <f t="shared" ref="G34:G43" si="8">F34+E34</f>
        <v>52707</v>
      </c>
      <c r="H34" s="17"/>
      <c r="I34" s="17">
        <f t="shared" si="0"/>
        <v>376</v>
      </c>
      <c r="J34" s="17">
        <f t="shared" si="1"/>
        <v>1592</v>
      </c>
      <c r="K34" s="17">
        <f t="shared" si="2"/>
        <v>1640</v>
      </c>
      <c r="L34" s="64"/>
      <c r="M34" s="21">
        <f t="shared" si="5"/>
        <v>1968</v>
      </c>
      <c r="O34" s="46">
        <f t="shared" si="3"/>
        <v>54675</v>
      </c>
    </row>
    <row r="35" spans="2:15" hidden="1" outlineLevel="1">
      <c r="C35" s="1" t="s">
        <v>137</v>
      </c>
      <c r="D35" s="1"/>
      <c r="E35" s="17">
        <f>'AN Gas'!F33</f>
        <v>0</v>
      </c>
      <c r="F35" s="17"/>
      <c r="G35" s="17">
        <f>F35+E35</f>
        <v>0</v>
      </c>
      <c r="H35" s="17"/>
      <c r="I35" s="17">
        <f t="shared" si="0"/>
        <v>0</v>
      </c>
      <c r="J35" s="17">
        <f t="shared" si="1"/>
        <v>0</v>
      </c>
      <c r="K35" s="17">
        <f t="shared" si="2"/>
        <v>0</v>
      </c>
      <c r="L35" s="64"/>
      <c r="M35" s="21">
        <f t="shared" si="5"/>
        <v>0</v>
      </c>
      <c r="O35" s="46">
        <f t="shared" si="3"/>
        <v>0</v>
      </c>
    </row>
    <row r="36" spans="2:15" hidden="1" outlineLevel="1">
      <c r="C36" s="1" t="s">
        <v>138</v>
      </c>
      <c r="D36" s="15"/>
      <c r="E36" s="17">
        <f>'AN Gas'!F34</f>
        <v>406713</v>
      </c>
      <c r="F36" s="17"/>
      <c r="G36" s="17">
        <f t="shared" si="8"/>
        <v>406713</v>
      </c>
      <c r="H36" s="17"/>
      <c r="I36" s="17">
        <f t="shared" si="0"/>
        <v>2904</v>
      </c>
      <c r="J36" s="17">
        <f t="shared" si="1"/>
        <v>12289</v>
      </c>
      <c r="K36" s="17">
        <f t="shared" si="2"/>
        <v>12657</v>
      </c>
      <c r="L36" s="64"/>
      <c r="M36" s="21">
        <f t="shared" si="5"/>
        <v>15193</v>
      </c>
      <c r="O36" s="46">
        <f t="shared" si="3"/>
        <v>421906</v>
      </c>
    </row>
    <row r="37" spans="2:15" hidden="1" outlineLevel="1">
      <c r="C37" s="1">
        <v>888</v>
      </c>
      <c r="D37" s="15"/>
      <c r="E37" s="17">
        <f>'AN Gas'!F35</f>
        <v>0</v>
      </c>
      <c r="F37" s="17"/>
      <c r="G37" s="17"/>
      <c r="H37" s="17"/>
      <c r="I37" s="17">
        <f t="shared" si="0"/>
        <v>0</v>
      </c>
      <c r="J37" s="17">
        <f t="shared" si="1"/>
        <v>0</v>
      </c>
      <c r="K37" s="17">
        <f t="shared" si="2"/>
        <v>0</v>
      </c>
      <c r="L37" s="64"/>
      <c r="M37" s="21">
        <f t="shared" si="5"/>
        <v>0</v>
      </c>
      <c r="O37" s="46">
        <f t="shared" si="3"/>
        <v>0</v>
      </c>
    </row>
    <row r="38" spans="2:15" hidden="1" outlineLevel="1">
      <c r="C38" s="1" t="s">
        <v>139</v>
      </c>
      <c r="D38" s="15"/>
      <c r="E38" s="17">
        <f>'AN Gas'!F36</f>
        <v>73926</v>
      </c>
      <c r="F38" s="17"/>
      <c r="G38" s="17">
        <f t="shared" si="8"/>
        <v>73926</v>
      </c>
      <c r="H38" s="17"/>
      <c r="I38" s="17">
        <f t="shared" si="0"/>
        <v>528</v>
      </c>
      <c r="J38" s="17">
        <f t="shared" si="1"/>
        <v>2234</v>
      </c>
      <c r="K38" s="17">
        <f t="shared" si="2"/>
        <v>2301</v>
      </c>
      <c r="L38" s="64"/>
      <c r="M38" s="21">
        <f t="shared" si="5"/>
        <v>2762</v>
      </c>
      <c r="O38" s="46">
        <f t="shared" si="3"/>
        <v>76688</v>
      </c>
    </row>
    <row r="39" spans="2:15" hidden="1" outlineLevel="1">
      <c r="C39" s="1" t="s">
        <v>140</v>
      </c>
      <c r="D39" s="15"/>
      <c r="E39" s="17">
        <f>'AN Gas'!F37</f>
        <v>13375</v>
      </c>
      <c r="F39" s="17"/>
      <c r="G39" s="17">
        <f t="shared" si="8"/>
        <v>13375</v>
      </c>
      <c r="H39" s="17"/>
      <c r="I39" s="17">
        <f t="shared" si="0"/>
        <v>95</v>
      </c>
      <c r="J39" s="17">
        <f t="shared" si="1"/>
        <v>404</v>
      </c>
      <c r="K39" s="17">
        <f t="shared" si="2"/>
        <v>416</v>
      </c>
      <c r="L39" s="64"/>
      <c r="M39" s="21">
        <f t="shared" si="5"/>
        <v>499</v>
      </c>
      <c r="O39" s="46">
        <f t="shared" si="3"/>
        <v>13874</v>
      </c>
    </row>
    <row r="40" spans="2:15" hidden="1" outlineLevel="1">
      <c r="C40" s="1" t="s">
        <v>141</v>
      </c>
      <c r="D40" s="15"/>
      <c r="E40" s="17">
        <f>'AN Gas'!F38</f>
        <v>13186</v>
      </c>
      <c r="F40" s="17"/>
      <c r="G40" s="17">
        <f t="shared" si="8"/>
        <v>13186</v>
      </c>
      <c r="H40" s="17"/>
      <c r="I40" s="17">
        <f t="shared" si="0"/>
        <v>94</v>
      </c>
      <c r="J40" s="17">
        <f t="shared" si="1"/>
        <v>398</v>
      </c>
      <c r="K40" s="17">
        <f t="shared" si="2"/>
        <v>410</v>
      </c>
      <c r="L40" s="64"/>
      <c r="M40" s="21">
        <f t="shared" si="5"/>
        <v>492</v>
      </c>
      <c r="O40" s="46">
        <f t="shared" si="3"/>
        <v>13678</v>
      </c>
    </row>
    <row r="41" spans="2:15" hidden="1" outlineLevel="1">
      <c r="C41" s="1" t="s">
        <v>142</v>
      </c>
      <c r="D41" s="15"/>
      <c r="E41" s="17">
        <f>'AN Gas'!F39</f>
        <v>425993</v>
      </c>
      <c r="F41" s="17"/>
      <c r="G41" s="17">
        <f t="shared" si="8"/>
        <v>425993</v>
      </c>
      <c r="H41" s="17"/>
      <c r="I41" s="17">
        <f t="shared" si="0"/>
        <v>3042</v>
      </c>
      <c r="J41" s="17">
        <f t="shared" si="1"/>
        <v>12871</v>
      </c>
      <c r="K41" s="17">
        <f t="shared" si="2"/>
        <v>13257</v>
      </c>
      <c r="L41" s="64"/>
      <c r="M41" s="21">
        <f t="shared" si="5"/>
        <v>15913</v>
      </c>
      <c r="O41" s="46">
        <f t="shared" si="3"/>
        <v>441906</v>
      </c>
    </row>
    <row r="42" spans="2:15" hidden="1" outlineLevel="1">
      <c r="C42" s="1" t="s">
        <v>143</v>
      </c>
      <c r="D42" s="15"/>
      <c r="E42" s="17">
        <f>'AN Gas'!F40</f>
        <v>642931</v>
      </c>
      <c r="F42" s="17"/>
      <c r="G42" s="17">
        <f t="shared" si="8"/>
        <v>642931</v>
      </c>
      <c r="H42" s="17"/>
      <c r="I42" s="17">
        <f t="shared" si="0"/>
        <v>4591</v>
      </c>
      <c r="J42" s="17">
        <f t="shared" si="1"/>
        <v>19426</v>
      </c>
      <c r="K42" s="17">
        <f t="shared" si="2"/>
        <v>20008</v>
      </c>
      <c r="L42" s="64"/>
      <c r="M42" s="21">
        <f t="shared" si="5"/>
        <v>24017</v>
      </c>
      <c r="O42" s="46">
        <f t="shared" si="3"/>
        <v>666948</v>
      </c>
    </row>
    <row r="43" spans="2:15" hidden="1" outlineLevel="1">
      <c r="C43" s="54">
        <v>894</v>
      </c>
      <c r="D43" s="56"/>
      <c r="E43" s="17">
        <f>'AN Gas'!F41</f>
        <v>62285</v>
      </c>
      <c r="F43" s="17"/>
      <c r="G43" s="17">
        <f t="shared" si="8"/>
        <v>62285</v>
      </c>
      <c r="H43" s="17"/>
      <c r="I43" s="17">
        <f t="shared" si="0"/>
        <v>445</v>
      </c>
      <c r="J43" s="17">
        <f t="shared" si="1"/>
        <v>1882</v>
      </c>
      <c r="K43" s="17">
        <f t="shared" si="2"/>
        <v>1938</v>
      </c>
      <c r="L43" s="64"/>
      <c r="M43" s="21">
        <f t="shared" si="5"/>
        <v>2327</v>
      </c>
      <c r="O43" s="46">
        <f t="shared" si="3"/>
        <v>64612</v>
      </c>
    </row>
    <row r="44" spans="2:15" collapsed="1">
      <c r="C44" s="14" t="s">
        <v>5</v>
      </c>
      <c r="E44" s="21">
        <f>SUM(E23:E43)</f>
        <v>5684553</v>
      </c>
      <c r="F44" s="21"/>
      <c r="G44" s="21">
        <f>SUM(G23:G43)</f>
        <v>5684553</v>
      </c>
      <c r="H44" s="21"/>
      <c r="I44" s="21">
        <f t="shared" ref="I44:J44" si="9">SUM(I23:I43)</f>
        <v>39001</v>
      </c>
      <c r="J44" s="21">
        <f t="shared" si="9"/>
        <v>171707</v>
      </c>
      <c r="K44" s="21">
        <v>0</v>
      </c>
      <c r="L44" s="26"/>
      <c r="M44" s="21">
        <f t="shared" si="5"/>
        <v>210708</v>
      </c>
      <c r="O44" s="21">
        <f t="shared" si="3"/>
        <v>5895261</v>
      </c>
    </row>
    <row r="45" spans="2:15">
      <c r="E45" s="22"/>
      <c r="F45" s="22"/>
      <c r="G45" s="22"/>
      <c r="H45" s="22"/>
      <c r="I45" s="22"/>
      <c r="J45" s="22"/>
      <c r="K45" s="22"/>
      <c r="L45" s="64"/>
      <c r="M45" s="21"/>
      <c r="O45" s="22">
        <f t="shared" si="3"/>
        <v>0</v>
      </c>
    </row>
    <row r="46" spans="2:15" hidden="1" outlineLevel="1">
      <c r="C46" s="14" t="s">
        <v>6</v>
      </c>
      <c r="E46" s="22"/>
      <c r="F46" s="22"/>
      <c r="G46" s="22"/>
      <c r="H46" s="22"/>
      <c r="I46" s="22"/>
      <c r="J46" s="22"/>
      <c r="K46" s="22"/>
      <c r="L46" s="64"/>
      <c r="M46" s="21">
        <f t="shared" si="5"/>
        <v>0</v>
      </c>
      <c r="O46" s="22">
        <f t="shared" si="3"/>
        <v>0</v>
      </c>
    </row>
    <row r="47" spans="2:15" s="75" customFormat="1" hidden="1" outlineLevel="1">
      <c r="B47" s="75" t="s">
        <v>26</v>
      </c>
      <c r="C47" s="31" t="s">
        <v>144</v>
      </c>
      <c r="D47" s="13"/>
      <c r="E47" s="46">
        <f>'AN Gas'!F45</f>
        <v>47351</v>
      </c>
      <c r="F47" s="46"/>
      <c r="G47" s="46">
        <f>F47+E47</f>
        <v>47351</v>
      </c>
      <c r="H47" s="46"/>
      <c r="I47" s="46">
        <f t="shared" si="0"/>
        <v>246</v>
      </c>
      <c r="J47" s="46">
        <f t="shared" si="1"/>
        <v>1428</v>
      </c>
      <c r="K47" s="46">
        <f t="shared" si="2"/>
        <v>0</v>
      </c>
      <c r="L47" s="255"/>
      <c r="M47" s="21">
        <f t="shared" si="5"/>
        <v>1674</v>
      </c>
      <c r="O47" s="46">
        <f t="shared" si="3"/>
        <v>49025</v>
      </c>
    </row>
    <row r="48" spans="2:15" hidden="1" outlineLevel="1">
      <c r="C48" s="1" t="s">
        <v>145</v>
      </c>
      <c r="D48" s="15"/>
      <c r="E48" s="17">
        <f>'AN Gas'!F46</f>
        <v>1004066</v>
      </c>
      <c r="F48" s="17"/>
      <c r="G48" s="17">
        <f>F48+E48</f>
        <v>1004066</v>
      </c>
      <c r="H48" s="17"/>
      <c r="I48" s="17">
        <f t="shared" si="0"/>
        <v>7169</v>
      </c>
      <c r="J48" s="17">
        <f t="shared" si="1"/>
        <v>30337</v>
      </c>
      <c r="K48" s="17">
        <f t="shared" si="2"/>
        <v>31247</v>
      </c>
      <c r="L48" s="64"/>
      <c r="M48" s="21">
        <f t="shared" si="5"/>
        <v>37506</v>
      </c>
      <c r="O48" s="46">
        <f t="shared" si="3"/>
        <v>1041572</v>
      </c>
    </row>
    <row r="49" spans="2:15" s="75" customFormat="1" hidden="1" outlineLevel="1">
      <c r="B49" s="75" t="s">
        <v>26</v>
      </c>
      <c r="C49" s="31" t="s">
        <v>146</v>
      </c>
      <c r="D49" s="13"/>
      <c r="E49" s="46">
        <f>'AN Gas'!F47</f>
        <v>1994426</v>
      </c>
      <c r="F49" s="46"/>
      <c r="G49" s="46">
        <f>F49+E49</f>
        <v>1994426</v>
      </c>
      <c r="H49" s="46"/>
      <c r="I49" s="46">
        <f t="shared" si="0"/>
        <v>10351</v>
      </c>
      <c r="J49" s="46">
        <f t="shared" si="1"/>
        <v>60143</v>
      </c>
      <c r="K49" s="46">
        <f t="shared" si="2"/>
        <v>0</v>
      </c>
      <c r="L49" s="255"/>
      <c r="M49" s="21">
        <f t="shared" si="5"/>
        <v>70494</v>
      </c>
      <c r="O49" s="46">
        <f t="shared" si="3"/>
        <v>2064920</v>
      </c>
    </row>
    <row r="50" spans="2:15" s="75" customFormat="1" hidden="1" outlineLevel="1">
      <c r="B50" s="75" t="s">
        <v>26</v>
      </c>
      <c r="C50" s="31" t="s">
        <v>147</v>
      </c>
      <c r="D50" s="13"/>
      <c r="E50" s="46">
        <f>'AN Gas'!F48</f>
        <v>59024</v>
      </c>
      <c r="F50" s="46"/>
      <c r="G50" s="46">
        <f>F50+E50</f>
        <v>59024</v>
      </c>
      <c r="H50" s="46"/>
      <c r="I50" s="46">
        <f t="shared" si="0"/>
        <v>306</v>
      </c>
      <c r="J50" s="46">
        <f t="shared" si="1"/>
        <v>1780</v>
      </c>
      <c r="K50" s="46">
        <f t="shared" si="2"/>
        <v>0</v>
      </c>
      <c r="L50" s="255"/>
      <c r="M50" s="21">
        <f t="shared" si="5"/>
        <v>2086</v>
      </c>
      <c r="O50" s="46">
        <f t="shared" si="3"/>
        <v>61110</v>
      </c>
    </row>
    <row r="51" spans="2:15" collapsed="1">
      <c r="C51" s="14" t="s">
        <v>195</v>
      </c>
      <c r="E51" s="21">
        <f>SUM(E47:E50)</f>
        <v>3104867</v>
      </c>
      <c r="F51" s="21"/>
      <c r="G51" s="21">
        <f t="shared" ref="G51:J51" si="10">SUM(G47:G50)</f>
        <v>3104867</v>
      </c>
      <c r="H51" s="21"/>
      <c r="I51" s="21">
        <f t="shared" si="10"/>
        <v>18072</v>
      </c>
      <c r="J51" s="21">
        <f t="shared" si="10"/>
        <v>93688</v>
      </c>
      <c r="K51" s="21">
        <v>0</v>
      </c>
      <c r="L51" s="26"/>
      <c r="M51" s="21">
        <f t="shared" si="5"/>
        <v>111760</v>
      </c>
      <c r="O51" s="21">
        <f t="shared" si="3"/>
        <v>3216627</v>
      </c>
    </row>
    <row r="52" spans="2:15">
      <c r="E52" s="22"/>
      <c r="F52" s="22"/>
      <c r="G52" s="22"/>
      <c r="H52" s="22"/>
      <c r="I52" s="22"/>
      <c r="J52" s="22"/>
      <c r="K52" s="22"/>
      <c r="L52" s="64"/>
      <c r="M52" s="21"/>
      <c r="O52" s="22">
        <f t="shared" si="3"/>
        <v>0</v>
      </c>
    </row>
    <row r="53" spans="2:15" hidden="1" outlineLevel="1">
      <c r="C53" s="14" t="s">
        <v>8</v>
      </c>
      <c r="E53" s="22"/>
      <c r="F53" s="22"/>
      <c r="G53" s="22"/>
      <c r="H53" s="22"/>
      <c r="I53" s="22"/>
      <c r="J53" s="22"/>
      <c r="K53" s="22"/>
      <c r="L53" s="64"/>
      <c r="M53" s="21">
        <f t="shared" si="5"/>
        <v>0</v>
      </c>
      <c r="O53" s="22">
        <f t="shared" si="3"/>
        <v>0</v>
      </c>
    </row>
    <row r="54" spans="2:15" s="75" customFormat="1" hidden="1" outlineLevel="1">
      <c r="B54" s="75" t="s">
        <v>26</v>
      </c>
      <c r="C54" s="31" t="s">
        <v>148</v>
      </c>
      <c r="D54" s="13"/>
      <c r="E54" s="46">
        <f>'AN Gas'!F52</f>
        <v>211660</v>
      </c>
      <c r="F54" s="46"/>
      <c r="G54" s="46">
        <f>F54+E54</f>
        <v>211660</v>
      </c>
      <c r="H54" s="46"/>
      <c r="I54" s="46">
        <f t="shared" si="0"/>
        <v>1099</v>
      </c>
      <c r="J54" s="46">
        <f t="shared" si="1"/>
        <v>6383</v>
      </c>
      <c r="K54" s="46">
        <f t="shared" si="2"/>
        <v>0</v>
      </c>
      <c r="L54" s="255"/>
      <c r="M54" s="21">
        <f t="shared" si="5"/>
        <v>7482</v>
      </c>
      <c r="O54" s="46">
        <f t="shared" si="3"/>
        <v>219142</v>
      </c>
    </row>
    <row r="55" spans="2:15" s="75" customFormat="1" hidden="1" outlineLevel="1">
      <c r="B55" s="75" t="s">
        <v>26</v>
      </c>
      <c r="C55" s="31" t="s">
        <v>149</v>
      </c>
      <c r="D55" s="13"/>
      <c r="E55" s="46">
        <f>'AN Gas'!F53</f>
        <v>87220</v>
      </c>
      <c r="F55" s="46"/>
      <c r="G55" s="46">
        <f>F55+E55</f>
        <v>87220</v>
      </c>
      <c r="H55" s="46"/>
      <c r="I55" s="46">
        <f t="shared" si="0"/>
        <v>453</v>
      </c>
      <c r="J55" s="46">
        <f t="shared" si="1"/>
        <v>2630</v>
      </c>
      <c r="K55" s="46">
        <f t="shared" si="2"/>
        <v>0</v>
      </c>
      <c r="L55" s="255"/>
      <c r="M55" s="21">
        <f t="shared" si="5"/>
        <v>3083</v>
      </c>
      <c r="O55" s="46">
        <f t="shared" si="3"/>
        <v>90303</v>
      </c>
    </row>
    <row r="56" spans="2:15" s="75" customFormat="1" hidden="1" outlineLevel="1">
      <c r="B56" s="75" t="s">
        <v>26</v>
      </c>
      <c r="C56" s="31" t="s">
        <v>150</v>
      </c>
      <c r="D56" s="13"/>
      <c r="E56" s="46">
        <f>'AN Gas'!F54</f>
        <v>23649</v>
      </c>
      <c r="F56" s="46"/>
      <c r="G56" s="46">
        <f>F56+E56</f>
        <v>23649</v>
      </c>
      <c r="H56" s="46"/>
      <c r="I56" s="46">
        <f t="shared" si="0"/>
        <v>123</v>
      </c>
      <c r="J56" s="46">
        <f t="shared" si="1"/>
        <v>713</v>
      </c>
      <c r="K56" s="46">
        <f t="shared" si="2"/>
        <v>0</v>
      </c>
      <c r="L56" s="255"/>
      <c r="M56" s="21">
        <f t="shared" si="5"/>
        <v>836</v>
      </c>
      <c r="O56" s="46">
        <f t="shared" si="3"/>
        <v>24485</v>
      </c>
    </row>
    <row r="57" spans="2:15" collapsed="1">
      <c r="C57" s="14" t="s">
        <v>9</v>
      </c>
      <c r="E57" s="21">
        <f>SUM(E54:E56)</f>
        <v>322529</v>
      </c>
      <c r="F57" s="21"/>
      <c r="G57" s="21">
        <f t="shared" ref="G57:K57" si="11">SUM(G54:G56)</f>
        <v>322529</v>
      </c>
      <c r="H57" s="21"/>
      <c r="I57" s="21">
        <f t="shared" si="11"/>
        <v>1675</v>
      </c>
      <c r="J57" s="21">
        <f t="shared" si="11"/>
        <v>9726</v>
      </c>
      <c r="K57" s="21">
        <f t="shared" si="11"/>
        <v>0</v>
      </c>
      <c r="L57" s="26"/>
      <c r="M57" s="21">
        <f t="shared" si="5"/>
        <v>11401</v>
      </c>
      <c r="N57" s="21"/>
      <c r="O57" s="21">
        <f t="shared" si="3"/>
        <v>333930</v>
      </c>
    </row>
    <row r="58" spans="2:15">
      <c r="E58" s="22"/>
      <c r="F58" s="22"/>
      <c r="G58" s="22"/>
      <c r="H58" s="22"/>
      <c r="I58" s="22"/>
      <c r="J58" s="22"/>
      <c r="K58" s="22"/>
      <c r="L58" s="64"/>
      <c r="M58" s="21"/>
      <c r="O58" s="22"/>
    </row>
    <row r="59" spans="2:15" hidden="1" outlineLevel="1">
      <c r="C59" s="14" t="s">
        <v>10</v>
      </c>
      <c r="E59" s="22"/>
      <c r="F59" s="22"/>
      <c r="G59" s="22"/>
      <c r="H59" s="22"/>
      <c r="I59" s="22"/>
      <c r="J59" s="22"/>
      <c r="K59" s="22"/>
      <c r="L59" s="64"/>
      <c r="M59" s="21">
        <f t="shared" si="5"/>
        <v>0</v>
      </c>
      <c r="O59" s="22">
        <f t="shared" si="3"/>
        <v>0</v>
      </c>
    </row>
    <row r="60" spans="2:15" s="75" customFormat="1" hidden="1" outlineLevel="1">
      <c r="B60" s="75" t="s">
        <v>26</v>
      </c>
      <c r="C60" s="31" t="s">
        <v>151</v>
      </c>
      <c r="D60" s="13"/>
      <c r="E60" s="46">
        <f>'AN Gas'!F58</f>
        <v>0</v>
      </c>
      <c r="F60" s="46"/>
      <c r="G60" s="46">
        <f>F60+E60</f>
        <v>0</v>
      </c>
      <c r="H60" s="46"/>
      <c r="I60" s="46"/>
      <c r="J60" s="46"/>
      <c r="K60" s="46">
        <f t="shared" si="2"/>
        <v>0</v>
      </c>
      <c r="L60" s="255"/>
      <c r="M60" s="21">
        <f t="shared" si="5"/>
        <v>0</v>
      </c>
      <c r="O60" s="46">
        <f t="shared" si="3"/>
        <v>0</v>
      </c>
    </row>
    <row r="61" spans="2:15" s="75" customFormat="1" hidden="1" outlineLevel="1">
      <c r="B61" s="75" t="s">
        <v>26</v>
      </c>
      <c r="C61" s="31" t="s">
        <v>152</v>
      </c>
      <c r="D61" s="13"/>
      <c r="E61" s="46">
        <f>'AN Gas'!F59</f>
        <v>0</v>
      </c>
      <c r="F61" s="46"/>
      <c r="G61" s="46">
        <f>F61+E61</f>
        <v>0</v>
      </c>
      <c r="H61" s="46"/>
      <c r="I61" s="46">
        <f t="shared" si="0"/>
        <v>0</v>
      </c>
      <c r="J61" s="46">
        <f t="shared" si="1"/>
        <v>0</v>
      </c>
      <c r="K61" s="46">
        <f t="shared" si="2"/>
        <v>0</v>
      </c>
      <c r="L61" s="255"/>
      <c r="M61" s="21">
        <f t="shared" si="5"/>
        <v>0</v>
      </c>
      <c r="O61" s="46">
        <f t="shared" si="3"/>
        <v>0</v>
      </c>
    </row>
    <row r="62" spans="2:15" s="75" customFormat="1" hidden="1" outlineLevel="1">
      <c r="B62" s="75" t="s">
        <v>26</v>
      </c>
      <c r="C62" s="31" t="s">
        <v>153</v>
      </c>
      <c r="D62" s="13"/>
      <c r="E62" s="46">
        <f>'AN Gas'!F60</f>
        <v>0</v>
      </c>
      <c r="F62" s="46"/>
      <c r="G62" s="46">
        <f>F62+E62</f>
        <v>0</v>
      </c>
      <c r="H62" s="46"/>
      <c r="I62" s="46">
        <f t="shared" si="0"/>
        <v>0</v>
      </c>
      <c r="J62" s="46">
        <f t="shared" si="1"/>
        <v>0</v>
      </c>
      <c r="K62" s="46">
        <f t="shared" si="2"/>
        <v>0</v>
      </c>
      <c r="L62" s="255"/>
      <c r="M62" s="21">
        <f t="shared" si="5"/>
        <v>0</v>
      </c>
      <c r="O62" s="46">
        <f t="shared" si="3"/>
        <v>0</v>
      </c>
    </row>
    <row r="63" spans="2:15" s="75" customFormat="1" hidden="1" outlineLevel="1">
      <c r="B63" s="75" t="s">
        <v>26</v>
      </c>
      <c r="C63" s="31" t="s">
        <v>154</v>
      </c>
      <c r="D63" s="13"/>
      <c r="E63" s="46">
        <f>'AN Gas'!F61</f>
        <v>0</v>
      </c>
      <c r="F63" s="46"/>
      <c r="G63" s="46">
        <f>F63+E63</f>
        <v>0</v>
      </c>
      <c r="H63" s="46"/>
      <c r="I63" s="46">
        <f t="shared" si="0"/>
        <v>0</v>
      </c>
      <c r="J63" s="46">
        <f t="shared" si="1"/>
        <v>0</v>
      </c>
      <c r="K63" s="46">
        <f t="shared" si="2"/>
        <v>0</v>
      </c>
      <c r="L63" s="255"/>
      <c r="M63" s="21">
        <f t="shared" si="5"/>
        <v>0</v>
      </c>
      <c r="O63" s="46">
        <f t="shared" si="3"/>
        <v>0</v>
      </c>
    </row>
    <row r="64" spans="2:15" collapsed="1">
      <c r="C64" s="14" t="s">
        <v>11</v>
      </c>
      <c r="E64" s="21">
        <f>SUM(E60:E63)</f>
        <v>0</v>
      </c>
      <c r="F64" s="21"/>
      <c r="G64" s="21">
        <f t="shared" ref="G64:K64" si="12">SUM(G60:G63)</f>
        <v>0</v>
      </c>
      <c r="H64" s="21"/>
      <c r="I64" s="21">
        <f t="shared" si="12"/>
        <v>0</v>
      </c>
      <c r="J64" s="21">
        <f t="shared" si="12"/>
        <v>0</v>
      </c>
      <c r="K64" s="21">
        <f t="shared" si="12"/>
        <v>0</v>
      </c>
      <c r="L64" s="26"/>
      <c r="M64" s="21">
        <f t="shared" si="5"/>
        <v>0</v>
      </c>
      <c r="O64" s="21">
        <f t="shared" si="3"/>
        <v>0</v>
      </c>
    </row>
    <row r="65" spans="2:16">
      <c r="E65" s="22"/>
      <c r="F65" s="22"/>
      <c r="G65" s="22"/>
      <c r="H65" s="22"/>
      <c r="I65" s="22"/>
      <c r="J65" s="22"/>
      <c r="K65" s="22"/>
      <c r="L65" s="64"/>
      <c r="M65" s="21"/>
      <c r="O65" s="22"/>
    </row>
    <row r="66" spans="2:16" ht="12.75" hidden="1" customHeight="1" outlineLevel="1">
      <c r="C66" s="14" t="s">
        <v>12</v>
      </c>
      <c r="E66" s="22"/>
      <c r="F66" s="22"/>
      <c r="G66" s="22"/>
      <c r="H66" s="22"/>
      <c r="I66" s="22"/>
      <c r="J66" s="22"/>
      <c r="K66" s="22"/>
      <c r="L66" s="64"/>
      <c r="M66" s="21">
        <f t="shared" si="5"/>
        <v>0</v>
      </c>
      <c r="O66" s="22">
        <f t="shared" si="3"/>
        <v>0</v>
      </c>
    </row>
    <row r="67" spans="2:16" s="75" customFormat="1" ht="12.75" hidden="1" customHeight="1" outlineLevel="1">
      <c r="B67" s="75" t="s">
        <v>26</v>
      </c>
      <c r="C67" s="31" t="s">
        <v>155</v>
      </c>
      <c r="D67" s="13"/>
      <c r="E67" s="46">
        <f>'AN Gas'!F65</f>
        <v>3574905</v>
      </c>
      <c r="F67" s="46"/>
      <c r="G67" s="46">
        <f t="shared" ref="G67:G75" si="13">F67+E67</f>
        <v>3574905</v>
      </c>
      <c r="H67" s="46"/>
      <c r="I67" s="46">
        <f t="shared" si="0"/>
        <v>18554</v>
      </c>
      <c r="J67" s="46">
        <f t="shared" si="1"/>
        <v>107804</v>
      </c>
      <c r="K67" s="46">
        <f t="shared" si="2"/>
        <v>0</v>
      </c>
      <c r="L67" s="255"/>
      <c r="M67" s="21">
        <f t="shared" si="5"/>
        <v>126358</v>
      </c>
      <c r="O67" s="46">
        <f t="shared" si="3"/>
        <v>3701263</v>
      </c>
    </row>
    <row r="68" spans="2:16" s="75" customFormat="1" ht="12.75" hidden="1" customHeight="1" outlineLevel="1">
      <c r="B68" s="222" t="s">
        <v>26</v>
      </c>
      <c r="C68" s="31">
        <v>921</v>
      </c>
      <c r="D68" s="31" t="s">
        <v>89</v>
      </c>
      <c r="E68" s="46">
        <f>'AN Gas'!F66</f>
        <v>73452</v>
      </c>
      <c r="F68" s="46"/>
      <c r="G68" s="46">
        <f t="shared" si="13"/>
        <v>73452</v>
      </c>
      <c r="H68" s="46"/>
      <c r="I68" s="46">
        <f t="shared" si="0"/>
        <v>381</v>
      </c>
      <c r="J68" s="46">
        <f t="shared" si="1"/>
        <v>2215</v>
      </c>
      <c r="K68" s="46">
        <f t="shared" si="2"/>
        <v>0</v>
      </c>
      <c r="L68" s="255"/>
      <c r="M68" s="21">
        <f t="shared" si="5"/>
        <v>2596</v>
      </c>
      <c r="O68" s="46">
        <f t="shared" si="3"/>
        <v>76048</v>
      </c>
    </row>
    <row r="69" spans="2:16" s="75" customFormat="1" ht="12.75" hidden="1" customHeight="1" outlineLevel="1">
      <c r="B69" s="222" t="s">
        <v>26</v>
      </c>
      <c r="C69" s="31">
        <v>922</v>
      </c>
      <c r="D69" s="31" t="s">
        <v>176</v>
      </c>
      <c r="E69" s="46">
        <f>'AN Gas'!F67</f>
        <v>0</v>
      </c>
      <c r="F69" s="46"/>
      <c r="G69" s="46">
        <f>F69+E69</f>
        <v>0</v>
      </c>
      <c r="H69" s="46"/>
      <c r="I69" s="46">
        <f t="shared" si="0"/>
        <v>0</v>
      </c>
      <c r="J69" s="46">
        <f t="shared" si="1"/>
        <v>0</v>
      </c>
      <c r="K69" s="46">
        <f t="shared" si="2"/>
        <v>0</v>
      </c>
      <c r="L69" s="255"/>
      <c r="M69" s="21">
        <f t="shared" si="5"/>
        <v>0</v>
      </c>
      <c r="O69" s="46">
        <f t="shared" si="3"/>
        <v>0</v>
      </c>
    </row>
    <row r="70" spans="2:16" s="75" customFormat="1" ht="12.75" hidden="1" customHeight="1" outlineLevel="1">
      <c r="B70" s="75" t="s">
        <v>26</v>
      </c>
      <c r="C70" s="31" t="s">
        <v>156</v>
      </c>
      <c r="D70" s="13"/>
      <c r="E70" s="46">
        <f>'AN Gas'!F68</f>
        <v>5616</v>
      </c>
      <c r="F70" s="46"/>
      <c r="G70" s="46">
        <f t="shared" si="13"/>
        <v>5616</v>
      </c>
      <c r="H70" s="46"/>
      <c r="I70" s="46">
        <f t="shared" si="0"/>
        <v>29</v>
      </c>
      <c r="J70" s="46">
        <f t="shared" si="1"/>
        <v>169</v>
      </c>
      <c r="K70" s="46">
        <f t="shared" si="2"/>
        <v>0</v>
      </c>
      <c r="L70" s="255"/>
      <c r="M70" s="21">
        <f t="shared" si="5"/>
        <v>198</v>
      </c>
      <c r="O70" s="46">
        <f t="shared" si="3"/>
        <v>5814</v>
      </c>
    </row>
    <row r="71" spans="2:16" s="75" customFormat="1" ht="12.75" hidden="1" customHeight="1" outlineLevel="1">
      <c r="B71" s="75" t="s">
        <v>26</v>
      </c>
      <c r="C71" s="31" t="s">
        <v>157</v>
      </c>
      <c r="D71" s="13"/>
      <c r="E71" s="46">
        <f>'AN Gas'!F69</f>
        <v>0</v>
      </c>
      <c r="F71" s="46"/>
      <c r="G71" s="46">
        <f t="shared" si="13"/>
        <v>0</v>
      </c>
      <c r="H71" s="46"/>
      <c r="I71" s="46">
        <f t="shared" si="0"/>
        <v>0</v>
      </c>
      <c r="J71" s="46">
        <f t="shared" si="1"/>
        <v>0</v>
      </c>
      <c r="K71" s="46">
        <f t="shared" si="2"/>
        <v>0</v>
      </c>
      <c r="L71" s="255"/>
      <c r="M71" s="21">
        <f t="shared" si="5"/>
        <v>0</v>
      </c>
      <c r="O71" s="46">
        <f t="shared" si="3"/>
        <v>0</v>
      </c>
    </row>
    <row r="72" spans="2:16" s="75" customFormat="1" ht="12.75" hidden="1" customHeight="1" outlineLevel="1">
      <c r="B72" s="75" t="s">
        <v>26</v>
      </c>
      <c r="C72" s="31" t="s">
        <v>158</v>
      </c>
      <c r="D72" s="13"/>
      <c r="E72" s="46">
        <f>'AN Gas'!F70</f>
        <v>69281</v>
      </c>
      <c r="F72" s="46"/>
      <c r="G72" s="46">
        <f t="shared" si="13"/>
        <v>69281</v>
      </c>
      <c r="H72" s="46"/>
      <c r="I72" s="46">
        <f t="shared" si="0"/>
        <v>360</v>
      </c>
      <c r="J72" s="46">
        <f t="shared" si="1"/>
        <v>2089</v>
      </c>
      <c r="K72" s="46">
        <f t="shared" si="2"/>
        <v>0</v>
      </c>
      <c r="L72" s="255"/>
      <c r="M72" s="21">
        <f t="shared" si="5"/>
        <v>2449</v>
      </c>
      <c r="O72" s="46">
        <f t="shared" si="3"/>
        <v>71730</v>
      </c>
    </row>
    <row r="73" spans="2:16" s="75" customFormat="1" ht="12.75" hidden="1" customHeight="1" outlineLevel="1">
      <c r="B73" s="75" t="s">
        <v>26</v>
      </c>
      <c r="C73" s="31" t="s">
        <v>159</v>
      </c>
      <c r="D73" s="13"/>
      <c r="E73" s="46">
        <f>'AN Gas'!F71</f>
        <v>197996</v>
      </c>
      <c r="F73" s="46"/>
      <c r="G73" s="46">
        <f t="shared" si="13"/>
        <v>197996</v>
      </c>
      <c r="H73" s="46"/>
      <c r="I73" s="46">
        <f t="shared" si="0"/>
        <v>1028</v>
      </c>
      <c r="J73" s="46">
        <f t="shared" si="1"/>
        <v>5971</v>
      </c>
      <c r="K73" s="46">
        <f t="shared" si="2"/>
        <v>0</v>
      </c>
      <c r="L73" s="255"/>
      <c r="M73" s="21">
        <f t="shared" si="5"/>
        <v>6999</v>
      </c>
      <c r="O73" s="46">
        <f t="shared" si="3"/>
        <v>204995</v>
      </c>
    </row>
    <row r="74" spans="2:16" s="75" customFormat="1" ht="12.75" hidden="1" customHeight="1" outlineLevel="1">
      <c r="B74" s="75" t="s">
        <v>26</v>
      </c>
      <c r="C74" s="31" t="s">
        <v>160</v>
      </c>
      <c r="D74" s="13"/>
      <c r="E74" s="46">
        <f>'AN Gas'!F72</f>
        <v>61301</v>
      </c>
      <c r="F74" s="46"/>
      <c r="G74" s="46">
        <f t="shared" si="13"/>
        <v>61301</v>
      </c>
      <c r="H74" s="46"/>
      <c r="I74" s="46">
        <f t="shared" si="0"/>
        <v>318</v>
      </c>
      <c r="J74" s="46">
        <f t="shared" si="1"/>
        <v>1849</v>
      </c>
      <c r="K74" s="46">
        <f t="shared" si="2"/>
        <v>0</v>
      </c>
      <c r="L74" s="255"/>
      <c r="M74" s="21">
        <f t="shared" si="5"/>
        <v>2167</v>
      </c>
      <c r="O74" s="46">
        <f t="shared" si="3"/>
        <v>63468</v>
      </c>
    </row>
    <row r="75" spans="2:16" s="75" customFormat="1" ht="12.75" hidden="1" customHeight="1" outlineLevel="1">
      <c r="B75" s="75" t="s">
        <v>26</v>
      </c>
      <c r="C75" s="31" t="s">
        <v>161</v>
      </c>
      <c r="D75" s="13"/>
      <c r="E75" s="46">
        <f>'AN Gas'!F73</f>
        <v>322709</v>
      </c>
      <c r="F75" s="46"/>
      <c r="G75" s="46">
        <f t="shared" si="13"/>
        <v>322709</v>
      </c>
      <c r="H75" s="46"/>
      <c r="I75" s="46">
        <f t="shared" si="0"/>
        <v>1675</v>
      </c>
      <c r="J75" s="46">
        <f t="shared" si="1"/>
        <v>9732</v>
      </c>
      <c r="K75" s="46">
        <f t="shared" si="2"/>
        <v>0</v>
      </c>
      <c r="L75" s="255"/>
      <c r="M75" s="21">
        <f t="shared" si="5"/>
        <v>11407</v>
      </c>
      <c r="O75" s="46">
        <f t="shared" si="3"/>
        <v>334116</v>
      </c>
    </row>
    <row r="76" spans="2:16" s="132" customFormat="1" collapsed="1">
      <c r="C76" s="225" t="s">
        <v>13</v>
      </c>
      <c r="D76" s="225"/>
      <c r="E76" s="200">
        <f>SUM(E67:E75)</f>
        <v>4305260</v>
      </c>
      <c r="F76" s="200"/>
      <c r="G76" s="200">
        <f>SUM(G67:G75)</f>
        <v>4305260</v>
      </c>
      <c r="H76" s="200"/>
      <c r="I76" s="200">
        <f t="shared" ref="I76:K76" si="14">SUM(I67:I75)</f>
        <v>22345</v>
      </c>
      <c r="J76" s="200">
        <f t="shared" si="14"/>
        <v>129829</v>
      </c>
      <c r="K76" s="200">
        <f t="shared" si="14"/>
        <v>0</v>
      </c>
      <c r="L76" s="256"/>
      <c r="M76" s="21">
        <f t="shared" si="5"/>
        <v>152174</v>
      </c>
      <c r="O76" s="200">
        <f t="shared" si="3"/>
        <v>4457434</v>
      </c>
    </row>
    <row r="77" spans="2:16" s="75" customFormat="1">
      <c r="C77" s="223"/>
      <c r="D77" s="223"/>
      <c r="E77" s="224"/>
      <c r="F77" s="224"/>
      <c r="G77" s="224"/>
      <c r="H77" s="224"/>
      <c r="I77" s="224"/>
      <c r="J77" s="224"/>
      <c r="K77" s="224"/>
      <c r="L77" s="255"/>
      <c r="M77" s="224"/>
      <c r="O77" s="224"/>
    </row>
    <row r="78" spans="2:16">
      <c r="C78" s="14" t="s">
        <v>212</v>
      </c>
      <c r="E78" s="21">
        <f>E15+E20+E44+E51+E57+E64+E76</f>
        <v>13869470</v>
      </c>
      <c r="F78" s="21"/>
      <c r="G78" s="21">
        <f>G15+G20+G44+G51+G57+G64+G76</f>
        <v>13869470</v>
      </c>
      <c r="H78" s="21"/>
      <c r="I78" s="21">
        <f t="shared" ref="I78:M78" si="15">I15+I20+I44+I51+I57+I64+I76</f>
        <v>83440</v>
      </c>
      <c r="J78" s="21">
        <f t="shared" si="15"/>
        <v>418589</v>
      </c>
      <c r="K78" s="21">
        <f t="shared" si="15"/>
        <v>0</v>
      </c>
      <c r="L78" s="26"/>
      <c r="M78" s="21">
        <f t="shared" si="15"/>
        <v>502029</v>
      </c>
      <c r="N78" s="17"/>
      <c r="O78" s="21">
        <f t="shared" ref="O78" si="16">G78+M78</f>
        <v>14371499</v>
      </c>
      <c r="P78" s="17"/>
    </row>
    <row r="79" spans="2:16" s="98" customFormat="1">
      <c r="C79" s="99"/>
      <c r="D79" s="99"/>
      <c r="E79" s="96">
        <f>'AN Gas'!F76</f>
        <v>13869468</v>
      </c>
      <c r="F79" s="96"/>
      <c r="G79" s="97"/>
      <c r="H79" s="97"/>
      <c r="I79" s="97"/>
      <c r="J79" s="97"/>
      <c r="K79" s="97"/>
      <c r="L79" s="257"/>
      <c r="M79" s="97"/>
      <c r="O79" s="97"/>
    </row>
    <row r="80" spans="2:16" s="132" customFormat="1">
      <c r="B80" s="132" t="s">
        <v>26</v>
      </c>
      <c r="C80" s="223" t="s">
        <v>213</v>
      </c>
      <c r="D80" s="223"/>
      <c r="E80" s="260"/>
      <c r="F80" s="260"/>
      <c r="G80" s="261">
        <v>34415</v>
      </c>
      <c r="H80" s="261"/>
      <c r="I80" s="265"/>
      <c r="J80" s="265">
        <v>0</v>
      </c>
      <c r="K80" s="265">
        <f>ROUND(IF($B80="a",(G80+I80+J80)*K$8,(G80+I80+J80)*K$9),0)</f>
        <v>0</v>
      </c>
      <c r="L80" s="262"/>
      <c r="M80" s="261">
        <v>0</v>
      </c>
      <c r="N80" s="46"/>
      <c r="O80" s="261">
        <f>M80</f>
        <v>0</v>
      </c>
    </row>
    <row r="81" spans="3:15" s="132" customFormat="1">
      <c r="C81" s="225"/>
      <c r="D81" s="225"/>
      <c r="E81" s="258"/>
      <c r="F81" s="258"/>
      <c r="G81" s="134"/>
      <c r="H81" s="134"/>
      <c r="I81" s="134"/>
      <c r="J81" s="134"/>
      <c r="K81" s="134"/>
      <c r="L81" s="259"/>
      <c r="M81" s="134"/>
      <c r="O81" s="134"/>
    </row>
    <row r="82" spans="3:15" s="132" customFormat="1" ht="14.25" customHeight="1">
      <c r="C82" s="225" t="s">
        <v>214</v>
      </c>
      <c r="D82" s="225"/>
      <c r="E82" s="258"/>
      <c r="F82" s="258"/>
      <c r="G82" s="21">
        <f>G78+G80</f>
        <v>13903885</v>
      </c>
      <c r="H82" s="21"/>
      <c r="I82" s="21">
        <f>I78+I80</f>
        <v>83440</v>
      </c>
      <c r="J82" s="21">
        <f>J78+J80</f>
        <v>418589</v>
      </c>
      <c r="K82" s="21">
        <f>K78+K80</f>
        <v>0</v>
      </c>
      <c r="L82" s="26"/>
      <c r="M82" s="21">
        <f>M78+M80</f>
        <v>502029</v>
      </c>
      <c r="N82" s="17"/>
      <c r="O82" s="21">
        <f>O78+O80</f>
        <v>14371499</v>
      </c>
    </row>
    <row r="83" spans="3:15" s="132" customFormat="1" ht="14.25" customHeight="1">
      <c r="C83" s="225"/>
      <c r="D83" s="225"/>
      <c r="E83" s="258"/>
      <c r="F83" s="258"/>
      <c r="G83" s="26"/>
      <c r="H83" s="26"/>
      <c r="I83" s="26"/>
      <c r="J83" s="26"/>
      <c r="K83" s="26"/>
      <c r="L83" s="26"/>
      <c r="M83" s="26"/>
      <c r="N83" s="17"/>
      <c r="O83" s="26"/>
    </row>
    <row r="84" spans="3:15">
      <c r="I84" s="97"/>
      <c r="J84" s="97"/>
      <c r="K84" s="97"/>
      <c r="M84" s="254">
        <f>I82+J82+K82+G80</f>
        <v>536444</v>
      </c>
      <c r="O84" s="254">
        <f>G82+I82+J82+K82</f>
        <v>14405914</v>
      </c>
    </row>
    <row r="85" spans="3:15">
      <c r="D85" s="9"/>
      <c r="E85" s="18"/>
      <c r="F85" s="18"/>
      <c r="G85" s="18"/>
      <c r="H85" s="18"/>
      <c r="I85" s="97"/>
      <c r="J85" s="97"/>
      <c r="K85" s="97"/>
      <c r="M85" s="253" t="s">
        <v>197</v>
      </c>
      <c r="O85" s="253" t="s">
        <v>197</v>
      </c>
    </row>
    <row r="86" spans="3:15">
      <c r="C86" s="75" t="s">
        <v>200</v>
      </c>
      <c r="G86" s="18"/>
      <c r="H86" s="18"/>
      <c r="I86" s="18"/>
      <c r="J86" s="18"/>
      <c r="K86" s="18"/>
      <c r="M86" s="18"/>
      <c r="O86" s="18"/>
    </row>
    <row r="87" spans="3:15">
      <c r="E87" s="18"/>
      <c r="F87" s="18"/>
      <c r="G87" s="18"/>
      <c r="H87" s="18"/>
      <c r="I87" s="18"/>
      <c r="J87" s="18"/>
      <c r="K87" s="18"/>
      <c r="M87" s="18"/>
      <c r="O87" s="18"/>
    </row>
    <row r="88" spans="3:15">
      <c r="E88" s="18"/>
      <c r="F88" s="18"/>
      <c r="G88" s="18"/>
      <c r="H88" s="18"/>
      <c r="I88" s="18"/>
      <c r="J88" s="18"/>
      <c r="K88" s="110" t="s">
        <v>12</v>
      </c>
      <c r="M88" s="110"/>
      <c r="O88" s="18"/>
    </row>
    <row r="89" spans="3:15">
      <c r="E89" s="18"/>
      <c r="F89" s="18"/>
      <c r="G89" s="18"/>
      <c r="H89" s="18"/>
      <c r="I89" s="18"/>
      <c r="J89" s="18"/>
      <c r="K89" s="2" t="s">
        <v>217</v>
      </c>
      <c r="M89" s="17">
        <f>M76</f>
        <v>152174</v>
      </c>
      <c r="O89" s="17">
        <f>O76</f>
        <v>4457434</v>
      </c>
    </row>
    <row r="90" spans="3:15">
      <c r="E90" s="18"/>
      <c r="F90" s="18"/>
      <c r="G90" s="18"/>
      <c r="H90" s="18"/>
      <c r="I90" s="18"/>
      <c r="J90" s="18"/>
      <c r="K90" s="2" t="s">
        <v>218</v>
      </c>
      <c r="M90" s="270">
        <f>M80</f>
        <v>0</v>
      </c>
      <c r="O90" s="270">
        <f>O80</f>
        <v>0</v>
      </c>
    </row>
    <row r="91" spans="3:15">
      <c r="E91" s="18"/>
      <c r="F91" s="18"/>
      <c r="G91" s="18"/>
      <c r="H91" s="18"/>
      <c r="I91" s="18"/>
      <c r="J91" s="18"/>
      <c r="M91" s="17">
        <f>SUM(M89:M90)</f>
        <v>152174</v>
      </c>
      <c r="O91" s="17">
        <f>SUM(O89:O90)</f>
        <v>4457434</v>
      </c>
    </row>
    <row r="92" spans="3:15">
      <c r="E92" s="18"/>
      <c r="F92" s="18"/>
      <c r="G92" s="18"/>
      <c r="H92" s="18"/>
      <c r="I92" s="18"/>
      <c r="J92" s="18"/>
      <c r="K92" s="18"/>
      <c r="M92" s="18"/>
      <c r="O92" s="18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15">
      <c r="C113" s="2"/>
      <c r="D113" s="2"/>
    </row>
    <row r="114" spans="3:15">
      <c r="E114" s="18"/>
      <c r="F114" s="18"/>
      <c r="G114" s="18"/>
      <c r="H114" s="18"/>
      <c r="I114" s="18"/>
      <c r="J114" s="18"/>
      <c r="K114" s="18"/>
      <c r="M114" s="18"/>
      <c r="O114" s="18"/>
    </row>
    <row r="115" spans="3:15">
      <c r="E115" s="18"/>
      <c r="F115" s="18"/>
      <c r="G115" s="18"/>
      <c r="H115" s="18"/>
      <c r="I115" s="18"/>
      <c r="J115" s="18"/>
      <c r="K115" s="18"/>
      <c r="M115" s="18"/>
      <c r="O115" s="18"/>
    </row>
    <row r="116" spans="3:15">
      <c r="E116" s="18"/>
      <c r="F116" s="18"/>
      <c r="G116" s="18"/>
      <c r="H116" s="18"/>
      <c r="I116" s="18"/>
      <c r="J116" s="18"/>
      <c r="K116" s="18"/>
      <c r="M116" s="18"/>
      <c r="O116" s="18"/>
    </row>
    <row r="117" spans="3:15">
      <c r="E117" s="18"/>
      <c r="F117" s="18"/>
      <c r="G117" s="18"/>
      <c r="H117" s="18"/>
      <c r="I117" s="18"/>
      <c r="J117" s="18"/>
      <c r="K117" s="18"/>
      <c r="M117" s="18"/>
      <c r="O117" s="18"/>
    </row>
    <row r="118" spans="3:15">
      <c r="E118" s="18"/>
      <c r="F118" s="18"/>
      <c r="G118" s="18"/>
      <c r="H118" s="18"/>
      <c r="I118" s="18"/>
      <c r="J118" s="18"/>
      <c r="K118" s="18"/>
      <c r="M118" s="18"/>
      <c r="O118" s="18"/>
    </row>
    <row r="119" spans="3:15">
      <c r="E119" s="18"/>
      <c r="F119" s="18"/>
      <c r="G119" s="18"/>
      <c r="H119" s="18"/>
      <c r="I119" s="18"/>
      <c r="J119" s="18"/>
      <c r="K119" s="18"/>
      <c r="M119" s="18"/>
      <c r="O119" s="18"/>
    </row>
    <row r="120" spans="3:15">
      <c r="E120" s="18"/>
      <c r="F120" s="18"/>
      <c r="G120" s="18"/>
      <c r="H120" s="18"/>
      <c r="I120" s="18"/>
      <c r="J120" s="18"/>
      <c r="K120" s="18"/>
      <c r="M120" s="18"/>
      <c r="O120" s="18"/>
    </row>
    <row r="121" spans="3:15">
      <c r="E121" s="18"/>
      <c r="F121" s="18"/>
      <c r="G121" s="18"/>
      <c r="H121" s="18"/>
      <c r="I121" s="18"/>
      <c r="J121" s="18"/>
      <c r="K121" s="18"/>
      <c r="M121" s="18"/>
      <c r="O121" s="18"/>
    </row>
    <row r="122" spans="3:15">
      <c r="E122" s="18"/>
      <c r="F122" s="18"/>
      <c r="G122" s="18"/>
      <c r="H122" s="18"/>
      <c r="I122" s="18"/>
      <c r="J122" s="18"/>
      <c r="K122" s="18"/>
      <c r="M122" s="18"/>
      <c r="O122" s="18"/>
    </row>
    <row r="123" spans="3:15">
      <c r="E123" s="18"/>
      <c r="F123" s="18"/>
      <c r="G123" s="18"/>
      <c r="H123" s="18"/>
      <c r="I123" s="18"/>
      <c r="J123" s="18"/>
      <c r="K123" s="18"/>
      <c r="M123" s="18"/>
      <c r="O123" s="18"/>
    </row>
    <row r="124" spans="3:15">
      <c r="E124" s="18"/>
      <c r="F124" s="18"/>
      <c r="G124" s="18"/>
      <c r="H124" s="18"/>
      <c r="I124" s="18"/>
      <c r="J124" s="18"/>
      <c r="K124" s="18"/>
      <c r="M124" s="18"/>
      <c r="O124" s="18"/>
    </row>
    <row r="125" spans="3:15">
      <c r="E125" s="18"/>
      <c r="F125" s="18"/>
      <c r="G125" s="18"/>
      <c r="H125" s="18"/>
      <c r="I125" s="18"/>
      <c r="J125" s="18"/>
      <c r="K125" s="18"/>
      <c r="M125" s="18"/>
      <c r="O125" s="18"/>
    </row>
    <row r="126" spans="3:15">
      <c r="E126" s="18"/>
      <c r="F126" s="18"/>
      <c r="G126" s="18"/>
      <c r="H126" s="18"/>
      <c r="I126" s="18"/>
      <c r="J126" s="18"/>
      <c r="K126" s="18"/>
      <c r="M126" s="18"/>
      <c r="O126" s="18"/>
    </row>
    <row r="127" spans="3:15">
      <c r="E127" s="18"/>
      <c r="F127" s="18"/>
      <c r="G127" s="18"/>
      <c r="H127" s="18"/>
      <c r="I127" s="18"/>
      <c r="J127" s="18"/>
      <c r="K127" s="18"/>
      <c r="M127" s="18"/>
      <c r="O127" s="18"/>
    </row>
    <row r="128" spans="3:15">
      <c r="E128" s="18"/>
      <c r="F128" s="18"/>
      <c r="G128" s="18"/>
      <c r="H128" s="18"/>
      <c r="I128" s="18"/>
      <c r="J128" s="18"/>
      <c r="K128" s="18"/>
      <c r="M128" s="18"/>
      <c r="O128" s="18"/>
    </row>
    <row r="129" spans="5:15">
      <c r="E129" s="18"/>
      <c r="F129" s="18"/>
      <c r="G129" s="18"/>
      <c r="H129" s="18"/>
      <c r="I129" s="18"/>
      <c r="J129" s="18"/>
      <c r="K129" s="18"/>
      <c r="M129" s="18"/>
      <c r="O129" s="18"/>
    </row>
    <row r="130" spans="5:15">
      <c r="E130" s="18"/>
      <c r="F130" s="18"/>
      <c r="G130" s="18"/>
      <c r="H130" s="18"/>
      <c r="I130" s="18"/>
      <c r="J130" s="18"/>
      <c r="K130" s="18"/>
      <c r="M130" s="18"/>
      <c r="O130" s="18"/>
    </row>
    <row r="131" spans="5:15">
      <c r="E131" s="18"/>
      <c r="F131" s="18"/>
      <c r="G131" s="18"/>
      <c r="H131" s="18"/>
      <c r="I131" s="18"/>
      <c r="J131" s="18"/>
      <c r="K131" s="18"/>
      <c r="M131" s="18"/>
      <c r="O131" s="18"/>
    </row>
    <row r="132" spans="5:15">
      <c r="E132" s="18"/>
      <c r="F132" s="18"/>
      <c r="G132" s="18"/>
      <c r="H132" s="18"/>
      <c r="I132" s="18"/>
      <c r="J132" s="18"/>
      <c r="K132" s="18"/>
      <c r="M132" s="18"/>
      <c r="O132" s="18"/>
    </row>
    <row r="133" spans="5:15">
      <c r="E133" s="18"/>
      <c r="F133" s="18"/>
      <c r="G133" s="18"/>
      <c r="H133" s="18"/>
      <c r="I133" s="18"/>
      <c r="J133" s="18"/>
      <c r="K133" s="18"/>
      <c r="M133" s="18"/>
      <c r="O133" s="18"/>
    </row>
    <row r="134" spans="5:15">
      <c r="E134" s="18"/>
      <c r="F134" s="18"/>
      <c r="G134" s="18"/>
      <c r="H134" s="18"/>
      <c r="I134" s="18"/>
      <c r="J134" s="18"/>
      <c r="K134" s="18"/>
      <c r="M134" s="18"/>
      <c r="O134" s="18"/>
    </row>
    <row r="135" spans="5:15">
      <c r="E135" s="18"/>
      <c r="F135" s="18"/>
      <c r="G135" s="18"/>
      <c r="H135" s="18"/>
      <c r="I135" s="18"/>
      <c r="J135" s="18"/>
      <c r="K135" s="18"/>
      <c r="M135" s="18"/>
      <c r="O135" s="18"/>
    </row>
    <row r="136" spans="5:15">
      <c r="E136" s="17"/>
      <c r="F136" s="17"/>
      <c r="G136" s="17"/>
      <c r="H136" s="17"/>
      <c r="I136" s="17"/>
      <c r="J136" s="17"/>
      <c r="K136" s="17"/>
      <c r="M136" s="17"/>
      <c r="O136" s="17"/>
    </row>
    <row r="137" spans="5:15">
      <c r="E137" s="17"/>
      <c r="F137" s="17"/>
      <c r="G137" s="17"/>
      <c r="H137" s="17"/>
      <c r="I137" s="17"/>
      <c r="J137" s="17"/>
      <c r="K137" s="17"/>
      <c r="M137" s="17"/>
      <c r="O137" s="17"/>
    </row>
    <row r="138" spans="5:15">
      <c r="E138" s="17"/>
      <c r="F138" s="17"/>
      <c r="G138" s="17"/>
      <c r="H138" s="17"/>
      <c r="I138" s="17"/>
      <c r="J138" s="17"/>
      <c r="K138" s="17"/>
      <c r="M138" s="17"/>
      <c r="O138" s="17"/>
    </row>
    <row r="139" spans="5:15">
      <c r="E139" s="17"/>
      <c r="F139" s="17"/>
      <c r="G139" s="17"/>
      <c r="H139" s="17"/>
      <c r="I139" s="17"/>
      <c r="J139" s="17"/>
      <c r="K139" s="17"/>
      <c r="M139" s="17"/>
      <c r="O139" s="17"/>
    </row>
    <row r="140" spans="5:15">
      <c r="E140" s="17"/>
      <c r="F140" s="17"/>
      <c r="G140" s="17"/>
      <c r="H140" s="17"/>
      <c r="I140" s="17"/>
      <c r="J140" s="17"/>
      <c r="K140" s="17"/>
      <c r="M140" s="17"/>
      <c r="O140" s="17"/>
    </row>
    <row r="141" spans="5:15">
      <c r="E141" s="17"/>
      <c r="F141" s="17"/>
      <c r="G141" s="17"/>
      <c r="H141" s="17"/>
      <c r="I141" s="17"/>
      <c r="J141" s="17"/>
      <c r="K141" s="17"/>
      <c r="M141" s="17"/>
      <c r="O141" s="17"/>
    </row>
    <row r="142" spans="5:15">
      <c r="E142" s="17"/>
      <c r="F142" s="17"/>
      <c r="G142" s="17"/>
      <c r="H142" s="17"/>
      <c r="I142" s="17"/>
      <c r="J142" s="17"/>
      <c r="K142" s="17"/>
      <c r="M142" s="17"/>
      <c r="O142" s="17"/>
    </row>
    <row r="143" spans="5:15">
      <c r="E143" s="17"/>
      <c r="F143" s="17"/>
      <c r="G143" s="17"/>
      <c r="H143" s="17"/>
      <c r="I143" s="17"/>
      <c r="J143" s="17"/>
      <c r="K143" s="17"/>
      <c r="M143" s="17"/>
      <c r="O143" s="17"/>
    </row>
    <row r="144" spans="5:15">
      <c r="E144" s="17"/>
      <c r="F144" s="17"/>
      <c r="G144" s="17"/>
      <c r="H144" s="17"/>
      <c r="I144" s="17"/>
      <c r="J144" s="17"/>
      <c r="K144" s="17"/>
      <c r="M144" s="17"/>
      <c r="O144" s="17"/>
    </row>
    <row r="145" spans="5:15">
      <c r="E145" s="17"/>
      <c r="F145" s="17"/>
      <c r="G145" s="17"/>
      <c r="H145" s="17"/>
      <c r="I145" s="17"/>
      <c r="J145" s="17"/>
      <c r="K145" s="17"/>
      <c r="M145" s="17"/>
      <c r="O145" s="17"/>
    </row>
    <row r="146" spans="5:15">
      <c r="E146" s="17"/>
      <c r="F146" s="17"/>
      <c r="G146" s="17"/>
      <c r="H146" s="17"/>
      <c r="I146" s="17"/>
      <c r="J146" s="17"/>
      <c r="K146" s="17"/>
      <c r="M146" s="17"/>
      <c r="O146" s="17"/>
    </row>
    <row r="147" spans="5:15">
      <c r="E147" s="17"/>
      <c r="F147" s="17"/>
      <c r="G147" s="17"/>
      <c r="H147" s="17"/>
      <c r="I147" s="17"/>
      <c r="J147" s="17"/>
      <c r="K147" s="17"/>
      <c r="M147" s="17"/>
      <c r="O147" s="17"/>
    </row>
    <row r="148" spans="5:15">
      <c r="E148" s="17"/>
      <c r="F148" s="17"/>
      <c r="G148" s="17"/>
      <c r="H148" s="17"/>
      <c r="I148" s="17"/>
      <c r="J148" s="17"/>
      <c r="K148" s="17"/>
      <c r="M148" s="17"/>
      <c r="O148" s="17"/>
    </row>
    <row r="149" spans="5:15">
      <c r="E149" s="17"/>
      <c r="F149" s="17"/>
      <c r="G149" s="17"/>
      <c r="H149" s="17"/>
      <c r="I149" s="17"/>
      <c r="J149" s="17"/>
      <c r="K149" s="17"/>
      <c r="M149" s="17"/>
      <c r="O149" s="17"/>
    </row>
    <row r="150" spans="5:15">
      <c r="E150" s="17"/>
      <c r="F150" s="17"/>
      <c r="G150" s="17"/>
      <c r="H150" s="17"/>
      <c r="I150" s="17"/>
      <c r="J150" s="17"/>
      <c r="K150" s="17"/>
      <c r="M150" s="17"/>
      <c r="O150" s="17"/>
    </row>
    <row r="151" spans="5:15">
      <c r="E151" s="17"/>
      <c r="F151" s="17"/>
      <c r="G151" s="17"/>
      <c r="H151" s="17"/>
      <c r="I151" s="17"/>
      <c r="J151" s="17"/>
      <c r="K151" s="17"/>
      <c r="M151" s="17"/>
      <c r="O151" s="17"/>
    </row>
    <row r="152" spans="5:15">
      <c r="E152" s="17"/>
      <c r="F152" s="17"/>
      <c r="G152" s="17"/>
      <c r="H152" s="17"/>
      <c r="I152" s="17"/>
      <c r="J152" s="17"/>
      <c r="K152" s="17"/>
      <c r="M152" s="17"/>
      <c r="O152" s="17"/>
    </row>
    <row r="153" spans="5:15">
      <c r="E153" s="17"/>
      <c r="F153" s="17"/>
      <c r="G153" s="17"/>
      <c r="H153" s="17"/>
      <c r="I153" s="17"/>
      <c r="J153" s="17"/>
      <c r="K153" s="17"/>
      <c r="M153" s="17"/>
      <c r="O153" s="17"/>
    </row>
    <row r="154" spans="5:15">
      <c r="E154" s="17"/>
      <c r="F154" s="17"/>
      <c r="G154" s="17"/>
      <c r="H154" s="17"/>
      <c r="I154" s="17"/>
      <c r="J154" s="17"/>
      <c r="K154" s="17"/>
      <c r="M154" s="17"/>
      <c r="O154" s="17"/>
    </row>
    <row r="155" spans="5:15">
      <c r="E155" s="17"/>
      <c r="F155" s="17"/>
      <c r="G155" s="17"/>
      <c r="H155" s="17"/>
      <c r="I155" s="17"/>
      <c r="J155" s="17"/>
      <c r="K155" s="17"/>
      <c r="M155" s="17"/>
      <c r="O155" s="17"/>
    </row>
    <row r="156" spans="5:15">
      <c r="E156" s="17"/>
      <c r="F156" s="17"/>
      <c r="G156" s="17"/>
      <c r="H156" s="17"/>
      <c r="I156" s="17"/>
      <c r="J156" s="17"/>
      <c r="K156" s="17"/>
      <c r="M156" s="17"/>
      <c r="O156" s="17"/>
    </row>
    <row r="157" spans="5:15">
      <c r="E157" s="17"/>
      <c r="F157" s="17"/>
      <c r="G157" s="17"/>
      <c r="H157" s="17"/>
      <c r="I157" s="17"/>
      <c r="J157" s="17"/>
      <c r="K157" s="17"/>
      <c r="M157" s="17"/>
      <c r="O157" s="17"/>
    </row>
    <row r="158" spans="5:15">
      <c r="E158" s="17"/>
      <c r="F158" s="17"/>
      <c r="G158" s="17"/>
      <c r="H158" s="17"/>
      <c r="I158" s="17"/>
      <c r="J158" s="17"/>
      <c r="K158" s="17"/>
      <c r="M158" s="17"/>
      <c r="O158" s="17"/>
    </row>
    <row r="159" spans="5:15">
      <c r="E159" s="17"/>
      <c r="F159" s="17"/>
      <c r="G159" s="17"/>
      <c r="H159" s="17"/>
      <c r="I159" s="17"/>
      <c r="J159" s="17"/>
      <c r="K159" s="17"/>
      <c r="M159" s="17"/>
      <c r="O159" s="17"/>
    </row>
    <row r="160" spans="5:15">
      <c r="E160" s="17"/>
      <c r="F160" s="17"/>
      <c r="G160" s="17"/>
      <c r="H160" s="17"/>
      <c r="I160" s="17"/>
      <c r="J160" s="17"/>
      <c r="K160" s="17"/>
      <c r="M160" s="17"/>
      <c r="O160" s="17"/>
    </row>
    <row r="161" spans="5:15">
      <c r="E161" s="17"/>
      <c r="F161" s="17"/>
      <c r="G161" s="17"/>
      <c r="H161" s="17"/>
      <c r="I161" s="17"/>
      <c r="J161" s="17"/>
      <c r="K161" s="17"/>
      <c r="M161" s="17"/>
      <c r="O161" s="17"/>
    </row>
    <row r="162" spans="5:15">
      <c r="E162" s="17"/>
      <c r="F162" s="17"/>
      <c r="G162" s="17"/>
      <c r="H162" s="17"/>
      <c r="I162" s="17"/>
      <c r="J162" s="17"/>
      <c r="K162" s="17"/>
      <c r="M162" s="17"/>
      <c r="O162" s="17"/>
    </row>
    <row r="163" spans="5:15">
      <c r="E163" s="17"/>
      <c r="F163" s="17"/>
      <c r="G163" s="17"/>
      <c r="H163" s="17"/>
      <c r="I163" s="17"/>
      <c r="J163" s="17"/>
      <c r="K163" s="17"/>
      <c r="M163" s="17"/>
      <c r="O163" s="17"/>
    </row>
    <row r="164" spans="5:15">
      <c r="E164" s="17"/>
      <c r="F164" s="17"/>
      <c r="G164" s="17"/>
      <c r="H164" s="17"/>
      <c r="I164" s="17"/>
      <c r="J164" s="17"/>
      <c r="K164" s="17"/>
      <c r="M164" s="17"/>
      <c r="O164" s="17"/>
    </row>
    <row r="165" spans="5:15">
      <c r="E165" s="17"/>
      <c r="F165" s="17"/>
      <c r="G165" s="17"/>
      <c r="H165" s="17"/>
      <c r="I165" s="17"/>
      <c r="J165" s="17"/>
      <c r="K165" s="17"/>
      <c r="M165" s="17"/>
      <c r="O165" s="17"/>
    </row>
    <row r="166" spans="5:15">
      <c r="E166" s="17"/>
      <c r="F166" s="17"/>
      <c r="G166" s="17"/>
      <c r="H166" s="17"/>
      <c r="I166" s="17"/>
      <c r="J166" s="17"/>
      <c r="K166" s="17"/>
      <c r="M166" s="17"/>
      <c r="O166" s="17"/>
    </row>
    <row r="167" spans="5:15">
      <c r="E167" s="17"/>
      <c r="F167" s="17"/>
      <c r="G167" s="17"/>
      <c r="H167" s="17"/>
      <c r="I167" s="17"/>
      <c r="J167" s="17"/>
      <c r="K167" s="17"/>
      <c r="M167" s="17"/>
      <c r="O167" s="17"/>
    </row>
    <row r="168" spans="5:15">
      <c r="E168" s="17"/>
      <c r="F168" s="17"/>
      <c r="G168" s="17"/>
      <c r="H168" s="17"/>
      <c r="I168" s="17"/>
      <c r="J168" s="17"/>
      <c r="K168" s="17"/>
      <c r="M168" s="17"/>
      <c r="O168" s="17"/>
    </row>
    <row r="169" spans="5:15">
      <c r="E169" s="17"/>
      <c r="F169" s="17"/>
      <c r="G169" s="17"/>
      <c r="H169" s="17"/>
      <c r="I169" s="17"/>
      <c r="J169" s="17"/>
      <c r="K169" s="17"/>
      <c r="M169" s="17"/>
      <c r="O169" s="17"/>
    </row>
    <row r="170" spans="5:15">
      <c r="E170" s="17"/>
      <c r="F170" s="17"/>
      <c r="G170" s="17"/>
      <c r="H170" s="17"/>
      <c r="I170" s="17"/>
      <c r="J170" s="17"/>
      <c r="K170" s="17"/>
      <c r="M170" s="17"/>
      <c r="O170" s="17"/>
    </row>
    <row r="171" spans="5:15">
      <c r="E171" s="17"/>
      <c r="F171" s="17"/>
      <c r="G171" s="17"/>
      <c r="H171" s="17"/>
      <c r="I171" s="17"/>
      <c r="J171" s="17"/>
      <c r="K171" s="17"/>
      <c r="M171" s="17"/>
      <c r="O171" s="17"/>
    </row>
    <row r="172" spans="5:15">
      <c r="E172" s="17"/>
      <c r="F172" s="17"/>
      <c r="G172" s="17"/>
      <c r="H172" s="17"/>
      <c r="I172" s="17"/>
      <c r="J172" s="17"/>
      <c r="K172" s="17"/>
      <c r="M172" s="17"/>
      <c r="O172" s="17"/>
    </row>
    <row r="173" spans="5:15">
      <c r="E173" s="17"/>
      <c r="F173" s="17"/>
      <c r="G173" s="17"/>
      <c r="H173" s="17"/>
      <c r="I173" s="17"/>
      <c r="J173" s="17"/>
      <c r="K173" s="17"/>
      <c r="M173" s="17"/>
      <c r="O173" s="17"/>
    </row>
    <row r="174" spans="5:15">
      <c r="E174" s="17"/>
      <c r="F174" s="17"/>
      <c r="G174" s="17"/>
      <c r="H174" s="17"/>
      <c r="I174" s="17"/>
      <c r="J174" s="17"/>
      <c r="K174" s="17"/>
      <c r="M174" s="17"/>
      <c r="O174" s="17"/>
    </row>
    <row r="175" spans="5:15">
      <c r="E175" s="17"/>
      <c r="F175" s="17"/>
      <c r="G175" s="17"/>
      <c r="H175" s="17"/>
      <c r="I175" s="17"/>
      <c r="J175" s="17"/>
      <c r="K175" s="17"/>
      <c r="M175" s="17"/>
      <c r="O175" s="17"/>
    </row>
    <row r="176" spans="5:15">
      <c r="E176" s="17"/>
      <c r="F176" s="17"/>
      <c r="G176" s="17"/>
      <c r="H176" s="17"/>
      <c r="I176" s="17"/>
      <c r="J176" s="17"/>
      <c r="K176" s="17"/>
      <c r="M176" s="17"/>
      <c r="O176" s="17"/>
    </row>
    <row r="177" spans="5:15">
      <c r="E177" s="17"/>
      <c r="F177" s="17"/>
      <c r="G177" s="17"/>
      <c r="H177" s="17"/>
      <c r="I177" s="17"/>
      <c r="J177" s="17"/>
      <c r="K177" s="17"/>
      <c r="M177" s="17"/>
      <c r="O177" s="17"/>
    </row>
    <row r="178" spans="5:15">
      <c r="E178" s="17"/>
      <c r="F178" s="17"/>
      <c r="G178" s="17"/>
      <c r="H178" s="17"/>
      <c r="I178" s="17"/>
      <c r="J178" s="17"/>
      <c r="K178" s="17"/>
      <c r="M178" s="17"/>
      <c r="O178" s="17"/>
    </row>
    <row r="179" spans="5:15">
      <c r="E179" s="17"/>
      <c r="F179" s="17"/>
      <c r="G179" s="17"/>
      <c r="H179" s="17"/>
      <c r="I179" s="17"/>
      <c r="J179" s="17"/>
      <c r="K179" s="17"/>
      <c r="M179" s="17"/>
      <c r="O179" s="17"/>
    </row>
    <row r="180" spans="5:15">
      <c r="E180" s="17"/>
      <c r="F180" s="17"/>
      <c r="G180" s="17"/>
      <c r="H180" s="17"/>
      <c r="I180" s="17"/>
      <c r="J180" s="17"/>
      <c r="K180" s="17"/>
      <c r="M180" s="17"/>
      <c r="O180" s="17"/>
    </row>
    <row r="181" spans="5:15">
      <c r="E181" s="17"/>
      <c r="F181" s="17"/>
      <c r="G181" s="17"/>
      <c r="H181" s="17"/>
      <c r="I181" s="17"/>
      <c r="J181" s="17"/>
      <c r="K181" s="17"/>
      <c r="M181" s="17"/>
      <c r="O181" s="17"/>
    </row>
    <row r="182" spans="5:15">
      <c r="E182" s="17"/>
      <c r="F182" s="17"/>
      <c r="G182" s="17"/>
      <c r="H182" s="17"/>
      <c r="I182" s="17"/>
      <c r="J182" s="17"/>
      <c r="K182" s="17"/>
      <c r="M182" s="17"/>
      <c r="O182" s="17"/>
    </row>
    <row r="183" spans="5:15">
      <c r="E183" s="17"/>
      <c r="F183" s="17"/>
      <c r="G183" s="17"/>
      <c r="H183" s="17"/>
      <c r="I183" s="17"/>
      <c r="J183" s="17"/>
      <c r="K183" s="17"/>
      <c r="M183" s="17"/>
      <c r="O183" s="17"/>
    </row>
    <row r="184" spans="5:15">
      <c r="E184" s="17"/>
      <c r="F184" s="17"/>
      <c r="G184" s="17"/>
      <c r="H184" s="17"/>
      <c r="I184" s="17"/>
      <c r="J184" s="17"/>
      <c r="K184" s="17"/>
      <c r="M184" s="17"/>
      <c r="O184" s="17"/>
    </row>
    <row r="185" spans="5:15">
      <c r="E185" s="17"/>
      <c r="F185" s="17"/>
      <c r="G185" s="17"/>
      <c r="H185" s="17"/>
      <c r="I185" s="17"/>
      <c r="J185" s="17"/>
      <c r="K185" s="17"/>
      <c r="M185" s="17"/>
      <c r="O185" s="17"/>
    </row>
    <row r="186" spans="5:15">
      <c r="E186" s="17"/>
      <c r="F186" s="17"/>
      <c r="G186" s="17"/>
      <c r="H186" s="17"/>
      <c r="I186" s="17"/>
      <c r="J186" s="17"/>
      <c r="K186" s="17"/>
      <c r="M186" s="17"/>
      <c r="O186" s="17"/>
    </row>
    <row r="187" spans="5:15">
      <c r="E187" s="17"/>
      <c r="F187" s="17"/>
      <c r="G187" s="17"/>
      <c r="H187" s="17"/>
      <c r="I187" s="17"/>
      <c r="J187" s="17"/>
      <c r="K187" s="17"/>
      <c r="M187" s="17"/>
      <c r="O187" s="17"/>
    </row>
    <row r="188" spans="5:15">
      <c r="E188" s="17"/>
      <c r="F188" s="17"/>
      <c r="G188" s="17"/>
      <c r="H188" s="17"/>
      <c r="I188" s="17"/>
      <c r="J188" s="17"/>
      <c r="K188" s="17"/>
      <c r="M188" s="17"/>
      <c r="O188" s="17"/>
    </row>
    <row r="189" spans="5:15">
      <c r="E189" s="17"/>
      <c r="F189" s="17"/>
      <c r="G189" s="17"/>
      <c r="H189" s="17"/>
      <c r="I189" s="17"/>
      <c r="J189" s="17"/>
      <c r="K189" s="17"/>
      <c r="M189" s="17"/>
      <c r="O189" s="17"/>
    </row>
    <row r="190" spans="5:15">
      <c r="E190" s="17"/>
      <c r="F190" s="17"/>
      <c r="G190" s="17"/>
      <c r="H190" s="17"/>
      <c r="I190" s="17"/>
      <c r="J190" s="17"/>
      <c r="K190" s="17"/>
      <c r="M190" s="17"/>
      <c r="O190" s="17"/>
    </row>
    <row r="191" spans="5:15">
      <c r="E191" s="17"/>
      <c r="F191" s="17"/>
      <c r="G191" s="17"/>
      <c r="H191" s="17"/>
      <c r="I191" s="17"/>
      <c r="J191" s="17"/>
      <c r="K191" s="17"/>
      <c r="M191" s="17"/>
      <c r="O191" s="17"/>
    </row>
    <row r="192" spans="5:15">
      <c r="E192" s="17"/>
      <c r="F192" s="17"/>
      <c r="G192" s="17"/>
      <c r="H192" s="17"/>
      <c r="I192" s="17"/>
      <c r="J192" s="17"/>
      <c r="K192" s="17"/>
      <c r="M192" s="17"/>
      <c r="O192" s="17"/>
    </row>
    <row r="193" spans="5:15">
      <c r="E193" s="17"/>
      <c r="F193" s="17"/>
      <c r="G193" s="17"/>
      <c r="H193" s="17"/>
      <c r="I193" s="17"/>
      <c r="J193" s="17"/>
      <c r="K193" s="17"/>
      <c r="M193" s="17"/>
      <c r="O193" s="17"/>
    </row>
    <row r="194" spans="5:15">
      <c r="E194" s="17"/>
      <c r="F194" s="17"/>
      <c r="G194" s="17"/>
      <c r="H194" s="17"/>
      <c r="I194" s="17"/>
      <c r="J194" s="17"/>
      <c r="K194" s="17"/>
      <c r="M194" s="17"/>
      <c r="O194" s="17"/>
    </row>
    <row r="195" spans="5:15">
      <c r="E195" s="17"/>
      <c r="F195" s="17"/>
      <c r="G195" s="17"/>
      <c r="H195" s="17"/>
      <c r="I195" s="17"/>
      <c r="J195" s="17"/>
      <c r="K195" s="17"/>
      <c r="M195" s="17"/>
      <c r="O195" s="17"/>
    </row>
    <row r="196" spans="5:15">
      <c r="E196" s="17"/>
      <c r="F196" s="17"/>
      <c r="G196" s="17"/>
      <c r="H196" s="17"/>
      <c r="I196" s="17"/>
      <c r="J196" s="17"/>
      <c r="K196" s="17"/>
      <c r="M196" s="17"/>
      <c r="O196" s="17"/>
    </row>
    <row r="197" spans="5:15">
      <c r="E197" s="17"/>
      <c r="F197" s="17"/>
      <c r="G197" s="17"/>
      <c r="H197" s="17"/>
      <c r="I197" s="17"/>
      <c r="J197" s="17"/>
      <c r="K197" s="17"/>
      <c r="M197" s="17"/>
      <c r="O197" s="17"/>
    </row>
    <row r="198" spans="5:15">
      <c r="E198" s="17"/>
      <c r="F198" s="17"/>
      <c r="G198" s="17"/>
      <c r="H198" s="17"/>
      <c r="I198" s="17"/>
      <c r="J198" s="17"/>
      <c r="K198" s="17"/>
      <c r="M198" s="17"/>
      <c r="O198" s="17"/>
    </row>
    <row r="199" spans="5:15">
      <c r="E199" s="17"/>
      <c r="F199" s="17"/>
      <c r="G199" s="17"/>
      <c r="H199" s="17"/>
      <c r="I199" s="17"/>
      <c r="J199" s="17"/>
      <c r="K199" s="17"/>
      <c r="M199" s="17"/>
      <c r="O199" s="17"/>
    </row>
    <row r="200" spans="5:15">
      <c r="E200" s="17"/>
      <c r="F200" s="17"/>
      <c r="G200" s="17"/>
      <c r="H200" s="17"/>
      <c r="I200" s="17"/>
      <c r="J200" s="17"/>
      <c r="K200" s="17"/>
      <c r="M200" s="17"/>
      <c r="O200" s="17"/>
    </row>
    <row r="201" spans="5:15">
      <c r="E201" s="17"/>
      <c r="F201" s="17"/>
      <c r="G201" s="17"/>
      <c r="H201" s="17"/>
      <c r="I201" s="17"/>
      <c r="J201" s="17"/>
      <c r="K201" s="17"/>
      <c r="M201" s="17"/>
      <c r="O201" s="17"/>
    </row>
    <row r="202" spans="5:15">
      <c r="E202" s="17"/>
      <c r="F202" s="17"/>
      <c r="G202" s="17"/>
      <c r="H202" s="17"/>
      <c r="I202" s="17"/>
      <c r="J202" s="17"/>
      <c r="K202" s="17"/>
      <c r="M202" s="17"/>
      <c r="O202" s="17"/>
    </row>
    <row r="203" spans="5:15">
      <c r="E203" s="17"/>
      <c r="F203" s="17"/>
      <c r="G203" s="17"/>
      <c r="H203" s="17"/>
      <c r="I203" s="17"/>
      <c r="J203" s="17"/>
      <c r="K203" s="17"/>
      <c r="M203" s="17"/>
      <c r="O203" s="17"/>
    </row>
    <row r="204" spans="5:15">
      <c r="E204" s="17"/>
      <c r="F204" s="17"/>
      <c r="G204" s="17"/>
      <c r="H204" s="17"/>
      <c r="I204" s="17"/>
      <c r="J204" s="17"/>
      <c r="K204" s="17"/>
      <c r="M204" s="17"/>
      <c r="O204" s="17"/>
    </row>
    <row r="205" spans="5:15">
      <c r="E205" s="17"/>
      <c r="F205" s="17"/>
      <c r="G205" s="17"/>
      <c r="H205" s="17"/>
      <c r="I205" s="17"/>
      <c r="J205" s="17"/>
      <c r="K205" s="17"/>
      <c r="M205" s="17"/>
      <c r="O205" s="17"/>
    </row>
    <row r="206" spans="5:15">
      <c r="E206" s="17"/>
      <c r="F206" s="17"/>
      <c r="G206" s="17"/>
      <c r="H206" s="17"/>
      <c r="I206" s="17"/>
      <c r="J206" s="17"/>
      <c r="K206" s="17"/>
      <c r="M206" s="17"/>
      <c r="O206" s="17"/>
    </row>
    <row r="207" spans="5:15">
      <c r="E207" s="17"/>
      <c r="F207" s="17"/>
      <c r="G207" s="17"/>
      <c r="H207" s="17"/>
      <c r="I207" s="17"/>
      <c r="J207" s="17"/>
      <c r="K207" s="17"/>
      <c r="M207" s="17"/>
      <c r="O207" s="17"/>
    </row>
    <row r="208" spans="5:15">
      <c r="E208" s="17"/>
      <c r="F208" s="17"/>
      <c r="G208" s="17"/>
      <c r="H208" s="17"/>
      <c r="I208" s="17"/>
      <c r="J208" s="17"/>
      <c r="K208" s="17"/>
      <c r="M208" s="17"/>
      <c r="O208" s="17"/>
    </row>
    <row r="209" spans="5:15">
      <c r="E209" s="17"/>
      <c r="F209" s="17"/>
      <c r="G209" s="17"/>
      <c r="H209" s="17"/>
      <c r="I209" s="17"/>
      <c r="J209" s="17"/>
      <c r="K209" s="17"/>
      <c r="M209" s="17"/>
      <c r="O209" s="17"/>
    </row>
    <row r="210" spans="5:15">
      <c r="E210" s="17"/>
      <c r="F210" s="17"/>
      <c r="G210" s="17"/>
      <c r="H210" s="17"/>
      <c r="I210" s="17"/>
      <c r="J210" s="17"/>
      <c r="K210" s="17"/>
      <c r="M210" s="17"/>
      <c r="O210" s="17"/>
    </row>
    <row r="211" spans="5:15">
      <c r="E211" s="17"/>
      <c r="F211" s="17"/>
      <c r="G211" s="17"/>
      <c r="H211" s="17"/>
      <c r="I211" s="17"/>
      <c r="J211" s="17"/>
      <c r="K211" s="17"/>
      <c r="M211" s="17"/>
      <c r="O211" s="17"/>
    </row>
    <row r="212" spans="5:15">
      <c r="E212" s="17"/>
      <c r="F212" s="17"/>
      <c r="G212" s="17"/>
      <c r="H212" s="17"/>
      <c r="I212" s="17"/>
      <c r="J212" s="17"/>
      <c r="K212" s="17"/>
      <c r="M212" s="17"/>
      <c r="O212" s="17"/>
    </row>
    <row r="213" spans="5:15">
      <c r="E213" s="17"/>
      <c r="F213" s="17"/>
      <c r="G213" s="17"/>
      <c r="H213" s="17"/>
      <c r="I213" s="17"/>
      <c r="J213" s="17"/>
      <c r="K213" s="17"/>
      <c r="M213" s="17"/>
      <c r="O213" s="17"/>
    </row>
    <row r="214" spans="5:15">
      <c r="E214" s="17"/>
      <c r="F214" s="17"/>
      <c r="G214" s="17"/>
      <c r="H214" s="17"/>
      <c r="I214" s="17"/>
      <c r="J214" s="17"/>
      <c r="K214" s="17"/>
      <c r="M214" s="17"/>
      <c r="O214" s="17"/>
    </row>
    <row r="215" spans="5:15">
      <c r="E215" s="17"/>
      <c r="F215" s="17"/>
      <c r="G215" s="17"/>
      <c r="H215" s="17"/>
      <c r="I215" s="17"/>
      <c r="J215" s="17"/>
      <c r="K215" s="17"/>
      <c r="M215" s="17"/>
      <c r="O215" s="17"/>
    </row>
    <row r="216" spans="5:15">
      <c r="E216" s="17"/>
      <c r="F216" s="17"/>
      <c r="G216" s="17"/>
      <c r="H216" s="17"/>
      <c r="I216" s="17"/>
      <c r="J216" s="17"/>
      <c r="K216" s="17"/>
      <c r="M216" s="17"/>
      <c r="O216" s="17"/>
    </row>
    <row r="217" spans="5:15">
      <c r="E217" s="17"/>
      <c r="F217" s="17"/>
      <c r="G217" s="17"/>
      <c r="H217" s="17"/>
      <c r="I217" s="17"/>
      <c r="J217" s="17"/>
      <c r="K217" s="17"/>
      <c r="M217" s="17"/>
      <c r="O217" s="17"/>
    </row>
    <row r="218" spans="5:15">
      <c r="E218" s="17"/>
      <c r="F218" s="17"/>
      <c r="G218" s="17"/>
      <c r="H218" s="17"/>
      <c r="I218" s="17"/>
      <c r="J218" s="17"/>
      <c r="K218" s="17"/>
      <c r="M218" s="17"/>
      <c r="O218" s="17"/>
    </row>
    <row r="219" spans="5:15">
      <c r="E219" s="17"/>
      <c r="F219" s="17"/>
      <c r="G219" s="17"/>
      <c r="H219" s="17"/>
      <c r="I219" s="17"/>
      <c r="J219" s="17"/>
      <c r="K219" s="17"/>
      <c r="M219" s="17"/>
      <c r="O219" s="17"/>
    </row>
    <row r="220" spans="5:15">
      <c r="E220" s="17"/>
      <c r="F220" s="17"/>
      <c r="G220" s="17"/>
      <c r="H220" s="17"/>
      <c r="I220" s="17"/>
      <c r="J220" s="17"/>
      <c r="K220" s="17"/>
      <c r="M220" s="17"/>
      <c r="O220" s="17"/>
    </row>
    <row r="221" spans="5:15">
      <c r="E221" s="17"/>
      <c r="F221" s="17"/>
      <c r="G221" s="17"/>
      <c r="H221" s="17"/>
      <c r="I221" s="17"/>
      <c r="J221" s="17"/>
      <c r="K221" s="17"/>
      <c r="M221" s="17"/>
      <c r="O221" s="17"/>
    </row>
    <row r="222" spans="5:15">
      <c r="E222" s="17"/>
      <c r="F222" s="17"/>
      <c r="G222" s="17"/>
      <c r="H222" s="17"/>
      <c r="I222" s="17"/>
      <c r="J222" s="17"/>
      <c r="K222" s="17"/>
      <c r="M222" s="17"/>
      <c r="O222" s="17"/>
    </row>
    <row r="223" spans="5:15">
      <c r="E223" s="17"/>
      <c r="F223" s="17"/>
      <c r="G223" s="17"/>
      <c r="H223" s="17"/>
      <c r="I223" s="17"/>
      <c r="J223" s="17"/>
      <c r="K223" s="17"/>
      <c r="M223" s="17"/>
      <c r="O223" s="17"/>
    </row>
    <row r="224" spans="5:15">
      <c r="E224" s="17"/>
      <c r="F224" s="17"/>
      <c r="G224" s="17"/>
      <c r="H224" s="17"/>
      <c r="I224" s="17"/>
      <c r="J224" s="17"/>
      <c r="K224" s="17"/>
      <c r="M224" s="17"/>
      <c r="O224" s="17"/>
    </row>
    <row r="225" spans="5:15">
      <c r="E225" s="17"/>
      <c r="F225" s="17"/>
      <c r="G225" s="17"/>
      <c r="H225" s="17"/>
      <c r="I225" s="17"/>
      <c r="J225" s="17"/>
      <c r="K225" s="17"/>
      <c r="M225" s="17"/>
      <c r="O225" s="17"/>
    </row>
    <row r="226" spans="5:15">
      <c r="E226" s="17"/>
      <c r="F226" s="17"/>
      <c r="G226" s="17"/>
      <c r="H226" s="17"/>
      <c r="I226" s="17"/>
      <c r="J226" s="17"/>
      <c r="K226" s="17"/>
      <c r="M226" s="17"/>
      <c r="O226" s="17"/>
    </row>
    <row r="227" spans="5:15">
      <c r="E227" s="17"/>
      <c r="F227" s="17"/>
      <c r="G227" s="17"/>
      <c r="H227" s="17"/>
      <c r="I227" s="17"/>
      <c r="J227" s="17"/>
      <c r="K227" s="17"/>
      <c r="M227" s="17"/>
      <c r="O227" s="17"/>
    </row>
    <row r="228" spans="5:15">
      <c r="E228" s="17"/>
      <c r="F228" s="17"/>
      <c r="G228" s="17"/>
      <c r="H228" s="17"/>
      <c r="I228" s="17"/>
      <c r="J228" s="17"/>
      <c r="K228" s="17"/>
      <c r="M228" s="17"/>
      <c r="O228" s="17"/>
    </row>
    <row r="229" spans="5:15">
      <c r="E229" s="17"/>
      <c r="F229" s="17"/>
      <c r="G229" s="17"/>
      <c r="H229" s="17"/>
      <c r="I229" s="17"/>
      <c r="J229" s="17"/>
      <c r="K229" s="17"/>
      <c r="M229" s="17"/>
      <c r="O229" s="17"/>
    </row>
    <row r="230" spans="5:15">
      <c r="E230" s="17"/>
      <c r="F230" s="17"/>
      <c r="G230" s="17"/>
      <c r="H230" s="17"/>
      <c r="I230" s="17"/>
      <c r="J230" s="17"/>
      <c r="K230" s="17"/>
      <c r="M230" s="17"/>
      <c r="O230" s="17"/>
    </row>
    <row r="231" spans="5:15">
      <c r="E231" s="17"/>
      <c r="F231" s="17"/>
      <c r="G231" s="17"/>
      <c r="H231" s="17"/>
      <c r="I231" s="17"/>
      <c r="J231" s="17"/>
      <c r="K231" s="17"/>
      <c r="M231" s="17"/>
      <c r="O231" s="17"/>
    </row>
    <row r="232" spans="5:15">
      <c r="E232" s="17"/>
      <c r="F232" s="17"/>
      <c r="G232" s="17"/>
      <c r="H232" s="17"/>
      <c r="I232" s="17"/>
      <c r="J232" s="17"/>
      <c r="K232" s="17"/>
      <c r="M232" s="17"/>
      <c r="O232" s="17"/>
    </row>
    <row r="233" spans="5:15">
      <c r="E233" s="17"/>
      <c r="F233" s="17"/>
      <c r="G233" s="17"/>
      <c r="H233" s="17"/>
      <c r="I233" s="17"/>
      <c r="J233" s="17"/>
      <c r="K233" s="17"/>
      <c r="M233" s="17"/>
      <c r="O233" s="17"/>
    </row>
    <row r="234" spans="5:15">
      <c r="E234" s="17"/>
      <c r="F234" s="17"/>
      <c r="G234" s="17"/>
      <c r="H234" s="17"/>
      <c r="I234" s="17"/>
      <c r="J234" s="17"/>
      <c r="K234" s="17"/>
      <c r="M234" s="17"/>
      <c r="O234" s="17"/>
    </row>
    <row r="235" spans="5:15">
      <c r="E235" s="17"/>
      <c r="F235" s="17"/>
      <c r="G235" s="17"/>
      <c r="H235" s="17"/>
      <c r="I235" s="17"/>
      <c r="J235" s="17"/>
      <c r="K235" s="17"/>
      <c r="M235" s="17"/>
      <c r="O235" s="17"/>
    </row>
    <row r="236" spans="5:15">
      <c r="E236" s="17"/>
      <c r="F236" s="17"/>
      <c r="G236" s="17"/>
      <c r="H236" s="17"/>
      <c r="I236" s="17"/>
      <c r="J236" s="17"/>
      <c r="K236" s="17"/>
      <c r="M236" s="17"/>
      <c r="O236" s="17"/>
    </row>
    <row r="237" spans="5:15">
      <c r="E237" s="17"/>
      <c r="F237" s="17"/>
      <c r="G237" s="17"/>
      <c r="H237" s="17"/>
      <c r="I237" s="17"/>
      <c r="J237" s="17"/>
      <c r="K237" s="17"/>
      <c r="M237" s="17"/>
      <c r="O237" s="17"/>
    </row>
    <row r="238" spans="5:15">
      <c r="E238" s="17"/>
      <c r="F238" s="17"/>
      <c r="G238" s="17"/>
      <c r="H238" s="17"/>
      <c r="I238" s="17"/>
      <c r="J238" s="17"/>
      <c r="K238" s="17"/>
      <c r="M238" s="17"/>
      <c r="O238" s="17"/>
    </row>
    <row r="239" spans="5:15">
      <c r="E239" s="17"/>
      <c r="F239" s="17"/>
      <c r="G239" s="17"/>
      <c r="H239" s="17"/>
      <c r="I239" s="17"/>
      <c r="J239" s="17"/>
      <c r="K239" s="17"/>
      <c r="M239" s="17"/>
      <c r="O239" s="17"/>
    </row>
    <row r="240" spans="5:15">
      <c r="E240" s="17"/>
      <c r="F240" s="17"/>
      <c r="G240" s="17"/>
      <c r="H240" s="17"/>
      <c r="I240" s="17"/>
      <c r="J240" s="17"/>
      <c r="K240" s="17"/>
      <c r="M240" s="17"/>
      <c r="O240" s="17"/>
    </row>
    <row r="241" spans="5:15">
      <c r="E241" s="17"/>
      <c r="F241" s="17"/>
      <c r="G241" s="17"/>
      <c r="H241" s="17"/>
      <c r="I241" s="17"/>
      <c r="J241" s="17"/>
      <c r="K241" s="17"/>
      <c r="M241" s="17"/>
      <c r="O241" s="17"/>
    </row>
    <row r="242" spans="5:15">
      <c r="E242" s="17"/>
      <c r="F242" s="17"/>
      <c r="G242" s="17"/>
      <c r="H242" s="17"/>
      <c r="I242" s="17"/>
      <c r="J242" s="17"/>
      <c r="K242" s="17"/>
      <c r="M242" s="17"/>
      <c r="O242" s="17"/>
    </row>
    <row r="243" spans="5:15">
      <c r="E243" s="17"/>
      <c r="F243" s="17"/>
      <c r="G243" s="17"/>
      <c r="H243" s="17"/>
      <c r="I243" s="17"/>
      <c r="J243" s="17"/>
      <c r="K243" s="17"/>
      <c r="M243" s="17"/>
      <c r="O243" s="17"/>
    </row>
    <row r="244" spans="5:15">
      <c r="E244" s="17"/>
      <c r="F244" s="17"/>
      <c r="G244" s="17"/>
      <c r="H244" s="17"/>
      <c r="I244" s="17"/>
      <c r="J244" s="17"/>
      <c r="K244" s="17"/>
      <c r="M244" s="17"/>
      <c r="O244" s="17"/>
    </row>
    <row r="245" spans="5:15">
      <c r="E245" s="17"/>
      <c r="F245" s="17"/>
      <c r="G245" s="17"/>
      <c r="H245" s="17"/>
      <c r="I245" s="17"/>
      <c r="J245" s="17"/>
      <c r="K245" s="17"/>
      <c r="M245" s="17"/>
      <c r="O245" s="17"/>
    </row>
    <row r="246" spans="5:15">
      <c r="E246" s="17"/>
      <c r="F246" s="17"/>
      <c r="G246" s="17"/>
      <c r="H246" s="17"/>
      <c r="I246" s="17"/>
      <c r="J246" s="17"/>
      <c r="K246" s="17"/>
      <c r="M246" s="17"/>
      <c r="O246" s="17"/>
    </row>
    <row r="247" spans="5:15">
      <c r="E247" s="17"/>
      <c r="F247" s="17"/>
      <c r="G247" s="17"/>
      <c r="H247" s="17"/>
      <c r="I247" s="17"/>
      <c r="J247" s="17"/>
      <c r="K247" s="17"/>
      <c r="M247" s="17"/>
      <c r="O247" s="17"/>
    </row>
    <row r="248" spans="5:15">
      <c r="E248" s="17"/>
      <c r="F248" s="17"/>
      <c r="G248" s="17"/>
      <c r="H248" s="17"/>
      <c r="I248" s="17"/>
      <c r="J248" s="17"/>
      <c r="K248" s="17"/>
      <c r="M248" s="17"/>
      <c r="O248" s="17"/>
    </row>
  </sheetData>
  <mergeCells count="3">
    <mergeCell ref="C3:E3"/>
    <mergeCell ref="C4:E4"/>
    <mergeCell ref="C5:E5"/>
  </mergeCells>
  <phoneticPr fontId="0" type="noConversion"/>
  <pageMargins left="0.24" right="0.21" top="0.5" bottom="0.78" header="0.25" footer="0.25"/>
  <pageSetup scale="65" orientation="landscape" r:id="rId1"/>
  <headerFooter alignWithMargins="0">
    <oddHeader>&amp;RAdjustment No. 3.02
Workpaper Ref. &amp;A</oddHeader>
    <oddFooter>&amp;L&amp;F&amp;RPrep by: AMB
          Date:  &amp;D           Mgr. Review:__________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theme="9" tint="0.59999389629810485"/>
  </sheetPr>
  <dimension ref="A1:Q116"/>
  <sheetViews>
    <sheetView zoomScaleNormal="100" workbookViewId="0">
      <pane ySplit="8" topLeftCell="A9" activePane="bottomLeft" state="frozen"/>
      <selection activeCell="I6" sqref="I6:K7"/>
      <selection pane="bottomLeft" activeCell="H88" sqref="H88"/>
    </sheetView>
  </sheetViews>
  <sheetFormatPr defaultColWidth="13.33203125" defaultRowHeight="12.75" outlineLevelRow="1"/>
  <cols>
    <col min="1" max="1" width="24.1640625" style="14" customWidth="1"/>
    <col min="2" max="2" width="17.5" style="14" bestFit="1" customWidth="1"/>
    <col min="3" max="3" width="16.83203125" style="71" bestFit="1" customWidth="1"/>
    <col min="4" max="4" width="16.1640625" style="14" bestFit="1" customWidth="1"/>
    <col min="5" max="5" width="16" style="14" bestFit="1" customWidth="1"/>
    <col min="6" max="6" width="13.33203125" style="14" customWidth="1"/>
    <col min="7" max="7" width="16.1640625" style="14" bestFit="1" customWidth="1"/>
    <col min="8" max="8" width="17" style="14" bestFit="1" customWidth="1"/>
    <col min="9" max="9" width="13.6640625" style="14" customWidth="1"/>
    <col min="10" max="10" width="1.83203125" style="11" customWidth="1"/>
    <col min="11" max="11" width="6.5" style="14" customWidth="1"/>
    <col min="12" max="12" width="23.6640625" style="14" customWidth="1"/>
    <col min="13" max="13" width="6.33203125" style="14" customWidth="1"/>
    <col min="14" max="15" width="9.5" style="14" bestFit="1" customWidth="1"/>
    <col min="16" max="16" width="10.33203125" style="14" bestFit="1" customWidth="1"/>
    <col min="17" max="16384" width="13.33203125" style="14"/>
  </cols>
  <sheetData>
    <row r="1" spans="1:17">
      <c r="A1" s="13" t="str">
        <f>'AN Electric'!A1</f>
        <v>AVISTA UTILITIES</v>
      </c>
    </row>
    <row r="2" spans="1:17">
      <c r="A2" s="15" t="s">
        <v>114</v>
      </c>
    </row>
    <row r="3" spans="1:17">
      <c r="A3" s="15" t="s">
        <v>24</v>
      </c>
    </row>
    <row r="4" spans="1:17">
      <c r="A4" s="15"/>
    </row>
    <row r="6" spans="1:17" ht="13.5" thickBot="1"/>
    <row r="7" spans="1:17">
      <c r="A7" s="16"/>
      <c r="B7" s="16"/>
      <c r="C7" s="88"/>
      <c r="D7" s="16" t="s">
        <v>14</v>
      </c>
      <c r="E7" s="16" t="s">
        <v>15</v>
      </c>
      <c r="F7" s="148" t="s">
        <v>0</v>
      </c>
      <c r="G7" s="16" t="s">
        <v>14</v>
      </c>
      <c r="H7" s="16" t="s">
        <v>15</v>
      </c>
      <c r="I7" s="148" t="s">
        <v>0</v>
      </c>
      <c r="J7" s="12"/>
      <c r="K7" s="16"/>
      <c r="Q7" s="16"/>
    </row>
    <row r="8" spans="1:17">
      <c r="A8" s="16"/>
      <c r="B8" s="42" t="s">
        <v>0</v>
      </c>
      <c r="C8" s="201" t="s">
        <v>16</v>
      </c>
      <c r="D8" s="42" t="s">
        <v>101</v>
      </c>
      <c r="E8" s="42" t="s">
        <v>101</v>
      </c>
      <c r="F8" s="149" t="s">
        <v>101</v>
      </c>
      <c r="G8" s="42" t="s">
        <v>102</v>
      </c>
      <c r="H8" s="42" t="s">
        <v>102</v>
      </c>
      <c r="I8" s="149" t="s">
        <v>102</v>
      </c>
      <c r="J8" s="12"/>
      <c r="K8" s="16"/>
    </row>
    <row r="9" spans="1:17" hidden="1" outlineLevel="1">
      <c r="A9" s="14" t="s">
        <v>31</v>
      </c>
      <c r="F9" s="150"/>
      <c r="I9" s="150"/>
    </row>
    <row r="10" spans="1:17" hidden="1" outlineLevel="1">
      <c r="A10" s="15">
        <v>807</v>
      </c>
      <c r="B10" s="49">
        <f>SUMIF('Gas North Download'!A:A,A10,'Gas North Download'!E:E)</f>
        <v>0</v>
      </c>
      <c r="C10" s="202">
        <v>0</v>
      </c>
      <c r="D10" s="37">
        <f>SUMIF('Gas North Download'!A:A,A10,'Gas North Download'!D:D)</f>
        <v>0</v>
      </c>
      <c r="E10" s="44">
        <f>C10*$C$85</f>
        <v>0</v>
      </c>
      <c r="F10" s="151">
        <f>D10+E10</f>
        <v>0</v>
      </c>
      <c r="G10" s="37">
        <f>SUMIF('Gas North Download'!A:A,A10,'Gas North Download'!C:C)</f>
        <v>0</v>
      </c>
      <c r="H10" s="44">
        <f>$C10*$D$85</f>
        <v>0</v>
      </c>
      <c r="I10" s="151">
        <f>G10+H10</f>
        <v>0</v>
      </c>
      <c r="L10" s="1"/>
    </row>
    <row r="11" spans="1:17" hidden="1" outlineLevel="1">
      <c r="A11" s="50" t="s">
        <v>121</v>
      </c>
      <c r="B11" s="49">
        <f>SUMIF('Gas North Download'!A:A,A11,'Gas North Download'!E:E)</f>
        <v>0</v>
      </c>
      <c r="C11" s="202">
        <v>0</v>
      </c>
      <c r="D11" s="37">
        <f>SUMIF('Gas North Download'!A:A,A11,'Gas North Download'!D:D)</f>
        <v>0</v>
      </c>
      <c r="E11" s="44">
        <f>C11*$C$81</f>
        <v>0</v>
      </c>
      <c r="F11" s="151">
        <f>D11+E11</f>
        <v>0</v>
      </c>
      <c r="G11" s="37">
        <f>SUMIF('Gas North Download'!A:A,A11,'Gas North Download'!C:C)</f>
        <v>0</v>
      </c>
      <c r="H11" s="44">
        <f>$C11*$D$81</f>
        <v>0</v>
      </c>
      <c r="I11" s="151">
        <f>G11+H11</f>
        <v>0</v>
      </c>
      <c r="L11" s="1"/>
    </row>
    <row r="12" spans="1:17" hidden="1" outlineLevel="1">
      <c r="A12" s="15">
        <v>813</v>
      </c>
      <c r="B12" s="49">
        <f>SUMIF('Gas North Download'!A:A,A12,'Gas North Download'!E:E)</f>
        <v>655596</v>
      </c>
      <c r="C12" s="202">
        <f>'Gas North Download'!E6</f>
        <v>655596</v>
      </c>
      <c r="D12" s="37">
        <f>SUMIF('Gas North Download'!A:A,A12,'Gas North Download'!D:D)</f>
        <v>0</v>
      </c>
      <c r="E12" s="44">
        <f>C12*$C$85</f>
        <v>444317.08</v>
      </c>
      <c r="F12" s="151">
        <f>D12+E12</f>
        <v>444317.08</v>
      </c>
      <c r="G12" s="37">
        <f>SUMIF('Gas North Download'!A:A,A12,'Gas North Download'!C:C)</f>
        <v>0</v>
      </c>
      <c r="H12" s="44">
        <f>$C12*$D$85</f>
        <v>211278.92</v>
      </c>
      <c r="I12" s="151">
        <f>G12+H12</f>
        <v>211278.92</v>
      </c>
      <c r="L12" s="1"/>
    </row>
    <row r="13" spans="1:17" collapsed="1">
      <c r="A13" s="14" t="s">
        <v>28</v>
      </c>
      <c r="B13" s="45">
        <f>SUM(B9:B12)</f>
        <v>655596</v>
      </c>
      <c r="C13" s="65">
        <f>SUM(C9:C12)</f>
        <v>655596</v>
      </c>
      <c r="D13" s="45">
        <f>SUM(D9:D12)</f>
        <v>0</v>
      </c>
      <c r="E13" s="45">
        <f t="shared" ref="E13:I13" si="0">SUM(E9:E12)</f>
        <v>444317.08</v>
      </c>
      <c r="F13" s="152">
        <f t="shared" si="0"/>
        <v>444317.08</v>
      </c>
      <c r="G13" s="45">
        <f>SUM(G9:G12)</f>
        <v>0</v>
      </c>
      <c r="H13" s="45">
        <f t="shared" si="0"/>
        <v>211278.92</v>
      </c>
      <c r="I13" s="152">
        <f t="shared" si="0"/>
        <v>211278.92</v>
      </c>
      <c r="J13" s="7"/>
    </row>
    <row r="14" spans="1:17">
      <c r="B14" s="44"/>
      <c r="C14" s="203"/>
      <c r="D14" s="44"/>
      <c r="E14" s="44"/>
      <c r="F14" s="151"/>
      <c r="G14" s="44"/>
      <c r="H14" s="44"/>
      <c r="I14" s="151"/>
      <c r="J14" s="7"/>
    </row>
    <row r="15" spans="1:17" hidden="1" outlineLevel="1">
      <c r="A15" s="14" t="s">
        <v>108</v>
      </c>
      <c r="B15" s="44"/>
      <c r="C15" s="203"/>
      <c r="D15" s="44"/>
      <c r="E15" s="44"/>
      <c r="F15" s="151"/>
      <c r="G15" s="44"/>
      <c r="H15" s="44"/>
      <c r="I15" s="151"/>
      <c r="J15" s="7"/>
    </row>
    <row r="16" spans="1:17" hidden="1" outlineLevel="1">
      <c r="A16" s="15">
        <v>814</v>
      </c>
      <c r="B16" s="49">
        <f>SUMIF('Gas North Download'!A:A,A16,'Gas North Download'!E:E)</f>
        <v>11496</v>
      </c>
      <c r="C16" s="202">
        <f>'Gas North Download'!B7</f>
        <v>11496</v>
      </c>
      <c r="D16" s="37">
        <f>SUMIF('Gas North Download'!A:A,A16,'Gas North Download'!D:D)</f>
        <v>0</v>
      </c>
      <c r="E16" s="44">
        <f>C16*$C$86</f>
        <v>7943.74</v>
      </c>
      <c r="F16" s="151">
        <f>D16+E16</f>
        <v>7943.74</v>
      </c>
      <c r="G16" s="37">
        <f>SUMIF('Gas North Download'!A:A,A16,'Gas North Download'!C:C)</f>
        <v>0</v>
      </c>
      <c r="H16" s="44">
        <f>$C16*$D$86</f>
        <v>3552.26</v>
      </c>
      <c r="I16" s="151">
        <f>G16+H16</f>
        <v>3552.26</v>
      </c>
      <c r="J16" s="7"/>
      <c r="L16" s="1"/>
    </row>
    <row r="17" spans="1:16" hidden="1" outlineLevel="1">
      <c r="A17" s="15">
        <v>820</v>
      </c>
      <c r="B17" s="49">
        <f>SUMIF('Gas North Download'!A:A,A17,'Gas North Download'!E:E)</f>
        <v>0</v>
      </c>
      <c r="C17" s="202">
        <v>0</v>
      </c>
      <c r="D17" s="37">
        <f>SUMIF('Gas North Download'!A:A,A17,'Gas North Download'!D:D)</f>
        <v>0</v>
      </c>
      <c r="E17" s="44">
        <f>C17*$C$86</f>
        <v>0</v>
      </c>
      <c r="F17" s="151">
        <f>D17+E17</f>
        <v>0</v>
      </c>
      <c r="G17" s="37">
        <f>SUMIF('Gas North Download'!A:A,A17,'Gas North Download'!C:C)</f>
        <v>0</v>
      </c>
      <c r="H17" s="44">
        <f>$C17*$D$86</f>
        <v>0</v>
      </c>
      <c r="I17" s="151">
        <f>G17+H17</f>
        <v>0</v>
      </c>
      <c r="J17" s="7"/>
      <c r="L17" s="1"/>
      <c r="N17" s="43"/>
      <c r="O17" s="43"/>
      <c r="P17" s="43"/>
    </row>
    <row r="18" spans="1:16" collapsed="1">
      <c r="A18" s="62" t="s">
        <v>29</v>
      </c>
      <c r="B18" s="45">
        <f>SUM(B15:B17)</f>
        <v>11496</v>
      </c>
      <c r="C18" s="65">
        <f t="shared" ref="C18:I18" si="1">SUM(C15:C17)</f>
        <v>11496</v>
      </c>
      <c r="D18" s="45">
        <f>SUM(D16:D17)</f>
        <v>0</v>
      </c>
      <c r="E18" s="45">
        <f t="shared" si="1"/>
        <v>7943.74</v>
      </c>
      <c r="F18" s="152">
        <f t="shared" si="1"/>
        <v>7943.74</v>
      </c>
      <c r="G18" s="45">
        <f t="shared" si="1"/>
        <v>0</v>
      </c>
      <c r="H18" s="45">
        <f t="shared" si="1"/>
        <v>3552.26</v>
      </c>
      <c r="I18" s="152">
        <f t="shared" si="1"/>
        <v>3552.26</v>
      </c>
      <c r="J18" s="7"/>
      <c r="L18" s="15"/>
      <c r="N18" s="43"/>
      <c r="O18" s="43"/>
      <c r="P18" s="43"/>
    </row>
    <row r="19" spans="1:16">
      <c r="B19" s="44"/>
      <c r="C19" s="203"/>
      <c r="D19" s="44"/>
      <c r="E19" s="44"/>
      <c r="F19" s="151"/>
      <c r="G19" s="44"/>
      <c r="H19" s="44"/>
      <c r="I19" s="151"/>
      <c r="J19" s="7"/>
    </row>
    <row r="20" spans="1:16" hidden="1" outlineLevel="1">
      <c r="A20" s="14" t="s">
        <v>4</v>
      </c>
      <c r="B20" s="44"/>
      <c r="C20" s="203"/>
      <c r="D20" s="44"/>
      <c r="E20" s="44"/>
      <c r="F20" s="151"/>
      <c r="G20" s="44"/>
      <c r="H20" s="44"/>
      <c r="I20" s="151"/>
      <c r="J20" s="7"/>
    </row>
    <row r="21" spans="1:16" hidden="1" outlineLevel="1">
      <c r="A21" s="15">
        <v>870</v>
      </c>
      <c r="B21" s="49">
        <f>SUMIF('Gas North Download'!A:A,A21,'Gas North Download'!E:E)</f>
        <v>1115141</v>
      </c>
      <c r="C21" s="202">
        <f>SUMIF('Gas North Download'!A:A,A21,'Gas North Download'!B:B)</f>
        <v>860758</v>
      </c>
      <c r="D21" s="37">
        <f>SUMIF('Gas North Download'!A:A,A21,'Gas North Download'!D:D)</f>
        <v>192286</v>
      </c>
      <c r="E21" s="44">
        <f>C21*$C$83</f>
        <v>622087.02</v>
      </c>
      <c r="F21" s="151">
        <f>D21+E21</f>
        <v>814373.02</v>
      </c>
      <c r="G21" s="37">
        <f>SUMIF('Gas North Download'!A:A,A21,'Gas North Download'!C:C)</f>
        <v>62097</v>
      </c>
      <c r="H21" s="44">
        <f>ROUND(C21*$D$83,2)</f>
        <v>238670.98</v>
      </c>
      <c r="I21" s="151">
        <f>G21+H21</f>
        <v>300767.98</v>
      </c>
      <c r="J21" s="7"/>
      <c r="L21" s="1"/>
    </row>
    <row r="22" spans="1:16" hidden="1" outlineLevel="1">
      <c r="A22" s="15">
        <v>871</v>
      </c>
      <c r="B22" s="49">
        <f>SUMIF('Gas North Download'!A:A,A22,'Gas North Download'!E:E)</f>
        <v>0</v>
      </c>
      <c r="C22" s="202">
        <f>SUMIF('Gas North Download'!A:A,A22,'Gas North Download'!B:B)</f>
        <v>0</v>
      </c>
      <c r="D22" s="37">
        <f>SUMIF('Gas North Download'!A:A,A22,'Gas North Download'!D:D)</f>
        <v>0</v>
      </c>
      <c r="E22" s="44">
        <f t="shared" ref="E22:E41" si="2">C22*$C$82</f>
        <v>0</v>
      </c>
      <c r="F22" s="151">
        <f t="shared" ref="F22:F41" si="3">D22+E22</f>
        <v>0</v>
      </c>
      <c r="G22" s="37">
        <f>SUMIF('Gas North Download'!A:A,A22,'Gas North Download'!C:C)</f>
        <v>0</v>
      </c>
      <c r="H22" s="44">
        <f t="shared" ref="H22:H41" si="4">ROUND(C22*$D$82,2)</f>
        <v>0</v>
      </c>
      <c r="I22" s="151">
        <f t="shared" ref="I22:I41" si="5">G22+H22</f>
        <v>0</v>
      </c>
      <c r="J22" s="7"/>
      <c r="L22" s="15"/>
    </row>
    <row r="23" spans="1:16" hidden="1" outlineLevel="1">
      <c r="A23" s="15">
        <v>872</v>
      </c>
      <c r="B23" s="49">
        <f>SUMIF('Gas North Download'!A:A,A23,'Gas North Download'!E:E)</f>
        <v>0</v>
      </c>
      <c r="C23" s="202">
        <f>SUMIF('Gas North Download'!A:A,A23,'Gas North Download'!B:B)</f>
        <v>0</v>
      </c>
      <c r="D23" s="37">
        <f>SUMIF('Gas North Download'!A:A,A23,'Gas North Download'!D:D)</f>
        <v>0</v>
      </c>
      <c r="E23" s="44">
        <f t="shared" si="2"/>
        <v>0</v>
      </c>
      <c r="F23" s="151">
        <f t="shared" si="3"/>
        <v>0</v>
      </c>
      <c r="G23" s="37">
        <f>SUMIF('Gas North Download'!A:A,A23,'Gas North Download'!C:C)</f>
        <v>0</v>
      </c>
      <c r="H23" s="44">
        <f t="shared" si="4"/>
        <v>0</v>
      </c>
      <c r="I23" s="151">
        <f t="shared" si="5"/>
        <v>0</v>
      </c>
      <c r="J23" s="7"/>
      <c r="L23" s="15"/>
    </row>
    <row r="24" spans="1:16" hidden="1" outlineLevel="1">
      <c r="A24" s="15">
        <v>874</v>
      </c>
      <c r="B24" s="49">
        <f>SUMIF('Gas North Download'!A:A,A24,'Gas North Download'!E:E)</f>
        <v>1679589</v>
      </c>
      <c r="C24" s="202">
        <f>SUMIF('Gas North Download'!A:A,A24,'Gas North Download'!B:B)</f>
        <v>693242</v>
      </c>
      <c r="D24" s="37">
        <f>SUMIF('Gas North Download'!A:A,A24,'Gas North Download'!D:D)</f>
        <v>665683</v>
      </c>
      <c r="E24" s="44">
        <f t="shared" si="2"/>
        <v>489414.99</v>
      </c>
      <c r="F24" s="151">
        <f t="shared" si="3"/>
        <v>1155097.99</v>
      </c>
      <c r="G24" s="37">
        <f>SUMIF('Gas North Download'!A:A,A24,'Gas North Download'!C:C)</f>
        <v>320664</v>
      </c>
      <c r="H24" s="44">
        <f t="shared" si="4"/>
        <v>203827.01</v>
      </c>
      <c r="I24" s="151">
        <f t="shared" si="5"/>
        <v>524491.01</v>
      </c>
      <c r="J24" s="7"/>
      <c r="L24" s="1"/>
    </row>
    <row r="25" spans="1:16" hidden="1" outlineLevel="1">
      <c r="A25" s="15">
        <v>875</v>
      </c>
      <c r="B25" s="49">
        <f>SUMIF('Gas North Download'!A:A,A25,'Gas North Download'!E:E)</f>
        <v>63174</v>
      </c>
      <c r="C25" s="202">
        <f>SUMIF('Gas North Download'!A:A,A25,'Gas North Download'!B:B)</f>
        <v>0</v>
      </c>
      <c r="D25" s="37">
        <f>SUMIF('Gas North Download'!A:A,A25,'Gas North Download'!D:D)</f>
        <v>43596</v>
      </c>
      <c r="E25" s="44">
        <f t="shared" si="2"/>
        <v>0</v>
      </c>
      <c r="F25" s="151">
        <f t="shared" si="3"/>
        <v>43596</v>
      </c>
      <c r="G25" s="37">
        <f>SUMIF('Gas North Download'!A:A,A25,'Gas North Download'!C:C)</f>
        <v>19578</v>
      </c>
      <c r="H25" s="44">
        <f t="shared" si="4"/>
        <v>0</v>
      </c>
      <c r="I25" s="151">
        <f t="shared" si="5"/>
        <v>19578</v>
      </c>
      <c r="J25" s="7"/>
      <c r="L25" s="1"/>
    </row>
    <row r="26" spans="1:16" hidden="1" outlineLevel="1">
      <c r="A26" s="15">
        <v>876</v>
      </c>
      <c r="B26" s="49">
        <f>SUMIF('Gas North Download'!A:A,A26,'Gas North Download'!E:E)</f>
        <v>4369</v>
      </c>
      <c r="C26" s="202">
        <f>SUMIF('Gas North Download'!A:A,A26,'Gas North Download'!B:B)</f>
        <v>0</v>
      </c>
      <c r="D26" s="37">
        <f>SUMIF('Gas North Download'!A:A,A26,'Gas North Download'!D:D)</f>
        <v>3438</v>
      </c>
      <c r="E26" s="44">
        <f t="shared" si="2"/>
        <v>0</v>
      </c>
      <c r="F26" s="151">
        <f t="shared" si="3"/>
        <v>3438</v>
      </c>
      <c r="G26" s="37">
        <f>SUMIF('Gas North Download'!A:A,A26,'Gas North Download'!C:C)</f>
        <v>931</v>
      </c>
      <c r="H26" s="44">
        <f t="shared" si="4"/>
        <v>0</v>
      </c>
      <c r="I26" s="151">
        <f t="shared" si="5"/>
        <v>931</v>
      </c>
      <c r="J26" s="7"/>
      <c r="L26" s="1"/>
    </row>
    <row r="27" spans="1:16" hidden="1" outlineLevel="1">
      <c r="A27" s="15">
        <v>877</v>
      </c>
      <c r="B27" s="49">
        <f>SUMIF('Gas North Download'!A:A,A27,'Gas North Download'!E:E)</f>
        <v>42685</v>
      </c>
      <c r="C27" s="202">
        <f>SUMIF('Gas North Download'!A:A,A27,'Gas North Download'!B:B)</f>
        <v>0</v>
      </c>
      <c r="D27" s="37">
        <f>SUMIF('Gas North Download'!A:A,A27,'Gas North Download'!D:D)</f>
        <v>31005</v>
      </c>
      <c r="E27" s="44">
        <f t="shared" si="2"/>
        <v>0</v>
      </c>
      <c r="F27" s="151">
        <f t="shared" si="3"/>
        <v>31005</v>
      </c>
      <c r="G27" s="37">
        <f>SUMIF('Gas North Download'!A:A,A27,'Gas North Download'!C:C)</f>
        <v>11680</v>
      </c>
      <c r="H27" s="44">
        <f t="shared" si="4"/>
        <v>0</v>
      </c>
      <c r="I27" s="151">
        <f t="shared" si="5"/>
        <v>11680</v>
      </c>
      <c r="J27" s="7"/>
      <c r="L27" s="1"/>
    </row>
    <row r="28" spans="1:16" hidden="1" outlineLevel="1">
      <c r="A28" s="15">
        <v>878</v>
      </c>
      <c r="B28" s="49">
        <f>SUMIF('Gas North Download'!A:A,A28,'Gas North Download'!E:E)</f>
        <v>4482</v>
      </c>
      <c r="C28" s="202">
        <f>SUMIF('Gas North Download'!A:A,A28,'Gas North Download'!B:B)</f>
        <v>0</v>
      </c>
      <c r="D28" s="37">
        <f>SUMIF('Gas North Download'!A:A,A28,'Gas North Download'!D:D)</f>
        <v>1972</v>
      </c>
      <c r="E28" s="44">
        <f t="shared" si="2"/>
        <v>0</v>
      </c>
      <c r="F28" s="151">
        <f t="shared" si="3"/>
        <v>1972</v>
      </c>
      <c r="G28" s="37">
        <f>SUMIF('Gas North Download'!A:A,A28,'Gas North Download'!C:C)</f>
        <v>2510</v>
      </c>
      <c r="H28" s="44">
        <f t="shared" si="4"/>
        <v>0</v>
      </c>
      <c r="I28" s="151">
        <f t="shared" si="5"/>
        <v>2510</v>
      </c>
      <c r="J28" s="7"/>
      <c r="L28" s="1"/>
    </row>
    <row r="29" spans="1:16" hidden="1" outlineLevel="1">
      <c r="A29" s="15">
        <v>879</v>
      </c>
      <c r="B29" s="49">
        <f>SUMIF('Gas North Download'!A:A,A29,'Gas North Download'!E:E)</f>
        <v>1249750</v>
      </c>
      <c r="C29" s="202">
        <f>SUMIF('Gas North Download'!A:A,A29,'Gas North Download'!B:B)</f>
        <v>55391</v>
      </c>
      <c r="D29" s="37">
        <f>SUMIF('Gas North Download'!A:A,A29,'Gas North Download'!D:D)</f>
        <v>828477</v>
      </c>
      <c r="E29" s="44">
        <f t="shared" si="2"/>
        <v>39104.94</v>
      </c>
      <c r="F29" s="151">
        <f t="shared" si="3"/>
        <v>867581.94</v>
      </c>
      <c r="G29" s="37">
        <f>SUMIF('Gas North Download'!A:A,A29,'Gas North Download'!C:C)</f>
        <v>365882</v>
      </c>
      <c r="H29" s="44">
        <f t="shared" si="4"/>
        <v>16286.06</v>
      </c>
      <c r="I29" s="151">
        <f t="shared" si="5"/>
        <v>382168.06</v>
      </c>
      <c r="J29" s="7"/>
      <c r="L29" s="1"/>
    </row>
    <row r="30" spans="1:16" hidden="1" outlineLevel="1">
      <c r="A30" s="15">
        <v>880</v>
      </c>
      <c r="B30" s="49">
        <f>SUMIF('Gas North Download'!A:A,A30,'Gas North Download'!E:E)</f>
        <v>1395525</v>
      </c>
      <c r="C30" s="202">
        <f>SUMIF('Gas North Download'!A:A,A30,'Gas North Download'!B:B)</f>
        <v>355170</v>
      </c>
      <c r="D30" s="37">
        <f>SUMIF('Gas North Download'!A:A,A30,'Gas North Download'!D:D)</f>
        <v>819945</v>
      </c>
      <c r="E30" s="44">
        <f t="shared" si="2"/>
        <v>250742.92</v>
      </c>
      <c r="F30" s="151">
        <f t="shared" si="3"/>
        <v>1070687.92</v>
      </c>
      <c r="G30" s="37">
        <f>SUMIF('Gas North Download'!A:A,A30,'Gas North Download'!C:C)</f>
        <v>220410</v>
      </c>
      <c r="H30" s="44">
        <f t="shared" si="4"/>
        <v>104427.08</v>
      </c>
      <c r="I30" s="151">
        <f t="shared" si="5"/>
        <v>324837.08</v>
      </c>
      <c r="J30" s="7"/>
      <c r="L30" s="1"/>
    </row>
    <row r="31" spans="1:16" hidden="1" outlineLevel="1">
      <c r="A31" s="15">
        <v>881</v>
      </c>
      <c r="B31" s="49">
        <f>SUMIF('Gas North Download'!A:A,A31,'Gas North Download'!E:E)</f>
        <v>8053</v>
      </c>
      <c r="C31" s="202">
        <f>SUMIF('Gas North Download'!A:A,A31,'Gas North Download'!B:B)</f>
        <v>8053</v>
      </c>
      <c r="D31" s="37">
        <f>SUMIF('Gas North Download'!A:A,A31,'Gas North Download'!D:D)</f>
        <v>0</v>
      </c>
      <c r="E31" s="44">
        <f t="shared" si="2"/>
        <v>5685.26</v>
      </c>
      <c r="F31" s="151">
        <f t="shared" si="3"/>
        <v>5685.26</v>
      </c>
      <c r="G31" s="37">
        <f>SUMIF('Gas North Download'!A:A,A31,'Gas North Download'!C:C)</f>
        <v>0</v>
      </c>
      <c r="H31" s="44">
        <f t="shared" si="4"/>
        <v>2367.7399999999998</v>
      </c>
      <c r="I31" s="151">
        <f t="shared" si="5"/>
        <v>2367.7399999999998</v>
      </c>
      <c r="J31" s="7"/>
      <c r="L31" s="1"/>
    </row>
    <row r="32" spans="1:16" hidden="1" outlineLevel="1">
      <c r="A32" s="15">
        <v>885</v>
      </c>
      <c r="B32" s="49">
        <f>SUMIF('Gas North Download'!A:A,A32,'Gas North Download'!E:E)</f>
        <v>113305</v>
      </c>
      <c r="C32" s="202">
        <f>SUMIF('Gas North Download'!A:A,A32,'Gas North Download'!B:B)</f>
        <v>1313</v>
      </c>
      <c r="D32" s="37">
        <f>SUMIF('Gas North Download'!A:A,A32,'Gas North Download'!D:D)</f>
        <v>51780</v>
      </c>
      <c r="E32" s="44">
        <f t="shared" si="2"/>
        <v>926.95</v>
      </c>
      <c r="F32" s="151">
        <f t="shared" si="3"/>
        <v>52706.95</v>
      </c>
      <c r="G32" s="37">
        <f>SUMIF('Gas North Download'!A:A,A32,'Gas North Download'!C:C)</f>
        <v>60212</v>
      </c>
      <c r="H32" s="44">
        <f t="shared" si="4"/>
        <v>386.05</v>
      </c>
      <c r="I32" s="151">
        <f t="shared" si="5"/>
        <v>60598.05</v>
      </c>
      <c r="J32" s="7"/>
      <c r="L32" s="1"/>
    </row>
    <row r="33" spans="1:12" hidden="1" outlineLevel="1">
      <c r="A33" s="15">
        <v>886</v>
      </c>
      <c r="B33" s="49">
        <f>SUMIF('Gas North Download'!A:A,A33,'Gas North Download'!E:E)</f>
        <v>0</v>
      </c>
      <c r="C33" s="202">
        <f>SUMIF('Gas North Download'!A:A,A33,'Gas North Download'!B:B)</f>
        <v>0</v>
      </c>
      <c r="D33" s="37">
        <f>SUMIF('Gas North Download'!A:A,A33,'Gas North Download'!D:D)</f>
        <v>0</v>
      </c>
      <c r="E33" s="44">
        <f t="shared" si="2"/>
        <v>0</v>
      </c>
      <c r="F33" s="151">
        <f t="shared" si="3"/>
        <v>0</v>
      </c>
      <c r="G33" s="37">
        <f>SUMIF('Gas North Download'!A:A,A33,'Gas North Download'!C:C)</f>
        <v>0</v>
      </c>
      <c r="H33" s="44">
        <f t="shared" si="4"/>
        <v>0</v>
      </c>
      <c r="I33" s="151">
        <f t="shared" si="5"/>
        <v>0</v>
      </c>
      <c r="J33" s="7"/>
      <c r="L33" s="1"/>
    </row>
    <row r="34" spans="1:12" hidden="1" outlineLevel="1">
      <c r="A34" s="15">
        <v>887</v>
      </c>
      <c r="B34" s="49">
        <f>SUMIF('Gas North Download'!A:A,A34,'Gas North Download'!E:E)</f>
        <v>526804</v>
      </c>
      <c r="C34" s="202">
        <f>SUMIF('Gas North Download'!A:A,A34,'Gas North Download'!B:B)</f>
        <v>0</v>
      </c>
      <c r="D34" s="37">
        <f>SUMIF('Gas North Download'!A:A,A34,'Gas North Download'!D:D)</f>
        <v>406713</v>
      </c>
      <c r="E34" s="44">
        <f t="shared" si="2"/>
        <v>0</v>
      </c>
      <c r="F34" s="151">
        <f t="shared" si="3"/>
        <v>406713</v>
      </c>
      <c r="G34" s="37">
        <f>SUMIF('Gas North Download'!A:A,A34,'Gas North Download'!C:C)</f>
        <v>120091</v>
      </c>
      <c r="H34" s="44">
        <f t="shared" si="4"/>
        <v>0</v>
      </c>
      <c r="I34" s="151">
        <f t="shared" si="5"/>
        <v>120091</v>
      </c>
      <c r="J34" s="7"/>
      <c r="L34" s="1"/>
    </row>
    <row r="35" spans="1:12" hidden="1" outlineLevel="1">
      <c r="A35" s="15">
        <v>888</v>
      </c>
      <c r="B35" s="49">
        <f>SUMIF('Gas North Download'!A:A,A35,'Gas North Download'!E:E)</f>
        <v>0</v>
      </c>
      <c r="C35" s="202">
        <f>SUMIF('Gas North Download'!A:A,A35,'Gas North Download'!B:B)</f>
        <v>0</v>
      </c>
      <c r="D35" s="37">
        <f>SUMIF('Gas North Download'!A:A,A35,'Gas North Download'!D:D)</f>
        <v>0</v>
      </c>
      <c r="E35" s="44">
        <f t="shared" si="2"/>
        <v>0</v>
      </c>
      <c r="F35" s="151">
        <f t="shared" si="3"/>
        <v>0</v>
      </c>
      <c r="G35" s="37">
        <f>SUMIF('Gas North Download'!A:A,A35,'Gas North Download'!C:C)</f>
        <v>0</v>
      </c>
      <c r="H35" s="44">
        <f t="shared" si="4"/>
        <v>0</v>
      </c>
      <c r="I35" s="151">
        <f t="shared" si="5"/>
        <v>0</v>
      </c>
      <c r="J35" s="7"/>
      <c r="L35" s="1"/>
    </row>
    <row r="36" spans="1:12" hidden="1" outlineLevel="1">
      <c r="A36" s="15">
        <v>889</v>
      </c>
      <c r="B36" s="49">
        <f>SUMIF('Gas North Download'!A:A,A36,'Gas North Download'!E:E)</f>
        <v>98624</v>
      </c>
      <c r="C36" s="202">
        <f>SUMIF('Gas North Download'!A:A,A36,'Gas North Download'!B:B)</f>
        <v>2427</v>
      </c>
      <c r="D36" s="37">
        <f>SUMIF('Gas North Download'!A:A,A36,'Gas North Download'!D:D)</f>
        <v>72213</v>
      </c>
      <c r="E36" s="44">
        <f t="shared" si="2"/>
        <v>1713.41</v>
      </c>
      <c r="F36" s="151">
        <f t="shared" si="3"/>
        <v>73926.41</v>
      </c>
      <c r="G36" s="37">
        <f>SUMIF('Gas North Download'!A:A,A36,'Gas North Download'!C:C)</f>
        <v>23984</v>
      </c>
      <c r="H36" s="44">
        <f t="shared" si="4"/>
        <v>713.59</v>
      </c>
      <c r="I36" s="151">
        <f t="shared" si="5"/>
        <v>24697.59</v>
      </c>
      <c r="J36" s="7"/>
      <c r="L36" s="1"/>
    </row>
    <row r="37" spans="1:12" hidden="1" outlineLevel="1">
      <c r="A37" s="15">
        <v>890</v>
      </c>
      <c r="B37" s="49">
        <f>SUMIF('Gas North Download'!A:A,A37,'Gas North Download'!E:E)</f>
        <v>18771</v>
      </c>
      <c r="C37" s="202">
        <f>SUMIF('Gas North Download'!A:A,A37,'Gas North Download'!B:B)</f>
        <v>7081</v>
      </c>
      <c r="D37" s="37">
        <f>SUMIF('Gas North Download'!A:A,A37,'Gas North Download'!D:D)</f>
        <v>8376</v>
      </c>
      <c r="E37" s="44">
        <f t="shared" si="2"/>
        <v>4999.04</v>
      </c>
      <c r="F37" s="151">
        <f t="shared" si="3"/>
        <v>13375.04</v>
      </c>
      <c r="G37" s="37">
        <f>SUMIF('Gas North Download'!A:A,A37,'Gas North Download'!C:C)</f>
        <v>3314</v>
      </c>
      <c r="H37" s="44">
        <f t="shared" si="4"/>
        <v>2081.96</v>
      </c>
      <c r="I37" s="151">
        <f t="shared" si="5"/>
        <v>5395.96</v>
      </c>
      <c r="J37" s="7"/>
      <c r="L37" s="1"/>
    </row>
    <row r="38" spans="1:12" hidden="1" outlineLevel="1">
      <c r="A38" s="15">
        <v>891</v>
      </c>
      <c r="B38" s="49">
        <f>SUMIF('Gas North Download'!A:A,A38,'Gas North Download'!E:E)</f>
        <v>23911</v>
      </c>
      <c r="C38" s="202">
        <f>SUMIF('Gas North Download'!A:A,A38,'Gas North Download'!B:B)</f>
        <v>2640</v>
      </c>
      <c r="D38" s="37">
        <f>SUMIF('Gas North Download'!A:A,A38,'Gas North Download'!D:D)</f>
        <v>11322</v>
      </c>
      <c r="E38" s="44">
        <f t="shared" si="2"/>
        <v>1863.79</v>
      </c>
      <c r="F38" s="151">
        <f t="shared" si="3"/>
        <v>13185.79</v>
      </c>
      <c r="G38" s="37">
        <f>SUMIF('Gas North Download'!A:A,A38,'Gas North Download'!C:C)</f>
        <v>9949</v>
      </c>
      <c r="H38" s="44">
        <f t="shared" si="4"/>
        <v>776.21</v>
      </c>
      <c r="I38" s="151">
        <f t="shared" si="5"/>
        <v>10725.21</v>
      </c>
      <c r="J38" s="7"/>
      <c r="L38" s="1"/>
    </row>
    <row r="39" spans="1:12" hidden="1" outlineLevel="1">
      <c r="A39" s="15">
        <v>892</v>
      </c>
      <c r="B39" s="49">
        <f>SUMIF('Gas North Download'!A:A,A39,'Gas North Download'!E:E)</f>
        <v>578193</v>
      </c>
      <c r="C39" s="202">
        <f>SUMIF('Gas North Download'!A:A,A39,'Gas North Download'!B:B)</f>
        <v>0</v>
      </c>
      <c r="D39" s="37">
        <f>SUMIF('Gas North Download'!A:A,A39,'Gas North Download'!D:D)</f>
        <v>425993</v>
      </c>
      <c r="E39" s="44">
        <f t="shared" si="2"/>
        <v>0</v>
      </c>
      <c r="F39" s="151">
        <f t="shared" si="3"/>
        <v>425993</v>
      </c>
      <c r="G39" s="37">
        <f>SUMIF('Gas North Download'!A:A,A39,'Gas North Download'!C:C)</f>
        <v>152200</v>
      </c>
      <c r="H39" s="44">
        <f t="shared" si="4"/>
        <v>0</v>
      </c>
      <c r="I39" s="151">
        <f t="shared" si="5"/>
        <v>152200</v>
      </c>
      <c r="J39" s="7"/>
      <c r="L39" s="1"/>
    </row>
    <row r="40" spans="1:12" hidden="1" outlineLevel="1">
      <c r="A40" s="15">
        <v>893</v>
      </c>
      <c r="B40" s="49">
        <f>SUMIF('Gas North Download'!A:A,A40,'Gas North Download'!E:E)</f>
        <v>928754</v>
      </c>
      <c r="C40" s="202">
        <f>SUMIF('Gas North Download'!A:A,A40,'Gas North Download'!B:B)</f>
        <v>280358</v>
      </c>
      <c r="D40" s="37">
        <f>SUMIF('Gas North Download'!A:A,A40,'Gas North Download'!D:D)</f>
        <v>445004</v>
      </c>
      <c r="E40" s="44">
        <f t="shared" si="2"/>
        <v>197927.14</v>
      </c>
      <c r="F40" s="151">
        <f t="shared" si="3"/>
        <v>642931.14</v>
      </c>
      <c r="G40" s="37">
        <f>SUMIF('Gas North Download'!A:A,A40,'Gas North Download'!C:C)</f>
        <v>203392</v>
      </c>
      <c r="H40" s="44">
        <f t="shared" si="4"/>
        <v>82430.86</v>
      </c>
      <c r="I40" s="151">
        <f t="shared" si="5"/>
        <v>285822.86</v>
      </c>
      <c r="J40" s="7"/>
      <c r="L40" s="1"/>
    </row>
    <row r="41" spans="1:12" hidden="1" outlineLevel="1">
      <c r="A41" s="15">
        <v>894</v>
      </c>
      <c r="B41" s="49">
        <f>SUMIF('Gas North Download'!A:A,A41,'Gas North Download'!E:E)</f>
        <v>88373</v>
      </c>
      <c r="C41" s="202">
        <f>SUMIF('Gas North Download'!A:A,A41,'Gas North Download'!B:B)</f>
        <v>88225</v>
      </c>
      <c r="D41" s="37">
        <f>SUMIF('Gas North Download'!A:A,A41,'Gas North Download'!D:D)</f>
        <v>0</v>
      </c>
      <c r="E41" s="44">
        <f t="shared" si="2"/>
        <v>62285.09</v>
      </c>
      <c r="F41" s="151">
        <f t="shared" si="3"/>
        <v>62285.09</v>
      </c>
      <c r="G41" s="37">
        <f>SUMIF('Gas North Download'!A:A,A41,'Gas North Download'!C:C)</f>
        <v>148</v>
      </c>
      <c r="H41" s="44">
        <f t="shared" si="4"/>
        <v>25939.91</v>
      </c>
      <c r="I41" s="151">
        <f t="shared" si="5"/>
        <v>26087.91</v>
      </c>
      <c r="J41" s="7"/>
      <c r="L41" s="1"/>
    </row>
    <row r="42" spans="1:12" collapsed="1">
      <c r="A42" s="14" t="s">
        <v>5</v>
      </c>
      <c r="B42" s="45">
        <f>SUM(B21:B41)</f>
        <v>7939503</v>
      </c>
      <c r="C42" s="65">
        <f t="shared" ref="C42:I42" si="6">SUM(C21:C41)</f>
        <v>2354658</v>
      </c>
      <c r="D42" s="45">
        <f t="shared" si="6"/>
        <v>4007803</v>
      </c>
      <c r="E42" s="45">
        <f t="shared" si="6"/>
        <v>1676750.55</v>
      </c>
      <c r="F42" s="152">
        <f t="shared" si="6"/>
        <v>5684553.5499999998</v>
      </c>
      <c r="G42" s="45">
        <f t="shared" si="6"/>
        <v>1577042</v>
      </c>
      <c r="H42" s="45">
        <f t="shared" si="6"/>
        <v>677907.45</v>
      </c>
      <c r="I42" s="152">
        <f t="shared" si="6"/>
        <v>2254949.4500000002</v>
      </c>
      <c r="J42" s="7"/>
      <c r="L42" s="1"/>
    </row>
    <row r="43" spans="1:12">
      <c r="B43" s="44"/>
      <c r="C43" s="203"/>
      <c r="D43" s="44"/>
      <c r="E43" s="44"/>
      <c r="F43" s="151"/>
      <c r="G43" s="44"/>
      <c r="H43" s="44"/>
      <c r="I43" s="151"/>
      <c r="J43" s="7"/>
      <c r="L43" s="1"/>
    </row>
    <row r="44" spans="1:12" hidden="1" outlineLevel="1">
      <c r="A44" s="14" t="s">
        <v>6</v>
      </c>
      <c r="B44" s="44"/>
      <c r="C44" s="203"/>
      <c r="D44" s="44"/>
      <c r="E44" s="44"/>
      <c r="F44" s="151"/>
      <c r="G44" s="44"/>
      <c r="H44" s="44"/>
      <c r="I44" s="151"/>
      <c r="J44" s="7"/>
      <c r="L44" s="1"/>
    </row>
    <row r="45" spans="1:12" hidden="1" outlineLevel="1">
      <c r="A45" s="15">
        <v>901</v>
      </c>
      <c r="B45" s="49">
        <f>SUMIF('Gas North Download'!A:A,A45,'Gas North Download'!E:E)</f>
        <v>71418</v>
      </c>
      <c r="C45" s="202">
        <f>SUMIF('Gas North Download'!A:A,A45,'Gas North Download'!B:B)</f>
        <v>71418</v>
      </c>
      <c r="D45" s="37">
        <f>SUMIF('Gas North Download'!A:A,A45,'Gas North Download'!D:D)</f>
        <v>0</v>
      </c>
      <c r="E45" s="44">
        <f>C45*$C$81</f>
        <v>47350.85</v>
      </c>
      <c r="F45" s="151">
        <f>D45+E45</f>
        <v>47350.85</v>
      </c>
      <c r="G45" s="37">
        <f>SUMIF('Gas North Download'!A:A,A45,'Gas North Download'!C:C)</f>
        <v>0</v>
      </c>
      <c r="H45" s="44">
        <f>C45*$D$81</f>
        <v>24067.15</v>
      </c>
      <c r="I45" s="151">
        <f>G45+H45</f>
        <v>24067.15</v>
      </c>
      <c r="J45" s="7"/>
      <c r="L45" s="1"/>
    </row>
    <row r="46" spans="1:12" hidden="1" outlineLevel="1">
      <c r="A46" s="15">
        <v>902</v>
      </c>
      <c r="B46" s="49">
        <f>SUMIF('Gas North Download'!A:A,A46,'Gas North Download'!E:E)</f>
        <v>1073029</v>
      </c>
      <c r="C46" s="202">
        <f>SUMIF('Gas North Download'!A:A,A46,'Gas North Download'!B:B)</f>
        <v>58650</v>
      </c>
      <c r="D46" s="37">
        <f>SUMIF('Gas North Download'!A:A,A46,'Gas North Download'!D:D)</f>
        <v>965180</v>
      </c>
      <c r="E46" s="44">
        <f>C46*$C$81</f>
        <v>38885.54</v>
      </c>
      <c r="F46" s="151">
        <f>D46+E46</f>
        <v>1004065.54</v>
      </c>
      <c r="G46" s="37">
        <f>SUMIF('Gas North Download'!A:A,A46,'Gas North Download'!C:C)</f>
        <v>49199</v>
      </c>
      <c r="H46" s="44">
        <f>C46*$D$81</f>
        <v>19764.46</v>
      </c>
      <c r="I46" s="151">
        <f>G46+H46</f>
        <v>68963.460000000006</v>
      </c>
      <c r="J46" s="7"/>
      <c r="L46" s="1"/>
    </row>
    <row r="47" spans="1:12" hidden="1" outlineLevel="1">
      <c r="A47" s="15">
        <v>903</v>
      </c>
      <c r="B47" s="49">
        <f>SUMIF('Gas North Download'!A:A,A47,'Gas North Download'!E:E)</f>
        <v>2963064</v>
      </c>
      <c r="C47" s="202">
        <f>SUMIF('Gas North Download'!A:A,A47,'Gas North Download'!B:B)</f>
        <v>2479947</v>
      </c>
      <c r="D47" s="37">
        <f>SUMIF('Gas North Download'!A:A,A47,'Gas North Download'!D:D)</f>
        <v>350196</v>
      </c>
      <c r="E47" s="44">
        <f>C47*$C$81</f>
        <v>1644229.66</v>
      </c>
      <c r="F47" s="151">
        <f>D47+E47</f>
        <v>1994425.66</v>
      </c>
      <c r="G47" s="37">
        <f>SUMIF('Gas North Download'!A:A,A47,'Gas North Download'!C:C)</f>
        <v>132921</v>
      </c>
      <c r="H47" s="44">
        <f>C47*$D$81</f>
        <v>835717.34</v>
      </c>
      <c r="I47" s="151">
        <f>G47+H47</f>
        <v>968638.34</v>
      </c>
      <c r="J47" s="7"/>
      <c r="L47" s="1"/>
    </row>
    <row r="48" spans="1:12" hidden="1" outlineLevel="1">
      <c r="A48" s="15">
        <v>905</v>
      </c>
      <c r="B48" s="49">
        <f>SUMIF('Gas North Download'!A:A,A48,'Gas North Download'!E:E)</f>
        <v>89024</v>
      </c>
      <c r="C48" s="202">
        <f>SUMIF('Gas North Download'!A:A,A48,'Gas North Download'!B:B)</f>
        <v>89024</v>
      </c>
      <c r="D48" s="37">
        <f>SUMIF('Gas North Download'!A:A,A48,'Gas North Download'!D:D)</f>
        <v>0</v>
      </c>
      <c r="E48" s="44">
        <f>C48*$C$81</f>
        <v>59023.8</v>
      </c>
      <c r="F48" s="151">
        <f>D48+E48</f>
        <v>59023.8</v>
      </c>
      <c r="G48" s="37">
        <f>SUMIF('Gas North Download'!A:A,A48,'Gas North Download'!C:C)</f>
        <v>0</v>
      </c>
      <c r="H48" s="44">
        <f>C48*$D$81</f>
        <v>30000.2</v>
      </c>
      <c r="I48" s="151">
        <f>G48+H48</f>
        <v>30000.2</v>
      </c>
      <c r="J48" s="7"/>
      <c r="L48" s="1"/>
    </row>
    <row r="49" spans="1:12" collapsed="1">
      <c r="A49" s="14" t="s">
        <v>7</v>
      </c>
      <c r="B49" s="45">
        <f>SUM(B45:B48)</f>
        <v>4196535</v>
      </c>
      <c r="C49" s="65">
        <f t="shared" ref="C49:I49" si="7">SUM(C45:C48)</f>
        <v>2699039</v>
      </c>
      <c r="D49" s="45">
        <f t="shared" si="7"/>
        <v>1315376</v>
      </c>
      <c r="E49" s="45">
        <f t="shared" si="7"/>
        <v>1789489.85</v>
      </c>
      <c r="F49" s="152">
        <f t="shared" si="7"/>
        <v>3104865.85</v>
      </c>
      <c r="G49" s="45">
        <f t="shared" si="7"/>
        <v>182120</v>
      </c>
      <c r="H49" s="45">
        <f t="shared" si="7"/>
        <v>909549.15</v>
      </c>
      <c r="I49" s="152">
        <f t="shared" si="7"/>
        <v>1091669.1499999999</v>
      </c>
      <c r="J49" s="7"/>
    </row>
    <row r="50" spans="1:12">
      <c r="B50" s="44"/>
      <c r="C50" s="203"/>
      <c r="D50" s="44"/>
      <c r="E50" s="44"/>
      <c r="F50" s="151"/>
      <c r="G50" s="44"/>
      <c r="H50" s="44"/>
      <c r="I50" s="151"/>
      <c r="J50" s="7"/>
    </row>
    <row r="51" spans="1:12" hidden="1" outlineLevel="1">
      <c r="A51" s="14" t="s">
        <v>8</v>
      </c>
      <c r="B51" s="44"/>
      <c r="C51" s="203"/>
      <c r="D51" s="44"/>
      <c r="E51" s="44"/>
      <c r="F51" s="151"/>
      <c r="G51" s="44"/>
      <c r="H51" s="44"/>
      <c r="I51" s="151"/>
      <c r="J51" s="7"/>
    </row>
    <row r="52" spans="1:12" hidden="1" outlineLevel="1">
      <c r="A52" s="15">
        <v>908</v>
      </c>
      <c r="B52" s="49">
        <f>SUMIF('Gas North Download'!A:A,A52,'Gas North Download'!E:E)</f>
        <v>272211</v>
      </c>
      <c r="C52" s="202">
        <f>SUMIF('Gas North Download'!A:A,A52,'Gas North Download'!B:B)</f>
        <v>90080</v>
      </c>
      <c r="D52" s="37">
        <f>SUMIF('Gas North Download'!A:A,A52,'Gas North Download'!D:D)</f>
        <v>151936</v>
      </c>
      <c r="E52" s="44">
        <f>C52*$C$81</f>
        <v>59723.94</v>
      </c>
      <c r="F52" s="151">
        <f>D52+E52</f>
        <v>211659.94</v>
      </c>
      <c r="G52" s="37">
        <f>SUMIF('Gas North Download'!A:A,A52,'Gas North Download'!C:C)</f>
        <v>30195</v>
      </c>
      <c r="H52" s="44">
        <f>C52*$D$81</f>
        <v>30356.06</v>
      </c>
      <c r="I52" s="151">
        <f>G52+H52</f>
        <v>60551.06</v>
      </c>
      <c r="J52" s="7"/>
      <c r="L52" s="1"/>
    </row>
    <row r="53" spans="1:12" hidden="1" outlineLevel="1">
      <c r="A53" s="15">
        <v>909</v>
      </c>
      <c r="B53" s="49">
        <f>SUMIF('Gas North Download'!A:A,A53,'Gas North Download'!E:E)</f>
        <v>131551</v>
      </c>
      <c r="C53" s="202">
        <f>SUMIF('Gas North Download'!A:A,A53,'Gas North Download'!B:B)</f>
        <v>131551</v>
      </c>
      <c r="D53" s="37">
        <f>SUMIF('Gas North Download'!A:A,A53,'Gas North Download'!D:D)</f>
        <v>0</v>
      </c>
      <c r="E53" s="44">
        <f>C53*$C$81</f>
        <v>87219.63</v>
      </c>
      <c r="F53" s="151">
        <f>D53+E53</f>
        <v>87219.63</v>
      </c>
      <c r="G53" s="37">
        <f>SUMIF('Gas North Download'!A:A,A53,'Gas North Download'!C:C)</f>
        <v>0</v>
      </c>
      <c r="H53" s="44">
        <f>C53*$D$81</f>
        <v>44331.37</v>
      </c>
      <c r="I53" s="151">
        <f>G53+H53</f>
        <v>44331.37</v>
      </c>
      <c r="J53" s="7"/>
      <c r="L53" s="1"/>
    </row>
    <row r="54" spans="1:12" hidden="1" outlineLevel="1">
      <c r="A54" s="15">
        <v>910</v>
      </c>
      <c r="B54" s="49">
        <f>SUMIF('Gas North Download'!A:A,A54,'Gas North Download'!E:E)</f>
        <v>35669</v>
      </c>
      <c r="C54" s="202">
        <f>SUMIF('Gas North Download'!A:A,A54,'Gas North Download'!B:B)</f>
        <v>35669</v>
      </c>
      <c r="D54" s="37">
        <f>SUMIF('Gas North Download'!A:A,A54,'Gas North Download'!D:D)</f>
        <v>0</v>
      </c>
      <c r="E54" s="44">
        <f>C54*$C$81</f>
        <v>23648.9</v>
      </c>
      <c r="F54" s="151">
        <f>D54+E54</f>
        <v>23648.9</v>
      </c>
      <c r="G54" s="37">
        <f>SUMIF('Gas North Download'!A:A,A54,'Gas North Download'!C:C)</f>
        <v>0</v>
      </c>
      <c r="H54" s="44">
        <f>C54*$D$81</f>
        <v>12020.1</v>
      </c>
      <c r="I54" s="151">
        <f>G54+H54</f>
        <v>12020.1</v>
      </c>
      <c r="J54" s="7"/>
      <c r="L54" s="1"/>
    </row>
    <row r="55" spans="1:12" collapsed="1">
      <c r="A55" s="14" t="s">
        <v>9</v>
      </c>
      <c r="B55" s="45">
        <f t="shared" ref="B55:I55" si="8">SUM(B52:B54)</f>
        <v>439431</v>
      </c>
      <c r="C55" s="65">
        <f t="shared" si="8"/>
        <v>257300</v>
      </c>
      <c r="D55" s="45">
        <f t="shared" si="8"/>
        <v>151936</v>
      </c>
      <c r="E55" s="45">
        <f t="shared" si="8"/>
        <v>170592.47</v>
      </c>
      <c r="F55" s="152">
        <f t="shared" si="8"/>
        <v>322528.46999999997</v>
      </c>
      <c r="G55" s="45">
        <f t="shared" si="8"/>
        <v>30195</v>
      </c>
      <c r="H55" s="45">
        <f t="shared" si="8"/>
        <v>86707.53</v>
      </c>
      <c r="I55" s="152">
        <f t="shared" si="8"/>
        <v>116902.53</v>
      </c>
      <c r="J55" s="7"/>
    </row>
    <row r="56" spans="1:12">
      <c r="B56" s="44"/>
      <c r="C56" s="203"/>
      <c r="D56" s="44"/>
      <c r="E56" s="44"/>
      <c r="F56" s="151"/>
      <c r="G56" s="44"/>
      <c r="H56" s="44"/>
      <c r="I56" s="151"/>
      <c r="J56" s="7"/>
    </row>
    <row r="57" spans="1:12" hidden="1" outlineLevel="1">
      <c r="A57" s="14" t="s">
        <v>10</v>
      </c>
      <c r="B57" s="44"/>
      <c r="C57" s="203"/>
      <c r="D57" s="44"/>
      <c r="E57" s="44"/>
      <c r="F57" s="151"/>
      <c r="G57" s="44"/>
      <c r="H57" s="44"/>
      <c r="I57" s="151"/>
      <c r="J57" s="7"/>
    </row>
    <row r="58" spans="1:12" hidden="1" outlineLevel="1">
      <c r="A58" s="15">
        <v>911</v>
      </c>
      <c r="B58" s="49">
        <f>SUMIF('Gas North Download'!A:A,A58,'Gas North Download'!E:E)</f>
        <v>0</v>
      </c>
      <c r="C58" s="202">
        <f>SUMIF('Gas North Download'!A:A,A58,'Gas North Download'!B:B)</f>
        <v>0</v>
      </c>
      <c r="D58" s="37">
        <f>SUMIF('Gas North Download'!A:A,A58,'Gas North Download'!D:D)</f>
        <v>0</v>
      </c>
      <c r="E58" s="44">
        <f>C58*$C$81</f>
        <v>0</v>
      </c>
      <c r="F58" s="151">
        <f>D58+E58</f>
        <v>0</v>
      </c>
      <c r="G58" s="37">
        <f>SUMIF('Gas North Download'!A:A,A58,'Gas North Download'!C:C)</f>
        <v>0</v>
      </c>
      <c r="H58" s="44">
        <f>C58*$D$81</f>
        <v>0</v>
      </c>
      <c r="I58" s="151">
        <f>G58+H58</f>
        <v>0</v>
      </c>
      <c r="J58" s="7"/>
      <c r="L58" s="1"/>
    </row>
    <row r="59" spans="1:12" hidden="1" outlineLevel="1">
      <c r="A59" s="15">
        <v>912</v>
      </c>
      <c r="B59" s="49">
        <f>SUMIF('Gas North Download'!A:A,A59,'Gas North Download'!E:E)</f>
        <v>0</v>
      </c>
      <c r="C59" s="202">
        <f>SUMIF('Gas North Download'!A:A,A59,'Gas North Download'!B:B)</f>
        <v>0</v>
      </c>
      <c r="D59" s="37">
        <f>SUMIF('Gas North Download'!A:A,A59,'Gas North Download'!D:D)</f>
        <v>0</v>
      </c>
      <c r="E59" s="44">
        <f>C59*$C$81</f>
        <v>0</v>
      </c>
      <c r="F59" s="151">
        <f>D59+E59</f>
        <v>0</v>
      </c>
      <c r="G59" s="37">
        <f>SUMIF('Gas North Download'!A:A,A59,'Gas North Download'!C:C)</f>
        <v>0</v>
      </c>
      <c r="H59" s="44">
        <f>C59*$D$81</f>
        <v>0</v>
      </c>
      <c r="I59" s="151">
        <f>G59+H59</f>
        <v>0</v>
      </c>
      <c r="J59" s="7"/>
      <c r="L59" s="1"/>
    </row>
    <row r="60" spans="1:12" hidden="1" outlineLevel="1">
      <c r="A60" s="15">
        <v>913</v>
      </c>
      <c r="B60" s="49">
        <f>SUMIF('Gas North Download'!A:A,A60,'Gas North Download'!E:E)</f>
        <v>0</v>
      </c>
      <c r="C60" s="202">
        <f>SUMIF('Gas North Download'!A:A,A60,'Gas North Download'!B:B)</f>
        <v>0</v>
      </c>
      <c r="D60" s="37">
        <f>SUMIF('Gas North Download'!A:A,A60,'Gas North Download'!D:D)</f>
        <v>0</v>
      </c>
      <c r="E60" s="44">
        <f>C60*$C$81</f>
        <v>0</v>
      </c>
      <c r="F60" s="151">
        <f>D60+E60</f>
        <v>0</v>
      </c>
      <c r="G60" s="37">
        <f>SUMIF('Gas North Download'!A:A,A60,'Gas North Download'!C:C)</f>
        <v>0</v>
      </c>
      <c r="H60" s="44">
        <f>C60*$D$81</f>
        <v>0</v>
      </c>
      <c r="I60" s="151">
        <f>G60+H60</f>
        <v>0</v>
      </c>
      <c r="J60" s="7"/>
      <c r="L60" s="1"/>
    </row>
    <row r="61" spans="1:12" hidden="1" outlineLevel="1">
      <c r="A61" s="15">
        <v>916</v>
      </c>
      <c r="B61" s="49">
        <f>SUMIF('Gas North Download'!A:A,A61,'Gas North Download'!E:E)</f>
        <v>0</v>
      </c>
      <c r="C61" s="202">
        <f>SUMIF('Gas North Download'!A:A,A61,'Gas North Download'!B:B)</f>
        <v>0</v>
      </c>
      <c r="D61" s="37">
        <f>SUMIF('Gas North Download'!A:A,A61,'Gas North Download'!D:D)</f>
        <v>0</v>
      </c>
      <c r="E61" s="44">
        <f>C61*$C$81</f>
        <v>0</v>
      </c>
      <c r="F61" s="151">
        <f>D61+E61</f>
        <v>0</v>
      </c>
      <c r="G61" s="37">
        <f>SUMIF('Gas North Download'!A:A,A61,'Gas North Download'!C:C)</f>
        <v>0</v>
      </c>
      <c r="H61" s="44">
        <f>C61*$D$81</f>
        <v>0</v>
      </c>
      <c r="I61" s="151">
        <f>G61+H61</f>
        <v>0</v>
      </c>
      <c r="J61" s="7"/>
      <c r="L61" s="1"/>
    </row>
    <row r="62" spans="1:12" collapsed="1">
      <c r="A62" s="14" t="s">
        <v>11</v>
      </c>
      <c r="B62" s="45">
        <f>SUM(B58:B61)</f>
        <v>0</v>
      </c>
      <c r="C62" s="65">
        <f t="shared" ref="C62:I62" si="9">SUM(C58:C61)</f>
        <v>0</v>
      </c>
      <c r="D62" s="45">
        <f t="shared" si="9"/>
        <v>0</v>
      </c>
      <c r="E62" s="45">
        <f t="shared" si="9"/>
        <v>0</v>
      </c>
      <c r="F62" s="152">
        <f t="shared" si="9"/>
        <v>0</v>
      </c>
      <c r="G62" s="45">
        <f t="shared" si="9"/>
        <v>0</v>
      </c>
      <c r="H62" s="45">
        <f t="shared" si="9"/>
        <v>0</v>
      </c>
      <c r="I62" s="152">
        <f t="shared" si="9"/>
        <v>0</v>
      </c>
      <c r="J62" s="7"/>
    </row>
    <row r="63" spans="1:12">
      <c r="B63" s="44"/>
      <c r="C63" s="203"/>
      <c r="D63" s="44"/>
      <c r="E63" s="44"/>
      <c r="F63" s="151"/>
      <c r="G63" s="44"/>
      <c r="H63" s="44"/>
      <c r="I63" s="151"/>
      <c r="J63" s="45"/>
    </row>
    <row r="64" spans="1:12" hidden="1" outlineLevel="1">
      <c r="A64" s="14" t="s">
        <v>12</v>
      </c>
      <c r="B64" s="44"/>
      <c r="C64" s="203"/>
      <c r="D64" s="44"/>
      <c r="E64" s="44"/>
      <c r="F64" s="151"/>
      <c r="G64" s="44"/>
      <c r="H64" s="44"/>
      <c r="I64" s="151"/>
      <c r="J64" s="7"/>
    </row>
    <row r="65" spans="1:12" hidden="1" outlineLevel="1">
      <c r="A65" s="15">
        <v>920</v>
      </c>
      <c r="B65" s="49">
        <f>SUMIF('Gas North Download'!A:A,A65,'Gas North Download'!E:E)</f>
        <v>4948626</v>
      </c>
      <c r="C65" s="202">
        <f>SUMIF('Gas North Download'!A:A,A65,'Gas North Download'!B:B)+0.77</f>
        <v>4845963.7699999996</v>
      </c>
      <c r="D65" s="37">
        <f>SUMIF('Gas North Download'!A:A,A65,'Gas North Download'!D:D)</f>
        <v>72630</v>
      </c>
      <c r="E65" s="44">
        <f t="shared" ref="E65:E73" si="10">C65*$C$83</f>
        <v>3502274.94</v>
      </c>
      <c r="F65" s="151">
        <f t="shared" ref="F65:F73" si="11">D65+E65</f>
        <v>3574904.94</v>
      </c>
      <c r="G65" s="37">
        <f>SUMIF('Gas North Download'!A:A,A65,'Gas North Download'!C:C)</f>
        <v>30033</v>
      </c>
      <c r="H65" s="44">
        <f t="shared" ref="H65:H73" si="12">ROUND(C65*$D$83,2)</f>
        <v>1343688.83</v>
      </c>
      <c r="I65" s="151">
        <f t="shared" ref="I65:I73" si="13">G65+H65</f>
        <v>1373721.83</v>
      </c>
      <c r="J65" s="7"/>
      <c r="L65" s="1"/>
    </row>
    <row r="66" spans="1:12" hidden="1" outlineLevel="1">
      <c r="A66" s="15">
        <v>921</v>
      </c>
      <c r="B66" s="49">
        <f>SUMIF('Gas North Download'!A:A,A66,'Gas North Download'!E:E)</f>
        <v>101513</v>
      </c>
      <c r="C66" s="202">
        <f>SUMIF('Gas North Download'!A:A,A66,'Gas North Download'!B:B)</f>
        <v>101202</v>
      </c>
      <c r="D66" s="37">
        <f>SUMIF('Gas North Download'!A:A,A66,'Gas North Download'!D:D)</f>
        <v>311</v>
      </c>
      <c r="E66" s="44">
        <f t="shared" si="10"/>
        <v>73140.710000000006</v>
      </c>
      <c r="F66" s="151">
        <f t="shared" si="11"/>
        <v>73451.710000000006</v>
      </c>
      <c r="G66" s="37">
        <f>SUMIF('Gas North Download'!A:A,A66,'Gas North Download'!C:C)</f>
        <v>0</v>
      </c>
      <c r="H66" s="44">
        <f t="shared" si="12"/>
        <v>28061.29</v>
      </c>
      <c r="I66" s="151">
        <f t="shared" si="13"/>
        <v>28061.29</v>
      </c>
      <c r="J66" s="7"/>
      <c r="L66" s="1"/>
    </row>
    <row r="67" spans="1:12" hidden="1" outlineLevel="1">
      <c r="A67" s="15">
        <v>922</v>
      </c>
      <c r="B67" s="49">
        <f>SUMIF('Gas North Download'!A:A,A67,'Gas North Download'!E:E)</f>
        <v>0</v>
      </c>
      <c r="C67" s="202">
        <f>SUMIF('Gas North Download'!A:A,A67,'Gas North Download'!B:B)</f>
        <v>0</v>
      </c>
      <c r="D67" s="37">
        <f>SUMIF('Gas North Download'!A:A,A67,'Gas North Download'!D:D)</f>
        <v>0</v>
      </c>
      <c r="E67" s="44">
        <f t="shared" si="10"/>
        <v>0</v>
      </c>
      <c r="F67" s="151">
        <f>D67+E67</f>
        <v>0</v>
      </c>
      <c r="G67" s="37">
        <f>SUMIF('Gas North Download'!A:A,A67,'Gas North Download'!C:C)</f>
        <v>0</v>
      </c>
      <c r="H67" s="44">
        <f t="shared" si="12"/>
        <v>0</v>
      </c>
      <c r="I67" s="151">
        <f>G67+H67</f>
        <v>0</v>
      </c>
      <c r="J67" s="7"/>
      <c r="L67" s="1"/>
    </row>
    <row r="68" spans="1:12" hidden="1" outlineLevel="1">
      <c r="A68" s="15">
        <v>923</v>
      </c>
      <c r="B68" s="49">
        <f>SUMIF('Gas North Download'!A:A,A68,'Gas North Download'!E:E)</f>
        <v>7771</v>
      </c>
      <c r="C68" s="202">
        <f>SUMIF('Gas North Download'!A:A,A68,'Gas North Download'!B:B)</f>
        <v>7771</v>
      </c>
      <c r="D68" s="37">
        <f>SUMIF('Gas North Download'!A:A,A68,'Gas North Download'!D:D)</f>
        <v>0</v>
      </c>
      <c r="E68" s="44">
        <f t="shared" si="10"/>
        <v>5616.26</v>
      </c>
      <c r="F68" s="151">
        <f t="shared" si="11"/>
        <v>5616.26</v>
      </c>
      <c r="G68" s="37">
        <f>SUMIF('Gas North Download'!A:A,A68,'Gas North Download'!C:C)</f>
        <v>0</v>
      </c>
      <c r="H68" s="44">
        <f t="shared" si="12"/>
        <v>2154.7399999999998</v>
      </c>
      <c r="I68" s="151">
        <f t="shared" si="13"/>
        <v>2154.7399999999998</v>
      </c>
      <c r="J68" s="7"/>
      <c r="L68" s="1"/>
    </row>
    <row r="69" spans="1:12" ht="12" hidden="1" customHeight="1" outlineLevel="1">
      <c r="A69" s="15">
        <v>924</v>
      </c>
      <c r="B69" s="49">
        <f>SUMIF('Gas North Download'!A:A,A69,'Gas North Download'!E:E)</f>
        <v>0</v>
      </c>
      <c r="C69" s="202">
        <f>SUMIF('Gas North Download'!A:A,A69,'Gas North Download'!B:B)</f>
        <v>0</v>
      </c>
      <c r="D69" s="37">
        <f>SUMIF('Gas North Download'!A:A,A69,'Gas North Download'!D:D)</f>
        <v>0</v>
      </c>
      <c r="E69" s="44">
        <f t="shared" si="10"/>
        <v>0</v>
      </c>
      <c r="F69" s="151">
        <f t="shared" si="11"/>
        <v>0</v>
      </c>
      <c r="G69" s="37">
        <f>SUMIF('Gas North Download'!A:A,A69,'Gas North Download'!C:C)</f>
        <v>0</v>
      </c>
      <c r="H69" s="44">
        <f t="shared" si="12"/>
        <v>0</v>
      </c>
      <c r="I69" s="151">
        <f t="shared" si="13"/>
        <v>0</v>
      </c>
      <c r="J69" s="7"/>
      <c r="L69" s="1"/>
    </row>
    <row r="70" spans="1:12" hidden="1" outlineLevel="1">
      <c r="A70" s="15">
        <v>926</v>
      </c>
      <c r="B70" s="49">
        <f>SUMIF('Gas North Download'!A:A,A70,'Gas North Download'!E:E)+62125+930</f>
        <v>158586</v>
      </c>
      <c r="C70" s="202">
        <f>SUMIF('Gas North Download'!A:A,A70,'Gas North Download'!B:B)</f>
        <v>94670</v>
      </c>
      <c r="D70" s="37">
        <f>SUMIF('Gas North Download'!A:A,A70,'Gas North Download'!D:D)</f>
        <v>861</v>
      </c>
      <c r="E70" s="44">
        <f t="shared" si="10"/>
        <v>68419.899999999994</v>
      </c>
      <c r="F70" s="151">
        <f t="shared" si="11"/>
        <v>69280.899999999994</v>
      </c>
      <c r="G70" s="37">
        <f>SUMIF('Gas North Download'!A:A,A70,'Gas North Download'!C:C)</f>
        <v>0</v>
      </c>
      <c r="H70" s="44">
        <f t="shared" si="12"/>
        <v>26250.1</v>
      </c>
      <c r="I70" s="151">
        <f t="shared" si="13"/>
        <v>26250.1</v>
      </c>
      <c r="J70" s="7"/>
      <c r="L70" s="1"/>
    </row>
    <row r="71" spans="1:12" hidden="1" outlineLevel="1">
      <c r="A71" s="15">
        <v>928</v>
      </c>
      <c r="B71" s="49">
        <f>SUMIF('Gas North Download'!A:A,A71,'Gas North Download'!E:E)</f>
        <v>276377</v>
      </c>
      <c r="C71" s="202">
        <f>SUMIF('Gas North Download'!A:A,A71,'Gas North Download'!B:B)</f>
        <v>186260</v>
      </c>
      <c r="D71" s="37">
        <f>SUMIF('Gas North Download'!A:A,A71,'Gas North Download'!D:D)</f>
        <v>63382</v>
      </c>
      <c r="E71" s="44">
        <f t="shared" si="10"/>
        <v>134613.82999999999</v>
      </c>
      <c r="F71" s="151">
        <f t="shared" si="11"/>
        <v>197995.83</v>
      </c>
      <c r="G71" s="37">
        <f>SUMIF('Gas North Download'!A:A,A71,'Gas North Download'!C:C)</f>
        <v>26735</v>
      </c>
      <c r="H71" s="44">
        <f t="shared" si="12"/>
        <v>51646.17</v>
      </c>
      <c r="I71" s="151">
        <f t="shared" si="13"/>
        <v>78381.17</v>
      </c>
      <c r="J71" s="7"/>
      <c r="L71" s="1"/>
    </row>
    <row r="72" spans="1:12" s="71" customFormat="1" hidden="1" outlineLevel="1">
      <c r="A72" s="15">
        <v>930</v>
      </c>
      <c r="B72" s="49">
        <f>SUMIF('Gas North Download'!A:A,A72,'Gas North Download'!E:E)+121</f>
        <v>87000</v>
      </c>
      <c r="C72" s="202">
        <f>SUMIF('Gas North Download'!A:A,A72,'Gas North Download'!B:B)</f>
        <v>81624</v>
      </c>
      <c r="D72" s="37">
        <f>SUMIF('Gas North Download'!A:A,A72,'Gas North Download'!D:D)</f>
        <v>2310</v>
      </c>
      <c r="E72" s="44">
        <f t="shared" si="10"/>
        <v>58991.3</v>
      </c>
      <c r="F72" s="151">
        <f t="shared" si="11"/>
        <v>61301.3</v>
      </c>
      <c r="G72" s="37">
        <f>SUMIF('Gas North Download'!A:A,A72,'Gas North Download'!C:C)</f>
        <v>2945</v>
      </c>
      <c r="H72" s="44">
        <f t="shared" si="12"/>
        <v>22632.7</v>
      </c>
      <c r="I72" s="151">
        <f t="shared" si="13"/>
        <v>25577.7</v>
      </c>
      <c r="J72" s="70"/>
      <c r="L72" s="1"/>
    </row>
    <row r="73" spans="1:12" hidden="1" outlineLevel="1">
      <c r="A73" s="15">
        <v>935</v>
      </c>
      <c r="B73" s="49">
        <f>SUMIF('Gas North Download'!A:A,A73,'Gas North Download'!E:E)</f>
        <v>457684</v>
      </c>
      <c r="C73" s="202">
        <f>SUMIF('Gas North Download'!A:A,A73,'Gas North Download'!B:B)-0.77</f>
        <v>428031.23</v>
      </c>
      <c r="D73" s="37">
        <f>SUMIF('Gas North Download'!A:A,A73,'Gas North Download'!D:D)</f>
        <v>13362</v>
      </c>
      <c r="E73" s="44">
        <f t="shared" si="10"/>
        <v>309346.73</v>
      </c>
      <c r="F73" s="151">
        <f t="shared" si="11"/>
        <v>322708.73</v>
      </c>
      <c r="G73" s="37">
        <f>SUMIF('Gas North Download'!A:A,A73,'Gas North Download'!C:C)</f>
        <v>16290</v>
      </c>
      <c r="H73" s="44">
        <f t="shared" si="12"/>
        <v>118684.5</v>
      </c>
      <c r="I73" s="151">
        <f t="shared" si="13"/>
        <v>134974.5</v>
      </c>
      <c r="J73" s="7"/>
      <c r="L73" s="1"/>
    </row>
    <row r="74" spans="1:12" collapsed="1">
      <c r="A74" s="14" t="s">
        <v>13</v>
      </c>
      <c r="B74" s="45">
        <f t="shared" ref="B74:I74" si="14">SUM(B65:B73)</f>
        <v>6037557</v>
      </c>
      <c r="C74" s="65">
        <f t="shared" si="14"/>
        <v>5745522</v>
      </c>
      <c r="D74" s="45">
        <f t="shared" si="14"/>
        <v>152856</v>
      </c>
      <c r="E74" s="45">
        <f t="shared" si="14"/>
        <v>4152403.67</v>
      </c>
      <c r="F74" s="152">
        <f t="shared" si="14"/>
        <v>4305259.67</v>
      </c>
      <c r="G74" s="45">
        <f t="shared" si="14"/>
        <v>76003</v>
      </c>
      <c r="H74" s="45">
        <f t="shared" si="14"/>
        <v>1593118.33</v>
      </c>
      <c r="I74" s="152">
        <f t="shared" si="14"/>
        <v>1669121.33</v>
      </c>
      <c r="J74" s="7"/>
    </row>
    <row r="75" spans="1:12">
      <c r="B75" s="44"/>
      <c r="C75" s="203"/>
      <c r="D75" s="44"/>
      <c r="E75" s="44"/>
      <c r="F75" s="151"/>
      <c r="G75" s="44"/>
      <c r="H75" s="44"/>
      <c r="I75" s="151"/>
      <c r="J75" s="7"/>
    </row>
    <row r="76" spans="1:12" ht="13.5" thickBot="1">
      <c r="A76" s="14" t="s">
        <v>115</v>
      </c>
      <c r="B76" s="52">
        <f t="shared" ref="B76:I76" si="15">B13+B18+B42+B49+B55+B62+B74</f>
        <v>19280118</v>
      </c>
      <c r="C76" s="65">
        <f t="shared" si="15"/>
        <v>11723611</v>
      </c>
      <c r="D76" s="52">
        <f t="shared" si="15"/>
        <v>5627971</v>
      </c>
      <c r="E76" s="45">
        <f t="shared" si="15"/>
        <v>8241497.3600000003</v>
      </c>
      <c r="F76" s="153">
        <f t="shared" si="15"/>
        <v>13869468.359999999</v>
      </c>
      <c r="G76" s="53">
        <f t="shared" si="15"/>
        <v>1865360</v>
      </c>
      <c r="H76" s="45">
        <f t="shared" si="15"/>
        <v>3482113.64</v>
      </c>
      <c r="I76" s="153">
        <f t="shared" si="15"/>
        <v>5347473.6399999997</v>
      </c>
      <c r="J76" s="7"/>
    </row>
    <row r="77" spans="1:12">
      <c r="B77" s="91">
        <f>'Gas North Download'!E41</f>
        <v>19216942</v>
      </c>
      <c r="C77" s="91">
        <f>'Gas North Download'!B41</f>
        <v>11723611</v>
      </c>
      <c r="D77" s="69">
        <f>'Gas North Download'!D41</f>
        <v>5627971</v>
      </c>
      <c r="G77" s="69">
        <f>'Gas North Download'!C41</f>
        <v>1865360</v>
      </c>
      <c r="J77" s="7"/>
    </row>
    <row r="78" spans="1:12">
      <c r="C78" s="91">
        <f>C76-C77</f>
        <v>0</v>
      </c>
      <c r="D78" s="91">
        <f>D76-D77</f>
        <v>0</v>
      </c>
      <c r="J78" s="7"/>
    </row>
    <row r="79" spans="1:12" ht="13.5" thickBot="1">
      <c r="A79" s="86" t="s">
        <v>166</v>
      </c>
      <c r="B79" s="87"/>
      <c r="C79" s="87"/>
      <c r="D79" s="87"/>
      <c r="E79" s="87"/>
      <c r="F79" s="80" t="s">
        <v>119</v>
      </c>
      <c r="G79" s="79"/>
      <c r="J79" s="7"/>
    </row>
    <row r="80" spans="1:12">
      <c r="A80" s="88"/>
      <c r="B80" s="82" t="s">
        <v>15</v>
      </c>
      <c r="C80" s="82" t="s">
        <v>103</v>
      </c>
      <c r="D80" s="82" t="s">
        <v>104</v>
      </c>
      <c r="E80" s="82" t="s">
        <v>17</v>
      </c>
      <c r="J80" s="7"/>
    </row>
    <row r="81" spans="1:10">
      <c r="A81" s="71" t="s">
        <v>18</v>
      </c>
      <c r="B81" s="71">
        <v>2</v>
      </c>
      <c r="C81" s="89">
        <v>0.66300999999999999</v>
      </c>
      <c r="D81" s="89">
        <v>0.33699000000000001</v>
      </c>
      <c r="E81" s="68">
        <f t="shared" ref="E81:E86" si="16">C81+D81</f>
        <v>1</v>
      </c>
      <c r="J81" s="7"/>
    </row>
    <row r="82" spans="1:10">
      <c r="A82" s="71" t="s">
        <v>19</v>
      </c>
      <c r="B82" s="71">
        <v>3</v>
      </c>
      <c r="C82" s="89">
        <v>0.70598000000000005</v>
      </c>
      <c r="D82" s="89">
        <v>0.29402</v>
      </c>
      <c r="E82" s="68">
        <f t="shared" si="16"/>
        <v>1</v>
      </c>
      <c r="J82" s="7"/>
    </row>
    <row r="83" spans="1:10">
      <c r="A83" s="71" t="s">
        <v>110</v>
      </c>
      <c r="B83" s="71">
        <v>4</v>
      </c>
      <c r="C83" s="89">
        <v>0.72272000000000003</v>
      </c>
      <c r="D83" s="89">
        <v>0.27728000000000003</v>
      </c>
      <c r="E83" s="68">
        <f t="shared" si="16"/>
        <v>1</v>
      </c>
    </row>
    <row r="84" spans="1:10">
      <c r="A84" s="71" t="s">
        <v>111</v>
      </c>
      <c r="B84" s="71">
        <v>6</v>
      </c>
      <c r="C84" s="89">
        <v>0.6774</v>
      </c>
      <c r="D84" s="89">
        <v>0.3226</v>
      </c>
      <c r="E84" s="68">
        <f t="shared" si="16"/>
        <v>1</v>
      </c>
      <c r="J84" s="7"/>
    </row>
    <row r="85" spans="1:10">
      <c r="A85" s="71" t="s">
        <v>25</v>
      </c>
      <c r="B85" s="71">
        <v>10</v>
      </c>
      <c r="C85" s="89">
        <v>0.67773000000000005</v>
      </c>
      <c r="D85" s="89">
        <v>0.32227</v>
      </c>
      <c r="E85" s="68">
        <f t="shared" si="16"/>
        <v>1</v>
      </c>
      <c r="J85" s="7"/>
    </row>
    <row r="86" spans="1:10">
      <c r="A86" s="71" t="s">
        <v>112</v>
      </c>
      <c r="B86" s="71">
        <v>1</v>
      </c>
      <c r="C86" s="89">
        <v>0.69099999999999995</v>
      </c>
      <c r="D86" s="89">
        <v>0.309</v>
      </c>
      <c r="E86" s="68">
        <f t="shared" si="16"/>
        <v>1</v>
      </c>
    </row>
    <row r="87" spans="1:10" ht="14.25" customHeight="1">
      <c r="A87" s="71"/>
      <c r="B87" s="70"/>
      <c r="C87" s="30"/>
      <c r="D87" s="71"/>
      <c r="E87" s="68"/>
      <c r="F87" s="68"/>
      <c r="G87" s="43"/>
    </row>
    <row r="88" spans="1:10">
      <c r="B88" s="7"/>
      <c r="C88" s="30"/>
      <c r="E88" s="43"/>
      <c r="F88" s="43"/>
      <c r="G88" s="43"/>
    </row>
    <row r="89" spans="1:10">
      <c r="B89" s="7"/>
      <c r="C89" s="30"/>
      <c r="E89" s="43"/>
    </row>
    <row r="90" spans="1:10">
      <c r="B90" s="7"/>
      <c r="C90" s="30"/>
      <c r="E90" s="43"/>
    </row>
    <row r="91" spans="1:10">
      <c r="B91" s="7"/>
      <c r="C91" s="30"/>
      <c r="E91" s="43"/>
    </row>
    <row r="92" spans="1:10">
      <c r="B92" s="7"/>
      <c r="C92" s="30"/>
      <c r="E92" s="43"/>
      <c r="J92" s="7"/>
    </row>
    <row r="93" spans="1:10">
      <c r="B93" s="7"/>
      <c r="C93" s="30"/>
      <c r="E93" s="43"/>
      <c r="J93" s="7"/>
    </row>
    <row r="94" spans="1:10">
      <c r="B94" s="7"/>
      <c r="C94" s="30"/>
      <c r="E94" s="43"/>
      <c r="J94" s="7"/>
    </row>
    <row r="95" spans="1:10">
      <c r="B95" s="7"/>
      <c r="C95" s="30"/>
      <c r="E95" s="43"/>
      <c r="G95" s="69"/>
      <c r="J95" s="7"/>
    </row>
    <row r="96" spans="1:10">
      <c r="B96" s="7"/>
      <c r="C96" s="30"/>
      <c r="E96" s="43"/>
      <c r="G96" s="69"/>
      <c r="J96" s="7"/>
    </row>
    <row r="97" spans="2:10">
      <c r="B97" s="7"/>
      <c r="C97" s="30"/>
      <c r="E97" s="43"/>
      <c r="J97" s="7"/>
    </row>
    <row r="98" spans="2:10">
      <c r="B98" s="7"/>
      <c r="C98" s="30"/>
      <c r="E98" s="43"/>
      <c r="J98" s="7"/>
    </row>
    <row r="99" spans="2:10">
      <c r="J99" s="7"/>
    </row>
    <row r="100" spans="2:10">
      <c r="J100" s="7"/>
    </row>
    <row r="101" spans="2:10">
      <c r="J101" s="7"/>
    </row>
    <row r="102" spans="2:10">
      <c r="J102" s="7"/>
    </row>
    <row r="103" spans="2:10">
      <c r="J103" s="7"/>
    </row>
    <row r="104" spans="2:10">
      <c r="J104" s="7"/>
    </row>
    <row r="105" spans="2:10">
      <c r="J105" s="7"/>
    </row>
    <row r="106" spans="2:10">
      <c r="J106" s="7"/>
    </row>
    <row r="107" spans="2:10">
      <c r="J107" s="7"/>
    </row>
    <row r="108" spans="2:10">
      <c r="J108" s="7"/>
    </row>
    <row r="109" spans="2:10">
      <c r="J109" s="7"/>
    </row>
    <row r="110" spans="2:10">
      <c r="J110" s="7"/>
    </row>
    <row r="111" spans="2:10">
      <c r="J111" s="7"/>
    </row>
    <row r="112" spans="2:10">
      <c r="J112" s="7"/>
    </row>
    <row r="113" spans="10:10">
      <c r="J113" s="7"/>
    </row>
    <row r="114" spans="10:10">
      <c r="J114" s="7"/>
    </row>
    <row r="115" spans="10:10">
      <c r="J115" s="7"/>
    </row>
    <row r="116" spans="10:10">
      <c r="J116" s="7"/>
    </row>
  </sheetData>
  <phoneticPr fontId="0" type="noConversion"/>
  <pageMargins left="0.61" right="0.75" top="1" bottom="1" header="0.5" footer="0.5"/>
  <pageSetup scale="70" fitToHeight="0" orientation="landscape" r:id="rId1"/>
  <headerFooter alignWithMargins="0">
    <oddHeader>&amp;RAdjustment No. 3.02 Pro-Forma Non-Exec
Workpaper Ref. &amp;A</oddHeader>
    <oddFooter>&amp;L&amp;F&amp;RPrep by:  AMB
          Date:  &amp;D           Mgr. Review:__________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B1:T241"/>
  <sheetViews>
    <sheetView zoomScaleNormal="100" zoomScaleSheetLayoutView="115" workbookViewId="0">
      <pane ySplit="6" topLeftCell="A7" activePane="bottomLeft" state="frozen"/>
      <selection activeCell="H46" sqref="H46"/>
      <selection pane="bottomLeft" activeCell="L6" sqref="L6"/>
    </sheetView>
  </sheetViews>
  <sheetFormatPr defaultColWidth="9.33203125" defaultRowHeight="12.75"/>
  <cols>
    <col min="1" max="2" width="3" style="2" customWidth="1"/>
    <col min="3" max="3" width="5.5" style="14" customWidth="1"/>
    <col min="4" max="4" width="35.1640625" style="14" customWidth="1"/>
    <col min="5" max="5" width="12.1640625" style="2" bestFit="1" customWidth="1"/>
    <col min="6" max="6" width="12.33203125" style="2" hidden="1" customWidth="1"/>
    <col min="7" max="7" width="13" style="2" bestFit="1" customWidth="1"/>
    <col min="8" max="8" width="5.1640625" style="2" customWidth="1"/>
    <col min="9" max="9" width="15.5" style="2" customWidth="1"/>
    <col min="10" max="10" width="15" style="2" customWidth="1"/>
    <col min="11" max="11" width="17" style="2" customWidth="1"/>
    <col min="12" max="12" width="13.83203125" style="2" customWidth="1"/>
    <col min="13" max="13" width="5.1640625" style="64" customWidth="1"/>
    <col min="14" max="14" width="14.33203125" style="2" bestFit="1" customWidth="1"/>
    <col min="15" max="15" width="17" style="2" customWidth="1"/>
    <col min="16" max="16" width="4.33203125" style="2" customWidth="1"/>
    <col min="17" max="17" width="13.83203125" style="2" customWidth="1"/>
    <col min="18" max="18" width="3.5" style="64" customWidth="1"/>
    <col min="19" max="19" width="9.33203125" style="2"/>
    <col min="20" max="20" width="17" style="2" hidden="1" customWidth="1"/>
    <col min="21" max="16384" width="9.33203125" style="2"/>
  </cols>
  <sheetData>
    <row r="1" spans="2:20">
      <c r="C1" s="13" t="s">
        <v>23</v>
      </c>
      <c r="D1" s="13"/>
    </row>
    <row r="2" spans="2:20">
      <c r="C2" s="15" t="s">
        <v>109</v>
      </c>
      <c r="D2" s="15"/>
      <c r="E2" s="2" t="s">
        <v>183</v>
      </c>
    </row>
    <row r="3" spans="2:20" ht="13.5" thickBot="1">
      <c r="C3" s="15">
        <f>'Washington Gas PF'!C6</f>
        <v>0</v>
      </c>
      <c r="D3" s="15"/>
    </row>
    <row r="4" spans="2:20">
      <c r="C4" s="16"/>
      <c r="D4" s="16"/>
      <c r="E4" s="3"/>
      <c r="F4" s="3"/>
      <c r="G4" s="3"/>
      <c r="H4" s="3"/>
      <c r="I4" s="60" t="str">
        <f>'Washington Electric PF'!I7</f>
        <v>2018 Increase</v>
      </c>
      <c r="J4" s="60">
        <f>'Washington Electric PF'!J7</f>
        <v>2019</v>
      </c>
      <c r="K4" s="144" t="s">
        <v>185</v>
      </c>
      <c r="L4" s="60" t="s">
        <v>0</v>
      </c>
      <c r="M4" s="208"/>
      <c r="N4" s="60" t="e">
        <f>'Washington Electric PF'!#REF!</f>
        <v>#REF!</v>
      </c>
      <c r="O4" s="144" t="s">
        <v>185</v>
      </c>
      <c r="P4" s="76"/>
      <c r="Q4" s="60" t="s">
        <v>0</v>
      </c>
      <c r="R4" s="216"/>
      <c r="T4" s="144" t="s">
        <v>187</v>
      </c>
    </row>
    <row r="5" spans="2:20">
      <c r="C5" s="16"/>
      <c r="D5" s="16"/>
      <c r="E5" s="3"/>
      <c r="F5" s="3"/>
      <c r="G5" s="3" t="s">
        <v>1</v>
      </c>
      <c r="H5" s="3"/>
      <c r="I5" s="109">
        <f>'Washington Electric PF'!I8</f>
        <v>5.1900000000000002E-3</v>
      </c>
      <c r="J5" s="109">
        <f>'Washington Electric PF'!J8</f>
        <v>0.03</v>
      </c>
      <c r="K5" s="163" t="s">
        <v>182</v>
      </c>
      <c r="L5" s="109" t="s">
        <v>186</v>
      </c>
      <c r="M5" s="209"/>
      <c r="N5" s="109" t="e">
        <f>'Washington Electric PF'!#REF!</f>
        <v>#REF!</v>
      </c>
      <c r="O5" s="163" t="e">
        <f>'Washington Electric PF'!#REF!</f>
        <v>#REF!</v>
      </c>
      <c r="P5" s="145"/>
      <c r="Q5" s="109" t="s">
        <v>186</v>
      </c>
      <c r="R5" s="217"/>
      <c r="T5" s="163" t="e">
        <f>'Washington Electric PF'!#REF!</f>
        <v>#REF!</v>
      </c>
    </row>
    <row r="6" spans="2:20">
      <c r="D6" s="14" t="s">
        <v>170</v>
      </c>
      <c r="E6" s="5" t="s">
        <v>99</v>
      </c>
      <c r="F6" s="5"/>
      <c r="G6" s="5" t="s">
        <v>99</v>
      </c>
      <c r="H6" s="5"/>
      <c r="I6" s="108">
        <f>'Washington Electric PF'!I9</f>
        <v>7.1399999999999996E-3</v>
      </c>
      <c r="J6" s="108">
        <f>'Washington Electric PF'!J9</f>
        <v>0.03</v>
      </c>
      <c r="K6" s="164" t="s">
        <v>188</v>
      </c>
      <c r="L6" s="108" t="s">
        <v>189</v>
      </c>
      <c r="M6" s="210"/>
      <c r="N6" s="108" t="e">
        <f>'Washington Electric PF'!#REF!</f>
        <v>#REF!</v>
      </c>
      <c r="O6" s="164"/>
      <c r="P6" s="146"/>
      <c r="Q6" s="108" t="s">
        <v>190</v>
      </c>
      <c r="R6" s="211"/>
      <c r="T6" s="164" t="e">
        <f>'Washington Electric PF'!#REF!</f>
        <v>#REF!</v>
      </c>
    </row>
    <row r="7" spans="2:20">
      <c r="E7" s="5"/>
      <c r="F7" s="5"/>
      <c r="G7" s="5"/>
      <c r="H7" s="5"/>
      <c r="I7" s="5"/>
      <c r="J7" s="5"/>
      <c r="K7" s="165"/>
      <c r="L7" s="5"/>
      <c r="M7" s="211"/>
      <c r="N7" s="5"/>
      <c r="O7" s="165"/>
      <c r="P7" s="130"/>
      <c r="Q7" s="5"/>
      <c r="R7" s="211"/>
      <c r="T7" s="165"/>
    </row>
    <row r="8" spans="2:20">
      <c r="C8" s="14" t="s">
        <v>31</v>
      </c>
      <c r="E8" s="5"/>
      <c r="F8" s="5"/>
      <c r="G8" s="5"/>
      <c r="H8" s="5"/>
      <c r="I8" s="5"/>
      <c r="J8" s="5"/>
      <c r="K8" s="166"/>
      <c r="N8" s="5"/>
      <c r="O8" s="166"/>
      <c r="P8" s="5"/>
      <c r="R8" s="211"/>
      <c r="T8" s="166"/>
    </row>
    <row r="9" spans="2:20">
      <c r="B9" s="2" t="s">
        <v>26</v>
      </c>
      <c r="C9" s="1" t="s">
        <v>122</v>
      </c>
      <c r="D9" s="15"/>
      <c r="E9" s="17">
        <f>'AN Gas'!I10</f>
        <v>0</v>
      </c>
      <c r="F9" s="17"/>
      <c r="G9" s="17">
        <f>F9+E9</f>
        <v>0</v>
      </c>
      <c r="H9" s="17"/>
      <c r="I9" s="17">
        <f>ROUND(IF($B9="a",G9*I$5,G9*I$6),0)</f>
        <v>0</v>
      </c>
      <c r="J9" s="17">
        <f>ROUND(IF($B9="a",(G9+I9)*J$5,(G9+I9)*J$6),0)</f>
        <v>0</v>
      </c>
      <c r="K9" s="162">
        <f>I9+J9</f>
        <v>0</v>
      </c>
      <c r="L9" s="17">
        <f>K9+G9</f>
        <v>0</v>
      </c>
      <c r="M9" s="212"/>
      <c r="N9" s="90" t="e">
        <f>ROUND(IF($B9="a",(G9+I9+J9)*N$5,(G9+I9+J9)*N$6),0)</f>
        <v>#REF!</v>
      </c>
      <c r="O9" s="162" t="e">
        <f>N9</f>
        <v>#REF!</v>
      </c>
      <c r="P9" s="18"/>
      <c r="Q9" s="17" t="e">
        <f>O9+L9</f>
        <v>#REF!</v>
      </c>
      <c r="R9" s="212"/>
      <c r="T9" s="162" t="e">
        <f>ROUND(IF($B9="a",Q9*T$5,Q9*T$6),0)</f>
        <v>#REF!</v>
      </c>
    </row>
    <row r="10" spans="2:20">
      <c r="B10" s="2" t="s">
        <v>26</v>
      </c>
      <c r="C10" s="1" t="s">
        <v>123</v>
      </c>
      <c r="D10" s="15"/>
      <c r="E10" s="17">
        <f>'AN Gas'!I11</f>
        <v>0</v>
      </c>
      <c r="F10" s="17"/>
      <c r="G10" s="17">
        <f>F10+E10</f>
        <v>0</v>
      </c>
      <c r="H10" s="17"/>
      <c r="I10" s="17">
        <f t="shared" ref="I10:I72" si="0">ROUND(IF($B10="a",G10*I$5,G10*I$6),0)</f>
        <v>0</v>
      </c>
      <c r="J10" s="17">
        <f t="shared" ref="J10:J72" si="1">ROUND(IF($B10="a",(G10+I10)*J$5,(G10+I10)*J$6),0)</f>
        <v>0</v>
      </c>
      <c r="K10" s="162">
        <f t="shared" ref="K10:K73" si="2">I10+J10</f>
        <v>0</v>
      </c>
      <c r="L10" s="17">
        <f t="shared" ref="L10:L73" si="3">K10+G10</f>
        <v>0</v>
      </c>
      <c r="M10" s="212"/>
      <c r="N10" s="90" t="e">
        <f t="shared" ref="N10:N11" si="4">ROUND(IF($B10="a",(G10+I10+J10)*N$5,(G10+I10+J10)*N$6),0)</f>
        <v>#REF!</v>
      </c>
      <c r="O10" s="162" t="e">
        <f t="shared" ref="O10:O73" si="5">N10</f>
        <v>#REF!</v>
      </c>
      <c r="P10" s="18"/>
      <c r="Q10" s="17" t="e">
        <f t="shared" ref="Q10:Q73" si="6">O10+L10</f>
        <v>#REF!</v>
      </c>
      <c r="R10" s="212"/>
      <c r="T10" s="162" t="e">
        <f>ROUND(IF($B10="a",Q10*T$5,Q10*T$6),0)</f>
        <v>#REF!</v>
      </c>
    </row>
    <row r="11" spans="2:20">
      <c r="B11" s="2" t="s">
        <v>26</v>
      </c>
      <c r="C11" s="1" t="s">
        <v>124</v>
      </c>
      <c r="D11" s="15"/>
      <c r="E11" s="17">
        <f>'AN Gas'!I12</f>
        <v>211279</v>
      </c>
      <c r="F11" s="17"/>
      <c r="G11" s="17">
        <f>F11+E11</f>
        <v>211279</v>
      </c>
      <c r="H11" s="17"/>
      <c r="I11" s="17">
        <f t="shared" si="0"/>
        <v>1097</v>
      </c>
      <c r="J11" s="17">
        <f t="shared" si="1"/>
        <v>6371</v>
      </c>
      <c r="K11" s="162">
        <f>I11+J11</f>
        <v>7468</v>
      </c>
      <c r="L11" s="17">
        <f>K11+G11</f>
        <v>218747</v>
      </c>
      <c r="M11" s="212"/>
      <c r="N11" s="90" t="e">
        <f t="shared" si="4"/>
        <v>#REF!</v>
      </c>
      <c r="O11" s="162" t="e">
        <f t="shared" si="5"/>
        <v>#REF!</v>
      </c>
      <c r="P11" s="18"/>
      <c r="Q11" s="17" t="e">
        <f>O11+L11</f>
        <v>#REF!</v>
      </c>
      <c r="R11" s="212"/>
      <c r="T11" s="162" t="e">
        <f>ROUND(IF($B11="a",Q11*T$5,Q11*T$6),0)</f>
        <v>#REF!</v>
      </c>
    </row>
    <row r="12" spans="2:20">
      <c r="C12" s="14" t="s">
        <v>28</v>
      </c>
      <c r="E12" s="21">
        <f>SUM(E9:E11)</f>
        <v>211279</v>
      </c>
      <c r="F12" s="21"/>
      <c r="G12" s="21">
        <f t="shared" ref="G12:J12" si="7">SUM(G9:G11)</f>
        <v>211279</v>
      </c>
      <c r="H12" s="21"/>
      <c r="I12" s="21">
        <f t="shared" si="7"/>
        <v>1097</v>
      </c>
      <c r="J12" s="21">
        <f t="shared" si="7"/>
        <v>6371</v>
      </c>
      <c r="K12" s="167">
        <f t="shared" si="2"/>
        <v>7468</v>
      </c>
      <c r="L12" s="59">
        <f t="shared" si="3"/>
        <v>218747</v>
      </c>
      <c r="M12" s="213"/>
      <c r="N12" s="200" t="e">
        <f t="shared" ref="N12" si="8">SUM(N9:N11)</f>
        <v>#REF!</v>
      </c>
      <c r="O12" s="167" t="e">
        <f t="shared" si="5"/>
        <v>#REF!</v>
      </c>
      <c r="P12" s="21"/>
      <c r="Q12" s="59" t="e">
        <f t="shared" si="6"/>
        <v>#REF!</v>
      </c>
      <c r="R12" s="213"/>
      <c r="T12" s="167" t="e">
        <f>SUM(T9:T11)</f>
        <v>#REF!</v>
      </c>
    </row>
    <row r="13" spans="2:20">
      <c r="E13" s="22"/>
      <c r="F13" s="22"/>
      <c r="G13" s="22"/>
      <c r="H13" s="22"/>
      <c r="I13" s="22">
        <f t="shared" si="0"/>
        <v>0</v>
      </c>
      <c r="J13" s="22">
        <f t="shared" si="1"/>
        <v>0</v>
      </c>
      <c r="K13" s="168"/>
      <c r="L13" s="22"/>
      <c r="M13" s="213"/>
      <c r="N13" s="134"/>
      <c r="O13" s="168"/>
      <c r="P13" s="26"/>
      <c r="Q13" s="22"/>
      <c r="R13" s="213"/>
      <c r="T13" s="168"/>
    </row>
    <row r="14" spans="2:20">
      <c r="C14" s="14" t="s">
        <v>108</v>
      </c>
      <c r="E14" s="22"/>
      <c r="F14" s="22"/>
      <c r="G14" s="22"/>
      <c r="H14" s="22"/>
      <c r="I14" s="22">
        <f t="shared" si="0"/>
        <v>0</v>
      </c>
      <c r="J14" s="22">
        <f t="shared" si="1"/>
        <v>0</v>
      </c>
      <c r="K14" s="168"/>
      <c r="L14" s="18"/>
      <c r="M14" s="212"/>
      <c r="N14" s="134"/>
      <c r="O14" s="168"/>
      <c r="P14" s="26"/>
      <c r="Q14" s="18"/>
      <c r="R14" s="212"/>
      <c r="T14" s="168"/>
    </row>
    <row r="15" spans="2:20">
      <c r="B15" s="2" t="s">
        <v>26</v>
      </c>
      <c r="C15" s="1" t="s">
        <v>125</v>
      </c>
      <c r="D15" s="15"/>
      <c r="E15" s="17">
        <f>'AN Gas'!I16</f>
        <v>3552</v>
      </c>
      <c r="F15" s="17"/>
      <c r="G15" s="17">
        <f>F15+E15</f>
        <v>3552</v>
      </c>
      <c r="H15" s="17"/>
      <c r="I15" s="17">
        <f t="shared" si="0"/>
        <v>18</v>
      </c>
      <c r="J15" s="17">
        <f t="shared" si="1"/>
        <v>107</v>
      </c>
      <c r="K15" s="162">
        <f t="shared" si="2"/>
        <v>125</v>
      </c>
      <c r="L15" s="17">
        <f t="shared" si="3"/>
        <v>3677</v>
      </c>
      <c r="M15" s="212"/>
      <c r="N15" s="90" t="e">
        <f t="shared" ref="N15:N16" si="9">ROUND(IF($B15="a",(G15+I15+J15)*N$5,(G15+I15+J15)*N$6),0)</f>
        <v>#REF!</v>
      </c>
      <c r="O15" s="162" t="e">
        <f t="shared" si="5"/>
        <v>#REF!</v>
      </c>
      <c r="P15" s="18"/>
      <c r="Q15" s="17" t="e">
        <f t="shared" si="6"/>
        <v>#REF!</v>
      </c>
      <c r="R15" s="212"/>
      <c r="T15" s="162" t="e">
        <f>ROUND(IF($B15="a",Q15*T$5,Q15*T$6),0)</f>
        <v>#REF!</v>
      </c>
    </row>
    <row r="16" spans="2:20">
      <c r="C16" s="1" t="s">
        <v>126</v>
      </c>
      <c r="D16" s="15"/>
      <c r="E16" s="17">
        <f>'AN Gas'!I17</f>
        <v>0</v>
      </c>
      <c r="F16" s="17"/>
      <c r="G16" s="17">
        <f>F16+E16</f>
        <v>0</v>
      </c>
      <c r="H16" s="17"/>
      <c r="I16" s="17">
        <f t="shared" si="0"/>
        <v>0</v>
      </c>
      <c r="J16" s="17">
        <f t="shared" si="1"/>
        <v>0</v>
      </c>
      <c r="K16" s="162">
        <f t="shared" si="2"/>
        <v>0</v>
      </c>
      <c r="L16" s="17">
        <f t="shared" si="3"/>
        <v>0</v>
      </c>
      <c r="M16" s="212"/>
      <c r="N16" s="90" t="e">
        <f t="shared" si="9"/>
        <v>#REF!</v>
      </c>
      <c r="O16" s="162" t="e">
        <f t="shared" si="5"/>
        <v>#REF!</v>
      </c>
      <c r="P16" s="18"/>
      <c r="Q16" s="17" t="e">
        <f t="shared" si="6"/>
        <v>#REF!</v>
      </c>
      <c r="R16" s="212"/>
      <c r="T16" s="162" t="e">
        <f>ROUND(IF($B16="a",Q16*T$5,Q16*T$6),0)</f>
        <v>#REF!</v>
      </c>
    </row>
    <row r="17" spans="2:20">
      <c r="C17" s="15" t="s">
        <v>29</v>
      </c>
      <c r="D17" s="15"/>
      <c r="E17" s="21">
        <f>SUM(E13:E16)</f>
        <v>3552</v>
      </c>
      <c r="F17" s="21"/>
      <c r="G17" s="21">
        <f t="shared" ref="G17:J17" si="10">SUM(G15:G16)</f>
        <v>3552</v>
      </c>
      <c r="H17" s="21"/>
      <c r="I17" s="21">
        <f t="shared" si="10"/>
        <v>18</v>
      </c>
      <c r="J17" s="21">
        <f t="shared" si="10"/>
        <v>107</v>
      </c>
      <c r="K17" s="167">
        <f t="shared" si="2"/>
        <v>125</v>
      </c>
      <c r="L17" s="59">
        <f t="shared" si="3"/>
        <v>3677</v>
      </c>
      <c r="M17" s="213"/>
      <c r="N17" s="200" t="e">
        <f t="shared" ref="N17" si="11">SUM(N14:N16)</f>
        <v>#REF!</v>
      </c>
      <c r="O17" s="167" t="e">
        <f t="shared" si="5"/>
        <v>#REF!</v>
      </c>
      <c r="P17" s="21"/>
      <c r="Q17" s="59" t="e">
        <f t="shared" si="6"/>
        <v>#REF!</v>
      </c>
      <c r="R17" s="213"/>
      <c r="T17" s="167" t="e">
        <f>SUM(T15:T16)</f>
        <v>#REF!</v>
      </c>
    </row>
    <row r="18" spans="2:20">
      <c r="E18" s="22"/>
      <c r="F18" s="22"/>
      <c r="G18" s="22"/>
      <c r="H18" s="22"/>
      <c r="I18" s="22">
        <f t="shared" si="0"/>
        <v>0</v>
      </c>
      <c r="J18" s="22">
        <f t="shared" si="1"/>
        <v>0</v>
      </c>
      <c r="K18" s="168"/>
      <c r="L18" s="18"/>
      <c r="M18" s="212"/>
      <c r="N18" s="134"/>
      <c r="O18" s="168"/>
      <c r="P18" s="26"/>
      <c r="Q18" s="18"/>
      <c r="R18" s="212"/>
      <c r="T18" s="168"/>
    </row>
    <row r="19" spans="2:20">
      <c r="C19" s="14" t="s">
        <v>4</v>
      </c>
      <c r="E19" s="22"/>
      <c r="F19" s="22"/>
      <c r="G19" s="22"/>
      <c r="H19" s="22"/>
      <c r="I19" s="22">
        <f t="shared" si="0"/>
        <v>0</v>
      </c>
      <c r="J19" s="22">
        <f t="shared" si="1"/>
        <v>0</v>
      </c>
      <c r="K19" s="168"/>
      <c r="L19" s="18"/>
      <c r="M19" s="212"/>
      <c r="N19" s="134"/>
      <c r="O19" s="168"/>
      <c r="P19" s="26"/>
      <c r="Q19" s="18"/>
      <c r="R19" s="212"/>
      <c r="T19" s="168"/>
    </row>
    <row r="20" spans="2:20">
      <c r="B20" s="2" t="s">
        <v>26</v>
      </c>
      <c r="C20" s="1" t="s">
        <v>127</v>
      </c>
      <c r="D20" s="15"/>
      <c r="E20" s="17">
        <f>'AN Gas'!I21</f>
        <v>300768</v>
      </c>
      <c r="F20" s="17"/>
      <c r="G20" s="17">
        <f>F20+E20</f>
        <v>300768</v>
      </c>
      <c r="H20" s="17"/>
      <c r="I20" s="17">
        <f t="shared" si="0"/>
        <v>1561</v>
      </c>
      <c r="J20" s="17">
        <f t="shared" si="1"/>
        <v>9070</v>
      </c>
      <c r="K20" s="162">
        <f t="shared" si="2"/>
        <v>10631</v>
      </c>
      <c r="L20" s="17">
        <f t="shared" si="3"/>
        <v>311399</v>
      </c>
      <c r="M20" s="212"/>
      <c r="N20" s="90" t="e">
        <f t="shared" ref="N20:N40" si="12">ROUND(IF($B20="a",(G20+I20+J20)*N$5,(G20+I20+J20)*N$6),0)</f>
        <v>#REF!</v>
      </c>
      <c r="O20" s="162" t="e">
        <f t="shared" si="5"/>
        <v>#REF!</v>
      </c>
      <c r="P20" s="18"/>
      <c r="Q20" s="17" t="e">
        <f t="shared" si="6"/>
        <v>#REF!</v>
      </c>
      <c r="R20" s="212"/>
      <c r="T20" s="162" t="e">
        <f t="shared" ref="T20:T40" si="13">ROUND(IF($B20="a",Q20*T$5,Q20*T$6),0)</f>
        <v>#REF!</v>
      </c>
    </row>
    <row r="21" spans="2:20">
      <c r="C21" s="15" t="s">
        <v>128</v>
      </c>
      <c r="D21" s="15"/>
      <c r="E21" s="17">
        <f>'AN Gas'!I22</f>
        <v>0</v>
      </c>
      <c r="F21" s="17"/>
      <c r="G21" s="17">
        <f>F21+E21</f>
        <v>0</v>
      </c>
      <c r="H21" s="17"/>
      <c r="I21" s="17">
        <f t="shared" si="0"/>
        <v>0</v>
      </c>
      <c r="J21" s="17">
        <f t="shared" si="1"/>
        <v>0</v>
      </c>
      <c r="K21" s="162">
        <f t="shared" si="2"/>
        <v>0</v>
      </c>
      <c r="L21" s="17">
        <f t="shared" si="3"/>
        <v>0</v>
      </c>
      <c r="M21" s="212"/>
      <c r="N21" s="90" t="e">
        <f t="shared" si="12"/>
        <v>#REF!</v>
      </c>
      <c r="O21" s="162" t="e">
        <f t="shared" si="5"/>
        <v>#REF!</v>
      </c>
      <c r="P21" s="18"/>
      <c r="Q21" s="17" t="e">
        <f t="shared" si="6"/>
        <v>#REF!</v>
      </c>
      <c r="R21" s="212"/>
      <c r="T21" s="162" t="e">
        <f t="shared" si="13"/>
        <v>#REF!</v>
      </c>
    </row>
    <row r="22" spans="2:20">
      <c r="C22" s="15">
        <v>872</v>
      </c>
      <c r="D22" s="15"/>
      <c r="E22" s="17">
        <f>'AN Gas'!I23</f>
        <v>0</v>
      </c>
      <c r="F22" s="17"/>
      <c r="G22" s="17"/>
      <c r="H22" s="17"/>
      <c r="I22" s="17">
        <f t="shared" si="0"/>
        <v>0</v>
      </c>
      <c r="J22" s="17">
        <f t="shared" si="1"/>
        <v>0</v>
      </c>
      <c r="K22" s="162">
        <f t="shared" si="2"/>
        <v>0</v>
      </c>
      <c r="L22" s="17">
        <f t="shared" si="3"/>
        <v>0</v>
      </c>
      <c r="M22" s="212"/>
      <c r="N22" s="90" t="e">
        <f t="shared" si="12"/>
        <v>#REF!</v>
      </c>
      <c r="O22" s="162" t="e">
        <f t="shared" si="5"/>
        <v>#REF!</v>
      </c>
      <c r="P22" s="18"/>
      <c r="Q22" s="17" t="e">
        <f t="shared" si="6"/>
        <v>#REF!</v>
      </c>
      <c r="R22" s="212"/>
      <c r="T22" s="162" t="e">
        <f t="shared" si="13"/>
        <v>#REF!</v>
      </c>
    </row>
    <row r="23" spans="2:20">
      <c r="C23" s="1" t="s">
        <v>129</v>
      </c>
      <c r="D23" s="15"/>
      <c r="E23" s="17">
        <f>'AN Gas'!I24</f>
        <v>524491</v>
      </c>
      <c r="F23" s="17"/>
      <c r="G23" s="17">
        <f t="shared" ref="G23:G33" si="14">F23+E23</f>
        <v>524491</v>
      </c>
      <c r="H23" s="17"/>
      <c r="I23" s="17">
        <f t="shared" si="0"/>
        <v>3745</v>
      </c>
      <c r="J23" s="17">
        <f t="shared" si="1"/>
        <v>15847</v>
      </c>
      <c r="K23" s="162">
        <f t="shared" si="2"/>
        <v>19592</v>
      </c>
      <c r="L23" s="17">
        <f t="shared" si="3"/>
        <v>544083</v>
      </c>
      <c r="M23" s="212"/>
      <c r="N23" s="90" t="e">
        <f t="shared" si="12"/>
        <v>#REF!</v>
      </c>
      <c r="O23" s="162" t="e">
        <f t="shared" si="5"/>
        <v>#REF!</v>
      </c>
      <c r="P23" s="18"/>
      <c r="Q23" s="17" t="e">
        <f t="shared" si="6"/>
        <v>#REF!</v>
      </c>
      <c r="R23" s="212"/>
      <c r="T23" s="162" t="e">
        <f t="shared" si="13"/>
        <v>#REF!</v>
      </c>
    </row>
    <row r="24" spans="2:20">
      <c r="C24" s="1" t="s">
        <v>130</v>
      </c>
      <c r="D24" s="15"/>
      <c r="E24" s="17">
        <f>'AN Gas'!I25</f>
        <v>19578</v>
      </c>
      <c r="F24" s="17"/>
      <c r="G24" s="17">
        <f t="shared" si="14"/>
        <v>19578</v>
      </c>
      <c r="H24" s="17"/>
      <c r="I24" s="17">
        <f t="shared" si="0"/>
        <v>140</v>
      </c>
      <c r="J24" s="17">
        <f t="shared" si="1"/>
        <v>592</v>
      </c>
      <c r="K24" s="162">
        <f t="shared" si="2"/>
        <v>732</v>
      </c>
      <c r="L24" s="17">
        <f t="shared" si="3"/>
        <v>20310</v>
      </c>
      <c r="M24" s="212"/>
      <c r="N24" s="90" t="e">
        <f t="shared" si="12"/>
        <v>#REF!</v>
      </c>
      <c r="O24" s="162" t="e">
        <f t="shared" si="5"/>
        <v>#REF!</v>
      </c>
      <c r="P24" s="18"/>
      <c r="Q24" s="17" t="e">
        <f t="shared" si="6"/>
        <v>#REF!</v>
      </c>
      <c r="R24" s="212"/>
      <c r="T24" s="162" t="e">
        <f t="shared" si="13"/>
        <v>#REF!</v>
      </c>
    </row>
    <row r="25" spans="2:20">
      <c r="C25" s="1" t="s">
        <v>131</v>
      </c>
      <c r="D25" s="15"/>
      <c r="E25" s="17">
        <f>'AN Gas'!I26</f>
        <v>931</v>
      </c>
      <c r="F25" s="17"/>
      <c r="G25" s="17">
        <f t="shared" si="14"/>
        <v>931</v>
      </c>
      <c r="H25" s="17"/>
      <c r="I25" s="17">
        <f t="shared" si="0"/>
        <v>7</v>
      </c>
      <c r="J25" s="17">
        <f t="shared" si="1"/>
        <v>28</v>
      </c>
      <c r="K25" s="162">
        <f t="shared" si="2"/>
        <v>35</v>
      </c>
      <c r="L25" s="17">
        <f t="shared" si="3"/>
        <v>966</v>
      </c>
      <c r="M25" s="212"/>
      <c r="N25" s="90" t="e">
        <f t="shared" si="12"/>
        <v>#REF!</v>
      </c>
      <c r="O25" s="162" t="e">
        <f t="shared" si="5"/>
        <v>#REF!</v>
      </c>
      <c r="P25" s="18"/>
      <c r="Q25" s="17" t="e">
        <f t="shared" si="6"/>
        <v>#REF!</v>
      </c>
      <c r="R25" s="212"/>
      <c r="T25" s="162" t="e">
        <f t="shared" si="13"/>
        <v>#REF!</v>
      </c>
    </row>
    <row r="26" spans="2:20">
      <c r="C26" s="1" t="s">
        <v>132</v>
      </c>
      <c r="D26" s="15"/>
      <c r="E26" s="17">
        <f>'AN Gas'!I27</f>
        <v>11680</v>
      </c>
      <c r="F26" s="17"/>
      <c r="G26" s="17">
        <f t="shared" si="14"/>
        <v>11680</v>
      </c>
      <c r="H26" s="17"/>
      <c r="I26" s="17">
        <f t="shared" si="0"/>
        <v>83</v>
      </c>
      <c r="J26" s="17">
        <f t="shared" si="1"/>
        <v>353</v>
      </c>
      <c r="K26" s="162">
        <f t="shared" si="2"/>
        <v>436</v>
      </c>
      <c r="L26" s="17">
        <f t="shared" si="3"/>
        <v>12116</v>
      </c>
      <c r="M26" s="212"/>
      <c r="N26" s="90" t="e">
        <f t="shared" si="12"/>
        <v>#REF!</v>
      </c>
      <c r="O26" s="162" t="e">
        <f t="shared" si="5"/>
        <v>#REF!</v>
      </c>
      <c r="P26" s="18"/>
      <c r="Q26" s="17" t="e">
        <f t="shared" si="6"/>
        <v>#REF!</v>
      </c>
      <c r="R26" s="212"/>
      <c r="T26" s="162" t="e">
        <f t="shared" si="13"/>
        <v>#REF!</v>
      </c>
    </row>
    <row r="27" spans="2:20">
      <c r="C27" s="1" t="s">
        <v>133</v>
      </c>
      <c r="D27" s="15"/>
      <c r="E27" s="17">
        <f>'AN Gas'!I28</f>
        <v>2510</v>
      </c>
      <c r="F27" s="17"/>
      <c r="G27" s="17">
        <f t="shared" si="14"/>
        <v>2510</v>
      </c>
      <c r="H27" s="17"/>
      <c r="I27" s="17">
        <f t="shared" si="0"/>
        <v>18</v>
      </c>
      <c r="J27" s="17">
        <f t="shared" si="1"/>
        <v>76</v>
      </c>
      <c r="K27" s="162">
        <f t="shared" si="2"/>
        <v>94</v>
      </c>
      <c r="L27" s="17">
        <f t="shared" si="3"/>
        <v>2604</v>
      </c>
      <c r="M27" s="212"/>
      <c r="N27" s="90" t="e">
        <f t="shared" si="12"/>
        <v>#REF!</v>
      </c>
      <c r="O27" s="162" t="e">
        <f t="shared" si="5"/>
        <v>#REF!</v>
      </c>
      <c r="P27" s="18"/>
      <c r="Q27" s="17" t="e">
        <f t="shared" si="6"/>
        <v>#REF!</v>
      </c>
      <c r="R27" s="212"/>
      <c r="T27" s="162" t="e">
        <f t="shared" si="13"/>
        <v>#REF!</v>
      </c>
    </row>
    <row r="28" spans="2:20">
      <c r="C28" s="1" t="s">
        <v>134</v>
      </c>
      <c r="D28" s="15"/>
      <c r="E28" s="17">
        <f>'AN Gas'!I29</f>
        <v>382168</v>
      </c>
      <c r="F28" s="17"/>
      <c r="G28" s="17">
        <f t="shared" si="14"/>
        <v>382168</v>
      </c>
      <c r="H28" s="17"/>
      <c r="I28" s="17">
        <f t="shared" si="0"/>
        <v>2729</v>
      </c>
      <c r="J28" s="17">
        <f t="shared" si="1"/>
        <v>11547</v>
      </c>
      <c r="K28" s="162">
        <f t="shared" si="2"/>
        <v>14276</v>
      </c>
      <c r="L28" s="17">
        <f t="shared" si="3"/>
        <v>396444</v>
      </c>
      <c r="M28" s="212"/>
      <c r="N28" s="90" t="e">
        <f t="shared" si="12"/>
        <v>#REF!</v>
      </c>
      <c r="O28" s="162" t="e">
        <f t="shared" si="5"/>
        <v>#REF!</v>
      </c>
      <c r="P28" s="18"/>
      <c r="Q28" s="17" t="e">
        <f t="shared" si="6"/>
        <v>#REF!</v>
      </c>
      <c r="R28" s="212"/>
      <c r="T28" s="162" t="e">
        <f t="shared" si="13"/>
        <v>#REF!</v>
      </c>
    </row>
    <row r="29" spans="2:20">
      <c r="C29" s="1" t="s">
        <v>135</v>
      </c>
      <c r="D29" s="15" t="str">
        <f>D6</f>
        <v>2011 to 2013</v>
      </c>
      <c r="E29" s="17">
        <f>'AN Gas'!I30</f>
        <v>324837</v>
      </c>
      <c r="F29" s="17"/>
      <c r="G29" s="17">
        <f t="shared" si="14"/>
        <v>324837</v>
      </c>
      <c r="H29" s="17"/>
      <c r="I29" s="17">
        <f t="shared" si="0"/>
        <v>2319</v>
      </c>
      <c r="J29" s="17">
        <f t="shared" si="1"/>
        <v>9815</v>
      </c>
      <c r="K29" s="162">
        <f t="shared" si="2"/>
        <v>12134</v>
      </c>
      <c r="L29" s="17">
        <f t="shared" si="3"/>
        <v>336971</v>
      </c>
      <c r="M29" s="212"/>
      <c r="N29" s="90" t="e">
        <f t="shared" si="12"/>
        <v>#REF!</v>
      </c>
      <c r="O29" s="162" t="e">
        <f t="shared" si="5"/>
        <v>#REF!</v>
      </c>
      <c r="P29" s="18"/>
      <c r="Q29" s="17" t="e">
        <f t="shared" si="6"/>
        <v>#REF!</v>
      </c>
      <c r="R29" s="212"/>
      <c r="T29" s="162" t="e">
        <f t="shared" si="13"/>
        <v>#REF!</v>
      </c>
    </row>
    <row r="30" spans="2:20">
      <c r="C30" s="1" t="s">
        <v>168</v>
      </c>
      <c r="D30" s="15"/>
      <c r="E30" s="17">
        <f>'AN Gas'!I31</f>
        <v>2368</v>
      </c>
      <c r="F30" s="17"/>
      <c r="G30" s="17">
        <f t="shared" si="14"/>
        <v>2368</v>
      </c>
      <c r="H30" s="17"/>
      <c r="I30" s="17">
        <f t="shared" si="0"/>
        <v>17</v>
      </c>
      <c r="J30" s="17">
        <f t="shared" si="1"/>
        <v>72</v>
      </c>
      <c r="K30" s="162">
        <f t="shared" si="2"/>
        <v>89</v>
      </c>
      <c r="L30" s="17">
        <f t="shared" si="3"/>
        <v>2457</v>
      </c>
      <c r="M30" s="212"/>
      <c r="N30" s="90" t="e">
        <f t="shared" si="12"/>
        <v>#REF!</v>
      </c>
      <c r="O30" s="162" t="e">
        <f t="shared" si="5"/>
        <v>#REF!</v>
      </c>
      <c r="P30" s="18"/>
      <c r="Q30" s="17" t="e">
        <f t="shared" si="6"/>
        <v>#REF!</v>
      </c>
      <c r="R30" s="212"/>
      <c r="T30" s="162" t="e">
        <f t="shared" si="13"/>
        <v>#REF!</v>
      </c>
    </row>
    <row r="31" spans="2:20">
      <c r="C31" s="1" t="s">
        <v>136</v>
      </c>
      <c r="D31" s="1"/>
      <c r="E31" s="17">
        <f>'AN Gas'!I32</f>
        <v>60598</v>
      </c>
      <c r="F31" s="17"/>
      <c r="G31" s="17">
        <f t="shared" si="14"/>
        <v>60598</v>
      </c>
      <c r="H31" s="17"/>
      <c r="I31" s="17">
        <f t="shared" si="0"/>
        <v>433</v>
      </c>
      <c r="J31" s="17">
        <f t="shared" si="1"/>
        <v>1831</v>
      </c>
      <c r="K31" s="162">
        <f t="shared" si="2"/>
        <v>2264</v>
      </c>
      <c r="L31" s="17">
        <f t="shared" si="3"/>
        <v>62862</v>
      </c>
      <c r="M31" s="212"/>
      <c r="N31" s="90" t="e">
        <f t="shared" si="12"/>
        <v>#REF!</v>
      </c>
      <c r="O31" s="162" t="e">
        <f t="shared" si="5"/>
        <v>#REF!</v>
      </c>
      <c r="P31" s="18"/>
      <c r="Q31" s="17" t="e">
        <f t="shared" si="6"/>
        <v>#REF!</v>
      </c>
      <c r="R31" s="212"/>
      <c r="T31" s="162" t="e">
        <f t="shared" si="13"/>
        <v>#REF!</v>
      </c>
    </row>
    <row r="32" spans="2:20">
      <c r="C32" s="1" t="s">
        <v>137</v>
      </c>
      <c r="D32" s="1"/>
      <c r="E32" s="17">
        <f>'AN Gas'!I33</f>
        <v>0</v>
      </c>
      <c r="F32" s="17"/>
      <c r="G32" s="17">
        <f t="shared" si="14"/>
        <v>0</v>
      </c>
      <c r="H32" s="17"/>
      <c r="I32" s="17">
        <f t="shared" si="0"/>
        <v>0</v>
      </c>
      <c r="J32" s="17">
        <f t="shared" si="1"/>
        <v>0</v>
      </c>
      <c r="K32" s="162">
        <f t="shared" si="2"/>
        <v>0</v>
      </c>
      <c r="L32" s="17">
        <f t="shared" si="3"/>
        <v>0</v>
      </c>
      <c r="M32" s="212"/>
      <c r="N32" s="90" t="e">
        <f t="shared" si="12"/>
        <v>#REF!</v>
      </c>
      <c r="O32" s="162" t="e">
        <f t="shared" si="5"/>
        <v>#REF!</v>
      </c>
      <c r="P32" s="18"/>
      <c r="Q32" s="17" t="e">
        <f t="shared" si="6"/>
        <v>#REF!</v>
      </c>
      <c r="R32" s="212"/>
      <c r="T32" s="162" t="e">
        <f t="shared" si="13"/>
        <v>#REF!</v>
      </c>
    </row>
    <row r="33" spans="2:20">
      <c r="C33" s="1" t="s">
        <v>138</v>
      </c>
      <c r="D33" s="15"/>
      <c r="E33" s="17">
        <f>'AN Gas'!I34</f>
        <v>120091</v>
      </c>
      <c r="F33" s="17"/>
      <c r="G33" s="17">
        <f t="shared" si="14"/>
        <v>120091</v>
      </c>
      <c r="H33" s="17"/>
      <c r="I33" s="17">
        <f t="shared" si="0"/>
        <v>857</v>
      </c>
      <c r="J33" s="17">
        <f t="shared" si="1"/>
        <v>3628</v>
      </c>
      <c r="K33" s="162">
        <f t="shared" si="2"/>
        <v>4485</v>
      </c>
      <c r="L33" s="17">
        <f t="shared" si="3"/>
        <v>124576</v>
      </c>
      <c r="M33" s="212"/>
      <c r="N33" s="90" t="e">
        <f t="shared" si="12"/>
        <v>#REF!</v>
      </c>
      <c r="O33" s="162" t="e">
        <f t="shared" si="5"/>
        <v>#REF!</v>
      </c>
      <c r="P33" s="18"/>
      <c r="Q33" s="17" t="e">
        <f t="shared" si="6"/>
        <v>#REF!</v>
      </c>
      <c r="R33" s="212"/>
      <c r="T33" s="162" t="e">
        <f t="shared" si="13"/>
        <v>#REF!</v>
      </c>
    </row>
    <row r="34" spans="2:20">
      <c r="C34" s="1">
        <v>888</v>
      </c>
      <c r="D34" s="15"/>
      <c r="E34" s="17">
        <f>'AN Gas'!I35</f>
        <v>0</v>
      </c>
      <c r="F34" s="17"/>
      <c r="G34" s="17"/>
      <c r="H34" s="17"/>
      <c r="I34" s="17">
        <f t="shared" si="0"/>
        <v>0</v>
      </c>
      <c r="J34" s="17">
        <f t="shared" si="1"/>
        <v>0</v>
      </c>
      <c r="K34" s="162">
        <f t="shared" si="2"/>
        <v>0</v>
      </c>
      <c r="L34" s="17">
        <f t="shared" si="3"/>
        <v>0</v>
      </c>
      <c r="M34" s="212"/>
      <c r="N34" s="90" t="e">
        <f t="shared" si="12"/>
        <v>#REF!</v>
      </c>
      <c r="O34" s="162" t="e">
        <f t="shared" si="5"/>
        <v>#REF!</v>
      </c>
      <c r="P34" s="18"/>
      <c r="Q34" s="17" t="e">
        <f t="shared" si="6"/>
        <v>#REF!</v>
      </c>
      <c r="R34" s="212"/>
      <c r="T34" s="162" t="e">
        <f t="shared" si="13"/>
        <v>#REF!</v>
      </c>
    </row>
    <row r="35" spans="2:20">
      <c r="C35" s="1" t="s">
        <v>139</v>
      </c>
      <c r="D35" s="15"/>
      <c r="E35" s="17">
        <f>'AN Gas'!I36</f>
        <v>24698</v>
      </c>
      <c r="F35" s="17"/>
      <c r="G35" s="17">
        <f t="shared" ref="G35:G40" si="15">F35+E35</f>
        <v>24698</v>
      </c>
      <c r="H35" s="17"/>
      <c r="I35" s="17">
        <f t="shared" si="0"/>
        <v>176</v>
      </c>
      <c r="J35" s="17">
        <f t="shared" si="1"/>
        <v>746</v>
      </c>
      <c r="K35" s="162">
        <f t="shared" si="2"/>
        <v>922</v>
      </c>
      <c r="L35" s="17">
        <f t="shared" si="3"/>
        <v>25620</v>
      </c>
      <c r="M35" s="212"/>
      <c r="N35" s="90" t="e">
        <f t="shared" si="12"/>
        <v>#REF!</v>
      </c>
      <c r="O35" s="162" t="e">
        <f t="shared" si="5"/>
        <v>#REF!</v>
      </c>
      <c r="P35" s="18"/>
      <c r="Q35" s="17" t="e">
        <f t="shared" si="6"/>
        <v>#REF!</v>
      </c>
      <c r="R35" s="212"/>
      <c r="T35" s="162" t="e">
        <f t="shared" si="13"/>
        <v>#REF!</v>
      </c>
    </row>
    <row r="36" spans="2:20">
      <c r="C36" s="1" t="s">
        <v>162</v>
      </c>
      <c r="D36" s="15"/>
      <c r="E36" s="17">
        <f>'AN Gas'!I37</f>
        <v>5396</v>
      </c>
      <c r="F36" s="17"/>
      <c r="G36" s="17">
        <f t="shared" si="15"/>
        <v>5396</v>
      </c>
      <c r="H36" s="17"/>
      <c r="I36" s="17">
        <f t="shared" si="0"/>
        <v>39</v>
      </c>
      <c r="J36" s="17">
        <f t="shared" si="1"/>
        <v>163</v>
      </c>
      <c r="K36" s="162">
        <f t="shared" si="2"/>
        <v>202</v>
      </c>
      <c r="L36" s="17">
        <f t="shared" si="3"/>
        <v>5598</v>
      </c>
      <c r="M36" s="212"/>
      <c r="N36" s="90" t="e">
        <f t="shared" si="12"/>
        <v>#REF!</v>
      </c>
      <c r="O36" s="162" t="e">
        <f t="shared" si="5"/>
        <v>#REF!</v>
      </c>
      <c r="P36" s="18"/>
      <c r="Q36" s="17" t="e">
        <f t="shared" si="6"/>
        <v>#REF!</v>
      </c>
      <c r="R36" s="212"/>
      <c r="T36" s="162" t="e">
        <f t="shared" si="13"/>
        <v>#REF!</v>
      </c>
    </row>
    <row r="37" spans="2:20">
      <c r="C37" s="1" t="s">
        <v>141</v>
      </c>
      <c r="D37" s="15"/>
      <c r="E37" s="17">
        <f>'AN Gas'!I38</f>
        <v>10725</v>
      </c>
      <c r="F37" s="17"/>
      <c r="G37" s="17">
        <f t="shared" si="15"/>
        <v>10725</v>
      </c>
      <c r="H37" s="17"/>
      <c r="I37" s="17">
        <f t="shared" si="0"/>
        <v>77</v>
      </c>
      <c r="J37" s="17">
        <f t="shared" si="1"/>
        <v>324</v>
      </c>
      <c r="K37" s="162">
        <f t="shared" si="2"/>
        <v>401</v>
      </c>
      <c r="L37" s="17">
        <f t="shared" si="3"/>
        <v>11126</v>
      </c>
      <c r="M37" s="212"/>
      <c r="N37" s="90" t="e">
        <f t="shared" si="12"/>
        <v>#REF!</v>
      </c>
      <c r="O37" s="162" t="e">
        <f t="shared" si="5"/>
        <v>#REF!</v>
      </c>
      <c r="P37" s="18"/>
      <c r="Q37" s="17" t="e">
        <f t="shared" si="6"/>
        <v>#REF!</v>
      </c>
      <c r="R37" s="212"/>
      <c r="T37" s="162" t="e">
        <f t="shared" si="13"/>
        <v>#REF!</v>
      </c>
    </row>
    <row r="38" spans="2:20">
      <c r="C38" s="1" t="s">
        <v>142</v>
      </c>
      <c r="D38" s="15"/>
      <c r="E38" s="17">
        <f>'AN Gas'!I39</f>
        <v>152200</v>
      </c>
      <c r="F38" s="17"/>
      <c r="G38" s="17">
        <f t="shared" si="15"/>
        <v>152200</v>
      </c>
      <c r="H38" s="17"/>
      <c r="I38" s="17">
        <f t="shared" si="0"/>
        <v>1087</v>
      </c>
      <c r="J38" s="17">
        <f t="shared" si="1"/>
        <v>4599</v>
      </c>
      <c r="K38" s="162">
        <f t="shared" si="2"/>
        <v>5686</v>
      </c>
      <c r="L38" s="17">
        <f t="shared" si="3"/>
        <v>157886</v>
      </c>
      <c r="M38" s="212"/>
      <c r="N38" s="90" t="e">
        <f t="shared" si="12"/>
        <v>#REF!</v>
      </c>
      <c r="O38" s="162" t="e">
        <f t="shared" si="5"/>
        <v>#REF!</v>
      </c>
      <c r="P38" s="18"/>
      <c r="Q38" s="17" t="e">
        <f t="shared" si="6"/>
        <v>#REF!</v>
      </c>
      <c r="R38" s="212"/>
      <c r="T38" s="162" t="e">
        <f t="shared" si="13"/>
        <v>#REF!</v>
      </c>
    </row>
    <row r="39" spans="2:20">
      <c r="C39" s="1" t="s">
        <v>143</v>
      </c>
      <c r="D39" s="15"/>
      <c r="E39" s="17">
        <f>'AN Gas'!I40</f>
        <v>285823</v>
      </c>
      <c r="F39" s="17"/>
      <c r="G39" s="17">
        <f t="shared" si="15"/>
        <v>285823</v>
      </c>
      <c r="H39" s="17"/>
      <c r="I39" s="17">
        <f t="shared" si="0"/>
        <v>2041</v>
      </c>
      <c r="J39" s="17">
        <f t="shared" si="1"/>
        <v>8636</v>
      </c>
      <c r="K39" s="162">
        <f t="shared" si="2"/>
        <v>10677</v>
      </c>
      <c r="L39" s="17">
        <f t="shared" si="3"/>
        <v>296500</v>
      </c>
      <c r="M39" s="212"/>
      <c r="N39" s="90" t="e">
        <f t="shared" si="12"/>
        <v>#REF!</v>
      </c>
      <c r="O39" s="162" t="e">
        <f t="shared" si="5"/>
        <v>#REF!</v>
      </c>
      <c r="P39" s="18"/>
      <c r="Q39" s="17" t="e">
        <f t="shared" si="6"/>
        <v>#REF!</v>
      </c>
      <c r="R39" s="212"/>
      <c r="T39" s="162" t="e">
        <f t="shared" si="13"/>
        <v>#REF!</v>
      </c>
    </row>
    <row r="40" spans="2:20">
      <c r="B40" s="55"/>
      <c r="C40" s="54">
        <v>894</v>
      </c>
      <c r="D40" s="15"/>
      <c r="E40" s="17">
        <f>'AN Gas'!I41</f>
        <v>26088</v>
      </c>
      <c r="F40" s="17"/>
      <c r="G40" s="17">
        <f t="shared" si="15"/>
        <v>26088</v>
      </c>
      <c r="H40" s="17"/>
      <c r="I40" s="17">
        <f t="shared" si="0"/>
        <v>186</v>
      </c>
      <c r="J40" s="17">
        <f t="shared" si="1"/>
        <v>788</v>
      </c>
      <c r="K40" s="162">
        <f t="shared" si="2"/>
        <v>974</v>
      </c>
      <c r="L40" s="17">
        <f t="shared" si="3"/>
        <v>27062</v>
      </c>
      <c r="M40" s="212"/>
      <c r="N40" s="90" t="e">
        <f t="shared" si="12"/>
        <v>#REF!</v>
      </c>
      <c r="O40" s="162" t="e">
        <f t="shared" si="5"/>
        <v>#REF!</v>
      </c>
      <c r="P40" s="18"/>
      <c r="Q40" s="17" t="e">
        <f t="shared" si="6"/>
        <v>#REF!</v>
      </c>
      <c r="R40" s="212"/>
      <c r="T40" s="162" t="e">
        <f t="shared" si="13"/>
        <v>#REF!</v>
      </c>
    </row>
    <row r="41" spans="2:20">
      <c r="C41" s="14" t="s">
        <v>5</v>
      </c>
      <c r="E41" s="21">
        <f>SUM(E20:E40)</f>
        <v>2254950</v>
      </c>
      <c r="F41" s="21"/>
      <c r="G41" s="21">
        <f t="shared" ref="G41:J41" si="16">SUM(G20:G40)</f>
        <v>2254950</v>
      </c>
      <c r="H41" s="21"/>
      <c r="I41" s="21">
        <f t="shared" si="16"/>
        <v>15515</v>
      </c>
      <c r="J41" s="21">
        <f t="shared" si="16"/>
        <v>68115</v>
      </c>
      <c r="K41" s="167">
        <f t="shared" si="2"/>
        <v>83630</v>
      </c>
      <c r="L41" s="59">
        <f t="shared" si="3"/>
        <v>2338580</v>
      </c>
      <c r="M41" s="213"/>
      <c r="N41" s="200" t="e">
        <f>SUM(N20:N40)</f>
        <v>#REF!</v>
      </c>
      <c r="O41" s="167" t="e">
        <f t="shared" si="5"/>
        <v>#REF!</v>
      </c>
      <c r="P41" s="21"/>
      <c r="Q41" s="59" t="e">
        <f t="shared" si="6"/>
        <v>#REF!</v>
      </c>
      <c r="R41" s="213"/>
      <c r="T41" s="167" t="e">
        <f>SUM(T20:T40)</f>
        <v>#REF!</v>
      </c>
    </row>
    <row r="42" spans="2:20">
      <c r="E42" s="22"/>
      <c r="F42" s="22"/>
      <c r="G42" s="22"/>
      <c r="H42" s="22"/>
      <c r="I42" s="22">
        <f t="shared" si="0"/>
        <v>0</v>
      </c>
      <c r="J42" s="22">
        <f t="shared" si="1"/>
        <v>0</v>
      </c>
      <c r="K42" s="168"/>
      <c r="L42" s="22"/>
      <c r="M42" s="213"/>
      <c r="N42" s="134"/>
      <c r="O42" s="168"/>
      <c r="P42" s="26"/>
      <c r="Q42" s="22"/>
      <c r="R42" s="213"/>
      <c r="T42" s="168"/>
    </row>
    <row r="43" spans="2:20">
      <c r="C43" s="14" t="s">
        <v>6</v>
      </c>
      <c r="E43" s="22"/>
      <c r="F43" s="22"/>
      <c r="G43" s="22"/>
      <c r="H43" s="22"/>
      <c r="I43" s="22">
        <f t="shared" si="0"/>
        <v>0</v>
      </c>
      <c r="J43" s="22">
        <f t="shared" si="1"/>
        <v>0</v>
      </c>
      <c r="K43" s="168"/>
      <c r="L43" s="18"/>
      <c r="M43" s="212"/>
      <c r="N43" s="134"/>
      <c r="O43" s="168"/>
      <c r="P43" s="26"/>
      <c r="Q43" s="18"/>
      <c r="R43" s="212"/>
      <c r="T43" s="168"/>
    </row>
    <row r="44" spans="2:20">
      <c r="B44" s="2" t="s">
        <v>26</v>
      </c>
      <c r="C44" s="1" t="s">
        <v>144</v>
      </c>
      <c r="D44" s="15"/>
      <c r="E44" s="17">
        <f>'AN Gas'!I45</f>
        <v>24067</v>
      </c>
      <c r="F44" s="17"/>
      <c r="G44" s="17">
        <f>F44+E44</f>
        <v>24067</v>
      </c>
      <c r="H44" s="17"/>
      <c r="I44" s="17">
        <f t="shared" si="0"/>
        <v>125</v>
      </c>
      <c r="J44" s="17">
        <f t="shared" si="1"/>
        <v>726</v>
      </c>
      <c r="K44" s="162">
        <f t="shared" si="2"/>
        <v>851</v>
      </c>
      <c r="L44" s="17">
        <f t="shared" si="3"/>
        <v>24918</v>
      </c>
      <c r="M44" s="212"/>
      <c r="N44" s="90" t="e">
        <f>ROUND(IF($B44="a",(G44+I44+J44)*N$5,(G44+I44+J44)*N$6),0)</f>
        <v>#REF!</v>
      </c>
      <c r="O44" s="162" t="e">
        <f t="shared" si="5"/>
        <v>#REF!</v>
      </c>
      <c r="P44" s="18"/>
      <c r="Q44" s="17" t="e">
        <f t="shared" si="6"/>
        <v>#REF!</v>
      </c>
      <c r="R44" s="212"/>
      <c r="T44" s="162" t="e">
        <f>ROUND(IF($B44="a",Q44*T$5,Q44*T$6),0)</f>
        <v>#REF!</v>
      </c>
    </row>
    <row r="45" spans="2:20">
      <c r="C45" s="1" t="s">
        <v>145</v>
      </c>
      <c r="D45" s="15"/>
      <c r="E45" s="17">
        <f>'AN Gas'!I46</f>
        <v>68963</v>
      </c>
      <c r="F45" s="17"/>
      <c r="G45" s="17">
        <f>F45+E45</f>
        <v>68963</v>
      </c>
      <c r="H45" s="17"/>
      <c r="I45" s="17">
        <f t="shared" si="0"/>
        <v>492</v>
      </c>
      <c r="J45" s="17">
        <f t="shared" si="1"/>
        <v>2084</v>
      </c>
      <c r="K45" s="162">
        <f t="shared" si="2"/>
        <v>2576</v>
      </c>
      <c r="L45" s="17">
        <f t="shared" si="3"/>
        <v>71539</v>
      </c>
      <c r="M45" s="212"/>
      <c r="N45" s="90" t="e">
        <f t="shared" ref="N45:N47" si="17">ROUND(IF($B45="a",(G45+I45+J45)*N$5,(G45+I45+J45)*N$6),0)</f>
        <v>#REF!</v>
      </c>
      <c r="O45" s="162" t="e">
        <f t="shared" si="5"/>
        <v>#REF!</v>
      </c>
      <c r="P45" s="18"/>
      <c r="Q45" s="17" t="e">
        <f t="shared" si="6"/>
        <v>#REF!</v>
      </c>
      <c r="R45" s="212"/>
      <c r="T45" s="162" t="e">
        <f>ROUND(IF($B45="a",Q45*T$5,Q45*T$6),0)</f>
        <v>#REF!</v>
      </c>
    </row>
    <row r="46" spans="2:20">
      <c r="B46" s="2" t="s">
        <v>26</v>
      </c>
      <c r="C46" s="1" t="s">
        <v>163</v>
      </c>
      <c r="D46" s="15"/>
      <c r="E46" s="17">
        <f>'AN Gas'!I47</f>
        <v>968638</v>
      </c>
      <c r="F46" s="17"/>
      <c r="G46" s="17">
        <f>F46+E46</f>
        <v>968638</v>
      </c>
      <c r="H46" s="17"/>
      <c r="I46" s="17">
        <f t="shared" si="0"/>
        <v>5027</v>
      </c>
      <c r="J46" s="17">
        <f t="shared" si="1"/>
        <v>29210</v>
      </c>
      <c r="K46" s="162">
        <f t="shared" si="2"/>
        <v>34237</v>
      </c>
      <c r="L46" s="17">
        <f t="shared" si="3"/>
        <v>1002875</v>
      </c>
      <c r="M46" s="212"/>
      <c r="N46" s="90" t="e">
        <f t="shared" si="17"/>
        <v>#REF!</v>
      </c>
      <c r="O46" s="162" t="e">
        <f t="shared" si="5"/>
        <v>#REF!</v>
      </c>
      <c r="P46" s="18"/>
      <c r="Q46" s="17" t="e">
        <f t="shared" si="6"/>
        <v>#REF!</v>
      </c>
      <c r="R46" s="212"/>
      <c r="T46" s="162" t="e">
        <f>ROUND(IF($B46="a",Q46*T$5,Q46*T$6),0)</f>
        <v>#REF!</v>
      </c>
    </row>
    <row r="47" spans="2:20">
      <c r="B47" s="2" t="s">
        <v>26</v>
      </c>
      <c r="C47" s="1" t="s">
        <v>147</v>
      </c>
      <c r="D47" s="15"/>
      <c r="E47" s="17">
        <f>'AN Gas'!I48</f>
        <v>30000</v>
      </c>
      <c r="F47" s="17"/>
      <c r="G47" s="17">
        <f>F47+E47</f>
        <v>30000</v>
      </c>
      <c r="H47" s="17"/>
      <c r="I47" s="17">
        <f t="shared" si="0"/>
        <v>156</v>
      </c>
      <c r="J47" s="17">
        <f t="shared" si="1"/>
        <v>905</v>
      </c>
      <c r="K47" s="162">
        <f t="shared" si="2"/>
        <v>1061</v>
      </c>
      <c r="L47" s="17">
        <f t="shared" si="3"/>
        <v>31061</v>
      </c>
      <c r="M47" s="212"/>
      <c r="N47" s="90" t="e">
        <f t="shared" si="17"/>
        <v>#REF!</v>
      </c>
      <c r="O47" s="162" t="e">
        <f t="shared" si="5"/>
        <v>#REF!</v>
      </c>
      <c r="P47" s="18"/>
      <c r="Q47" s="17" t="e">
        <f t="shared" si="6"/>
        <v>#REF!</v>
      </c>
      <c r="R47" s="212"/>
      <c r="T47" s="162" t="e">
        <f>ROUND(IF($B47="a",Q47*T$5,Q47*T$6),0)</f>
        <v>#REF!</v>
      </c>
    </row>
    <row r="48" spans="2:20">
      <c r="C48" s="14" t="s">
        <v>7</v>
      </c>
      <c r="E48" s="21">
        <f>SUM(E44:E47)</f>
        <v>1091668</v>
      </c>
      <c r="F48" s="21"/>
      <c r="G48" s="21">
        <f t="shared" ref="G48:J48" si="18">SUM(G44:G47)</f>
        <v>1091668</v>
      </c>
      <c r="H48" s="21"/>
      <c r="I48" s="21">
        <f t="shared" si="18"/>
        <v>5800</v>
      </c>
      <c r="J48" s="21">
        <f t="shared" si="18"/>
        <v>32925</v>
      </c>
      <c r="K48" s="167">
        <f t="shared" si="2"/>
        <v>38725</v>
      </c>
      <c r="L48" s="59">
        <f t="shared" si="3"/>
        <v>1130393</v>
      </c>
      <c r="M48" s="213"/>
      <c r="N48" s="200" t="e">
        <f t="shared" ref="N48" si="19">SUM(N44:N47)</f>
        <v>#REF!</v>
      </c>
      <c r="O48" s="167" t="e">
        <f t="shared" si="5"/>
        <v>#REF!</v>
      </c>
      <c r="P48" s="21"/>
      <c r="Q48" s="59" t="e">
        <f t="shared" si="6"/>
        <v>#REF!</v>
      </c>
      <c r="R48" s="213"/>
      <c r="T48" s="167" t="e">
        <f>SUM(T44:T47)</f>
        <v>#REF!</v>
      </c>
    </row>
    <row r="49" spans="2:20">
      <c r="E49" s="22"/>
      <c r="F49" s="22"/>
      <c r="G49" s="22"/>
      <c r="H49" s="22"/>
      <c r="I49" s="22">
        <f t="shared" si="0"/>
        <v>0</v>
      </c>
      <c r="J49" s="22">
        <f t="shared" si="1"/>
        <v>0</v>
      </c>
      <c r="K49" s="168"/>
      <c r="L49" s="22"/>
      <c r="M49" s="213"/>
      <c r="N49" s="134"/>
      <c r="O49" s="168"/>
      <c r="P49" s="26"/>
      <c r="Q49" s="22"/>
      <c r="R49" s="213"/>
      <c r="T49" s="168"/>
    </row>
    <row r="50" spans="2:20">
      <c r="C50" s="14" t="s">
        <v>8</v>
      </c>
      <c r="E50" s="22"/>
      <c r="F50" s="22"/>
      <c r="G50" s="22"/>
      <c r="H50" s="22"/>
      <c r="I50" s="22">
        <f t="shared" si="0"/>
        <v>0</v>
      </c>
      <c r="J50" s="22">
        <f t="shared" si="1"/>
        <v>0</v>
      </c>
      <c r="K50" s="168"/>
      <c r="L50" s="22"/>
      <c r="M50" s="213"/>
      <c r="N50" s="134"/>
      <c r="O50" s="168"/>
      <c r="P50" s="26"/>
      <c r="Q50" s="22"/>
      <c r="R50" s="213"/>
      <c r="T50" s="168"/>
    </row>
    <row r="51" spans="2:20">
      <c r="B51" s="2" t="s">
        <v>26</v>
      </c>
      <c r="C51" s="1" t="s">
        <v>148</v>
      </c>
      <c r="D51" s="15"/>
      <c r="E51" s="17">
        <f>'AN Gas'!I52</f>
        <v>60551</v>
      </c>
      <c r="F51" s="17"/>
      <c r="G51" s="17">
        <f>F51+E51</f>
        <v>60551</v>
      </c>
      <c r="H51" s="17"/>
      <c r="I51" s="17">
        <f t="shared" si="0"/>
        <v>314</v>
      </c>
      <c r="J51" s="17">
        <f t="shared" si="1"/>
        <v>1826</v>
      </c>
      <c r="K51" s="162">
        <f t="shared" si="2"/>
        <v>2140</v>
      </c>
      <c r="L51" s="17">
        <f t="shared" si="3"/>
        <v>62691</v>
      </c>
      <c r="M51" s="212"/>
      <c r="N51" s="90" t="e">
        <f>ROUND(IF($B51="a",(G51+I51+J51)*N$5,(G51+I51+J51)*N$6),0)</f>
        <v>#REF!</v>
      </c>
      <c r="O51" s="162"/>
      <c r="P51" s="18"/>
      <c r="Q51" s="17">
        <f t="shared" si="6"/>
        <v>62691</v>
      </c>
      <c r="R51" s="212"/>
      <c r="T51" s="162" t="e">
        <f>ROUND(IF($B51="a",Q51*T$5,Q51*T$6),0)</f>
        <v>#REF!</v>
      </c>
    </row>
    <row r="52" spans="2:20">
      <c r="B52" s="2" t="s">
        <v>26</v>
      </c>
      <c r="C52" s="1" t="s">
        <v>149</v>
      </c>
      <c r="D52" s="15"/>
      <c r="E52" s="17">
        <f>'AN Gas'!I53</f>
        <v>44331</v>
      </c>
      <c r="F52" s="17"/>
      <c r="G52" s="17">
        <f>F52+E52</f>
        <v>44331</v>
      </c>
      <c r="H52" s="17"/>
      <c r="I52" s="17">
        <f t="shared" si="0"/>
        <v>230</v>
      </c>
      <c r="J52" s="17">
        <f t="shared" si="1"/>
        <v>1337</v>
      </c>
      <c r="K52" s="162">
        <f t="shared" si="2"/>
        <v>1567</v>
      </c>
      <c r="L52" s="17">
        <f t="shared" si="3"/>
        <v>45898</v>
      </c>
      <c r="M52" s="212"/>
      <c r="N52" s="90" t="e">
        <f t="shared" ref="N52:N53" si="20">ROUND(IF($B52="a",(G52+I52+J52)*N$5,(G52+I52+J52)*N$6),0)</f>
        <v>#REF!</v>
      </c>
      <c r="O52" s="162" t="e">
        <f t="shared" si="5"/>
        <v>#REF!</v>
      </c>
      <c r="P52" s="18"/>
      <c r="Q52" s="17" t="e">
        <f t="shared" si="6"/>
        <v>#REF!</v>
      </c>
      <c r="R52" s="212"/>
      <c r="T52" s="162" t="e">
        <f>ROUND(IF($B52="a",Q52*T$5,Q52*T$6),0)</f>
        <v>#REF!</v>
      </c>
    </row>
    <row r="53" spans="2:20">
      <c r="B53" s="2" t="s">
        <v>26</v>
      </c>
      <c r="C53" s="1" t="s">
        <v>150</v>
      </c>
      <c r="D53" s="15"/>
      <c r="E53" s="17">
        <f>'AN Gas'!I54</f>
        <v>12020</v>
      </c>
      <c r="F53" s="17"/>
      <c r="G53" s="17">
        <f>F53+E53</f>
        <v>12020</v>
      </c>
      <c r="H53" s="17"/>
      <c r="I53" s="17">
        <f t="shared" si="0"/>
        <v>62</v>
      </c>
      <c r="J53" s="17">
        <f t="shared" si="1"/>
        <v>362</v>
      </c>
      <c r="K53" s="162">
        <f t="shared" si="2"/>
        <v>424</v>
      </c>
      <c r="L53" s="17">
        <f t="shared" si="3"/>
        <v>12444</v>
      </c>
      <c r="M53" s="212"/>
      <c r="N53" s="90" t="e">
        <f t="shared" si="20"/>
        <v>#REF!</v>
      </c>
      <c r="O53" s="162" t="e">
        <f t="shared" si="5"/>
        <v>#REF!</v>
      </c>
      <c r="P53" s="18"/>
      <c r="Q53" s="17" t="e">
        <f t="shared" si="6"/>
        <v>#REF!</v>
      </c>
      <c r="R53" s="212"/>
      <c r="T53" s="162" t="e">
        <f>ROUND(IF($B53="a",Q53*T$5,Q53*T$6),0)</f>
        <v>#REF!</v>
      </c>
    </row>
    <row r="54" spans="2:20">
      <c r="C54" s="14" t="s">
        <v>9</v>
      </c>
      <c r="D54" s="14" t="str">
        <f>D29</f>
        <v>2011 to 2013</v>
      </c>
      <c r="E54" s="21">
        <f>SUM(E51:E53)</f>
        <v>116902</v>
      </c>
      <c r="F54" s="21"/>
      <c r="G54" s="21">
        <f t="shared" ref="G54:J54" si="21">SUM(G51:G53)</f>
        <v>116902</v>
      </c>
      <c r="H54" s="21"/>
      <c r="I54" s="21">
        <f t="shared" si="21"/>
        <v>606</v>
      </c>
      <c r="J54" s="21">
        <f t="shared" si="21"/>
        <v>3525</v>
      </c>
      <c r="K54" s="167">
        <f t="shared" si="2"/>
        <v>4131</v>
      </c>
      <c r="L54" s="59">
        <f t="shared" si="3"/>
        <v>121033</v>
      </c>
      <c r="M54" s="213"/>
      <c r="N54" s="200" t="e">
        <f t="shared" ref="N54" si="22">SUM(N51:N53)</f>
        <v>#REF!</v>
      </c>
      <c r="O54" s="167" t="e">
        <f t="shared" si="5"/>
        <v>#REF!</v>
      </c>
      <c r="P54" s="21"/>
      <c r="Q54" s="59" t="e">
        <f t="shared" si="6"/>
        <v>#REF!</v>
      </c>
      <c r="R54" s="213"/>
      <c r="T54" s="167" t="e">
        <f>SUM(T51:T53)</f>
        <v>#REF!</v>
      </c>
    </row>
    <row r="55" spans="2:20">
      <c r="E55" s="22"/>
      <c r="F55" s="22"/>
      <c r="G55" s="22"/>
      <c r="H55" s="22"/>
      <c r="I55" s="22">
        <f t="shared" si="0"/>
        <v>0</v>
      </c>
      <c r="J55" s="22">
        <f t="shared" si="1"/>
        <v>0</v>
      </c>
      <c r="K55" s="168"/>
      <c r="L55" s="22"/>
      <c r="M55" s="213"/>
      <c r="N55" s="134"/>
      <c r="O55" s="168"/>
      <c r="P55" s="26"/>
      <c r="Q55" s="22"/>
      <c r="R55" s="213"/>
      <c r="T55" s="168"/>
    </row>
    <row r="56" spans="2:20">
      <c r="C56" s="14" t="s">
        <v>10</v>
      </c>
      <c r="E56" s="22"/>
      <c r="F56" s="22"/>
      <c r="G56" s="22"/>
      <c r="H56" s="22"/>
      <c r="I56" s="22">
        <f t="shared" si="0"/>
        <v>0</v>
      </c>
      <c r="J56" s="22">
        <f t="shared" si="1"/>
        <v>0</v>
      </c>
      <c r="K56" s="168"/>
      <c r="L56" s="22"/>
      <c r="M56" s="213"/>
      <c r="N56" s="134"/>
      <c r="O56" s="168"/>
      <c r="P56" s="26"/>
      <c r="Q56" s="22"/>
      <c r="R56" s="213"/>
      <c r="T56" s="168"/>
    </row>
    <row r="57" spans="2:20">
      <c r="B57" s="2" t="s">
        <v>26</v>
      </c>
      <c r="C57" s="1" t="s">
        <v>151</v>
      </c>
      <c r="D57" s="15"/>
      <c r="E57" s="17">
        <f>'AN Gas'!I58</f>
        <v>0</v>
      </c>
      <c r="F57" s="17"/>
      <c r="G57" s="17">
        <f>F57+E57</f>
        <v>0</v>
      </c>
      <c r="H57" s="17"/>
      <c r="I57" s="17">
        <f t="shared" si="0"/>
        <v>0</v>
      </c>
      <c r="J57" s="17">
        <f t="shared" si="1"/>
        <v>0</v>
      </c>
      <c r="K57" s="162">
        <f t="shared" si="2"/>
        <v>0</v>
      </c>
      <c r="L57" s="17">
        <f t="shared" si="3"/>
        <v>0</v>
      </c>
      <c r="M57" s="212"/>
      <c r="N57" s="90">
        <v>0</v>
      </c>
      <c r="O57" s="162">
        <f t="shared" si="5"/>
        <v>0</v>
      </c>
      <c r="P57" s="18"/>
      <c r="Q57" s="17">
        <f t="shared" si="6"/>
        <v>0</v>
      </c>
      <c r="R57" s="212"/>
      <c r="T57" s="162"/>
    </row>
    <row r="58" spans="2:20">
      <c r="B58" s="2" t="s">
        <v>26</v>
      </c>
      <c r="C58" s="1" t="s">
        <v>152</v>
      </c>
      <c r="D58" s="15"/>
      <c r="E58" s="17">
        <f>'AN Gas'!I59</f>
        <v>0</v>
      </c>
      <c r="F58" s="17"/>
      <c r="G58" s="17">
        <f>F58+E58</f>
        <v>0</v>
      </c>
      <c r="H58" s="17"/>
      <c r="I58" s="17">
        <f t="shared" si="0"/>
        <v>0</v>
      </c>
      <c r="J58" s="17">
        <f t="shared" si="1"/>
        <v>0</v>
      </c>
      <c r="K58" s="162">
        <f t="shared" si="2"/>
        <v>0</v>
      </c>
      <c r="L58" s="17">
        <f t="shared" si="3"/>
        <v>0</v>
      </c>
      <c r="M58" s="212"/>
      <c r="N58" s="90" t="e">
        <f t="shared" ref="N58:N60" si="23">ROUND(IF($B58="a",(G58+I58)*N$5,(G58+I58+J58)*N$6),0)</f>
        <v>#REF!</v>
      </c>
      <c r="O58" s="162" t="e">
        <f t="shared" si="5"/>
        <v>#REF!</v>
      </c>
      <c r="P58" s="18"/>
      <c r="Q58" s="17" t="e">
        <f t="shared" si="6"/>
        <v>#REF!</v>
      </c>
      <c r="R58" s="212"/>
      <c r="T58" s="162" t="e">
        <f>ROUND(IF($B58="a",Q58*T$5,Q58*T$6),0)</f>
        <v>#REF!</v>
      </c>
    </row>
    <row r="59" spans="2:20">
      <c r="B59" s="2" t="s">
        <v>26</v>
      </c>
      <c r="C59" s="1" t="s">
        <v>153</v>
      </c>
      <c r="D59" s="15"/>
      <c r="E59" s="17">
        <f>'AN Gas'!I60</f>
        <v>0</v>
      </c>
      <c r="F59" s="17"/>
      <c r="G59" s="17">
        <f>F59+E59</f>
        <v>0</v>
      </c>
      <c r="H59" s="17"/>
      <c r="I59" s="17">
        <f t="shared" si="0"/>
        <v>0</v>
      </c>
      <c r="J59" s="17">
        <f t="shared" si="1"/>
        <v>0</v>
      </c>
      <c r="K59" s="162">
        <f t="shared" si="2"/>
        <v>0</v>
      </c>
      <c r="L59" s="17">
        <f t="shared" si="3"/>
        <v>0</v>
      </c>
      <c r="M59" s="212"/>
      <c r="N59" s="90" t="e">
        <f t="shared" si="23"/>
        <v>#REF!</v>
      </c>
      <c r="O59" s="162" t="e">
        <f t="shared" si="5"/>
        <v>#REF!</v>
      </c>
      <c r="P59" s="18"/>
      <c r="Q59" s="17" t="e">
        <f t="shared" si="6"/>
        <v>#REF!</v>
      </c>
      <c r="R59" s="212"/>
      <c r="T59" s="162" t="e">
        <f>ROUND(IF($B59="a",Q59*T$5,Q59*T$6),0)</f>
        <v>#REF!</v>
      </c>
    </row>
    <row r="60" spans="2:20">
      <c r="B60" s="2" t="s">
        <v>26</v>
      </c>
      <c r="C60" s="1" t="s">
        <v>154</v>
      </c>
      <c r="D60" s="15"/>
      <c r="E60" s="17">
        <f>'AN Gas'!I61</f>
        <v>0</v>
      </c>
      <c r="F60" s="17"/>
      <c r="G60" s="17">
        <f>F60+E60</f>
        <v>0</v>
      </c>
      <c r="H60" s="17"/>
      <c r="I60" s="17">
        <f t="shared" si="0"/>
        <v>0</v>
      </c>
      <c r="J60" s="17">
        <f t="shared" si="1"/>
        <v>0</v>
      </c>
      <c r="K60" s="162">
        <f t="shared" si="2"/>
        <v>0</v>
      </c>
      <c r="L60" s="17">
        <f t="shared" si="3"/>
        <v>0</v>
      </c>
      <c r="M60" s="212"/>
      <c r="N60" s="90" t="e">
        <f t="shared" si="23"/>
        <v>#REF!</v>
      </c>
      <c r="O60" s="162" t="e">
        <f t="shared" si="5"/>
        <v>#REF!</v>
      </c>
      <c r="P60" s="18"/>
      <c r="Q60" s="17" t="e">
        <f t="shared" si="6"/>
        <v>#REF!</v>
      </c>
      <c r="R60" s="212"/>
      <c r="T60" s="162" t="e">
        <f>ROUND(IF($B60="a",Q60*T$5,Q60*T$6),0)</f>
        <v>#REF!</v>
      </c>
    </row>
    <row r="61" spans="2:20">
      <c r="C61" s="14" t="s">
        <v>11</v>
      </c>
      <c r="E61" s="21">
        <f>SUM(E57:E60)</f>
        <v>0</v>
      </c>
      <c r="F61" s="21"/>
      <c r="G61" s="21">
        <f t="shared" ref="G61:J61" si="24">SUM(G57:G60)</f>
        <v>0</v>
      </c>
      <c r="H61" s="21"/>
      <c r="I61" s="21">
        <f t="shared" si="24"/>
        <v>0</v>
      </c>
      <c r="J61" s="21">
        <f t="shared" si="24"/>
        <v>0</v>
      </c>
      <c r="K61" s="167">
        <f t="shared" si="2"/>
        <v>0</v>
      </c>
      <c r="L61" s="59">
        <f t="shared" si="3"/>
        <v>0</v>
      </c>
      <c r="M61" s="213"/>
      <c r="N61" s="200" t="e">
        <f t="shared" ref="N61" si="25">SUM(N57:N60)</f>
        <v>#REF!</v>
      </c>
      <c r="O61" s="167" t="e">
        <f t="shared" si="5"/>
        <v>#REF!</v>
      </c>
      <c r="P61" s="21"/>
      <c r="Q61" s="59" t="e">
        <f t="shared" si="6"/>
        <v>#REF!</v>
      </c>
      <c r="R61" s="213"/>
      <c r="T61" s="167" t="e">
        <f>SUM(T58:T60)</f>
        <v>#REF!</v>
      </c>
    </row>
    <row r="62" spans="2:20">
      <c r="E62" s="22"/>
      <c r="F62" s="22"/>
      <c r="G62" s="22"/>
      <c r="H62" s="22"/>
      <c r="I62" s="22">
        <f t="shared" si="0"/>
        <v>0</v>
      </c>
      <c r="J62" s="22">
        <f t="shared" si="1"/>
        <v>0</v>
      </c>
      <c r="K62" s="168"/>
      <c r="L62" s="22"/>
      <c r="M62" s="213"/>
      <c r="N62" s="134"/>
      <c r="O62" s="168"/>
      <c r="P62" s="26"/>
      <c r="Q62" s="22"/>
      <c r="R62" s="213"/>
      <c r="T62" s="168"/>
    </row>
    <row r="63" spans="2:20">
      <c r="C63" s="14" t="s">
        <v>12</v>
      </c>
      <c r="E63" s="22"/>
      <c r="F63" s="22"/>
      <c r="G63" s="22"/>
      <c r="H63" s="22"/>
      <c r="I63" s="22">
        <f t="shared" si="0"/>
        <v>0</v>
      </c>
      <c r="J63" s="22">
        <f t="shared" si="1"/>
        <v>0</v>
      </c>
      <c r="K63" s="168"/>
      <c r="L63" s="22"/>
      <c r="M63" s="213"/>
      <c r="N63" s="134"/>
      <c r="O63" s="168"/>
      <c r="P63" s="26"/>
      <c r="Q63" s="22"/>
      <c r="R63" s="213"/>
      <c r="T63" s="168"/>
    </row>
    <row r="64" spans="2:20">
      <c r="B64" s="2" t="s">
        <v>26</v>
      </c>
      <c r="C64" s="1" t="s">
        <v>155</v>
      </c>
      <c r="D64" s="15"/>
      <c r="E64" s="17">
        <f>'AN Gas'!I65</f>
        <v>1373722</v>
      </c>
      <c r="F64" s="17"/>
      <c r="G64" s="17">
        <f t="shared" ref="G64:G72" si="26">F64+E64</f>
        <v>1373722</v>
      </c>
      <c r="H64" s="17"/>
      <c r="I64" s="17">
        <f t="shared" si="0"/>
        <v>7130</v>
      </c>
      <c r="J64" s="17">
        <f t="shared" si="1"/>
        <v>41426</v>
      </c>
      <c r="K64" s="162">
        <f t="shared" si="2"/>
        <v>48556</v>
      </c>
      <c r="L64" s="17">
        <f t="shared" si="3"/>
        <v>1422278</v>
      </c>
      <c r="M64" s="212"/>
      <c r="N64" s="90" t="e">
        <f>ROUND(IF($B64="a",(G64+I64+J64)*N$5,(G64+I64+J64)*N$6),0)</f>
        <v>#REF!</v>
      </c>
      <c r="O64" s="162" t="e">
        <f t="shared" si="5"/>
        <v>#REF!</v>
      </c>
      <c r="P64" s="18"/>
      <c r="Q64" s="17" t="e">
        <f t="shared" si="6"/>
        <v>#REF!</v>
      </c>
      <c r="R64" s="212"/>
      <c r="T64" s="162" t="e">
        <f t="shared" ref="T64:T72" si="27">ROUND(IF($B64="a",Q64*T$5,Q64*T$6),0)</f>
        <v>#REF!</v>
      </c>
    </row>
    <row r="65" spans="2:20">
      <c r="B65" s="30"/>
      <c r="C65" s="29">
        <v>921</v>
      </c>
      <c r="D65" s="15" t="s">
        <v>89</v>
      </c>
      <c r="E65" s="17">
        <f>'AN Gas'!I66</f>
        <v>28061</v>
      </c>
      <c r="F65" s="17"/>
      <c r="G65" s="17">
        <f t="shared" si="26"/>
        <v>28061</v>
      </c>
      <c r="H65" s="17"/>
      <c r="I65" s="17">
        <f t="shared" si="0"/>
        <v>200</v>
      </c>
      <c r="J65" s="17">
        <f t="shared" si="1"/>
        <v>848</v>
      </c>
      <c r="K65" s="162">
        <f t="shared" si="2"/>
        <v>1048</v>
      </c>
      <c r="L65" s="17">
        <f t="shared" si="3"/>
        <v>29109</v>
      </c>
      <c r="M65" s="212"/>
      <c r="N65" s="90" t="e">
        <f t="shared" ref="N65:N72" si="28">ROUND(IF($B65="a",(G65+I65+J65)*N$5,(G65+I65+J65)*N$6),0)</f>
        <v>#REF!</v>
      </c>
      <c r="O65" s="162" t="e">
        <f t="shared" si="5"/>
        <v>#REF!</v>
      </c>
      <c r="P65" s="18"/>
      <c r="Q65" s="17" t="e">
        <f t="shared" si="6"/>
        <v>#REF!</v>
      </c>
      <c r="R65" s="212"/>
      <c r="T65" s="162" t="e">
        <f t="shared" si="27"/>
        <v>#REF!</v>
      </c>
    </row>
    <row r="66" spans="2:20">
      <c r="B66" s="30"/>
      <c r="C66" s="29">
        <v>922</v>
      </c>
      <c r="D66" s="15" t="s">
        <v>176</v>
      </c>
      <c r="E66" s="17">
        <f>'AN Gas'!I67</f>
        <v>0</v>
      </c>
      <c r="F66" s="17"/>
      <c r="G66" s="17">
        <f t="shared" si="26"/>
        <v>0</v>
      </c>
      <c r="H66" s="17"/>
      <c r="I66" s="17">
        <f t="shared" si="0"/>
        <v>0</v>
      </c>
      <c r="J66" s="17">
        <f t="shared" si="1"/>
        <v>0</v>
      </c>
      <c r="K66" s="162">
        <f t="shared" si="2"/>
        <v>0</v>
      </c>
      <c r="L66" s="17">
        <f t="shared" si="3"/>
        <v>0</v>
      </c>
      <c r="M66" s="212"/>
      <c r="N66" s="90" t="e">
        <f t="shared" si="28"/>
        <v>#REF!</v>
      </c>
      <c r="O66" s="162" t="e">
        <f t="shared" si="5"/>
        <v>#REF!</v>
      </c>
      <c r="P66" s="18"/>
      <c r="Q66" s="17" t="e">
        <f t="shared" si="6"/>
        <v>#REF!</v>
      </c>
      <c r="R66" s="212"/>
      <c r="T66" s="162" t="e">
        <f t="shared" si="27"/>
        <v>#REF!</v>
      </c>
    </row>
    <row r="67" spans="2:20">
      <c r="B67" s="2" t="s">
        <v>26</v>
      </c>
      <c r="C67" s="1" t="s">
        <v>156</v>
      </c>
      <c r="D67" s="15"/>
      <c r="E67" s="17">
        <f>'AN Gas'!I68</f>
        <v>2155</v>
      </c>
      <c r="F67" s="17"/>
      <c r="G67" s="17">
        <f t="shared" si="26"/>
        <v>2155</v>
      </c>
      <c r="H67" s="17"/>
      <c r="I67" s="17">
        <f t="shared" si="0"/>
        <v>11</v>
      </c>
      <c r="J67" s="17">
        <f t="shared" si="1"/>
        <v>65</v>
      </c>
      <c r="K67" s="162">
        <f t="shared" si="2"/>
        <v>76</v>
      </c>
      <c r="L67" s="17">
        <f t="shared" si="3"/>
        <v>2231</v>
      </c>
      <c r="M67" s="212"/>
      <c r="N67" s="90" t="e">
        <f t="shared" si="28"/>
        <v>#REF!</v>
      </c>
      <c r="O67" s="162" t="e">
        <f t="shared" si="5"/>
        <v>#REF!</v>
      </c>
      <c r="P67" s="18"/>
      <c r="Q67" s="17" t="e">
        <f t="shared" si="6"/>
        <v>#REF!</v>
      </c>
      <c r="R67" s="212"/>
      <c r="T67" s="162" t="e">
        <f t="shared" si="27"/>
        <v>#REF!</v>
      </c>
    </row>
    <row r="68" spans="2:20">
      <c r="B68" s="2" t="s">
        <v>26</v>
      </c>
      <c r="C68" s="1" t="s">
        <v>157</v>
      </c>
      <c r="D68" s="15"/>
      <c r="E68" s="17">
        <f>'AN Gas'!I69</f>
        <v>0</v>
      </c>
      <c r="F68" s="17"/>
      <c r="G68" s="17">
        <f t="shared" si="26"/>
        <v>0</v>
      </c>
      <c r="H68" s="17"/>
      <c r="I68" s="17">
        <f t="shared" si="0"/>
        <v>0</v>
      </c>
      <c r="J68" s="17">
        <f t="shared" si="1"/>
        <v>0</v>
      </c>
      <c r="K68" s="162">
        <f t="shared" si="2"/>
        <v>0</v>
      </c>
      <c r="L68" s="17">
        <f t="shared" si="3"/>
        <v>0</v>
      </c>
      <c r="M68" s="212"/>
      <c r="N68" s="90" t="e">
        <f t="shared" si="28"/>
        <v>#REF!</v>
      </c>
      <c r="O68" s="162" t="e">
        <f t="shared" si="5"/>
        <v>#REF!</v>
      </c>
      <c r="P68" s="18"/>
      <c r="Q68" s="17" t="e">
        <f t="shared" si="6"/>
        <v>#REF!</v>
      </c>
      <c r="R68" s="212"/>
      <c r="T68" s="162" t="e">
        <f t="shared" si="27"/>
        <v>#REF!</v>
      </c>
    </row>
    <row r="69" spans="2:20">
      <c r="B69" s="2" t="s">
        <v>26</v>
      </c>
      <c r="C69" s="1" t="s">
        <v>158</v>
      </c>
      <c r="D69" s="15"/>
      <c r="E69" s="17">
        <f>'AN Gas'!I70</f>
        <v>26250</v>
      </c>
      <c r="F69" s="17"/>
      <c r="G69" s="17">
        <f t="shared" si="26"/>
        <v>26250</v>
      </c>
      <c r="H69" s="17"/>
      <c r="I69" s="17">
        <f t="shared" si="0"/>
        <v>136</v>
      </c>
      <c r="J69" s="17">
        <f t="shared" si="1"/>
        <v>792</v>
      </c>
      <c r="K69" s="162">
        <f t="shared" si="2"/>
        <v>928</v>
      </c>
      <c r="L69" s="17">
        <f t="shared" si="3"/>
        <v>27178</v>
      </c>
      <c r="M69" s="212"/>
      <c r="N69" s="90" t="e">
        <f t="shared" si="28"/>
        <v>#REF!</v>
      </c>
      <c r="O69" s="162" t="e">
        <f t="shared" si="5"/>
        <v>#REF!</v>
      </c>
      <c r="P69" s="18"/>
      <c r="Q69" s="17" t="e">
        <f t="shared" si="6"/>
        <v>#REF!</v>
      </c>
      <c r="R69" s="212"/>
      <c r="T69" s="162" t="e">
        <f t="shared" si="27"/>
        <v>#REF!</v>
      </c>
    </row>
    <row r="70" spans="2:20">
      <c r="B70" s="2" t="s">
        <v>26</v>
      </c>
      <c r="C70" s="1" t="s">
        <v>159</v>
      </c>
      <c r="D70" s="15"/>
      <c r="E70" s="17">
        <f>'AN Gas'!I71</f>
        <v>78381</v>
      </c>
      <c r="F70" s="17"/>
      <c r="G70" s="17">
        <f t="shared" si="26"/>
        <v>78381</v>
      </c>
      <c r="H70" s="17"/>
      <c r="I70" s="17">
        <f t="shared" si="0"/>
        <v>407</v>
      </c>
      <c r="J70" s="17">
        <f t="shared" si="1"/>
        <v>2364</v>
      </c>
      <c r="K70" s="162">
        <f t="shared" si="2"/>
        <v>2771</v>
      </c>
      <c r="L70" s="17">
        <f t="shared" si="3"/>
        <v>81152</v>
      </c>
      <c r="M70" s="212"/>
      <c r="N70" s="90" t="e">
        <f t="shared" si="28"/>
        <v>#REF!</v>
      </c>
      <c r="O70" s="162" t="e">
        <f t="shared" si="5"/>
        <v>#REF!</v>
      </c>
      <c r="P70" s="18"/>
      <c r="Q70" s="17" t="e">
        <f t="shared" si="6"/>
        <v>#REF!</v>
      </c>
      <c r="R70" s="212"/>
      <c r="T70" s="162" t="e">
        <f t="shared" si="27"/>
        <v>#REF!</v>
      </c>
    </row>
    <row r="71" spans="2:20">
      <c r="B71" s="2" t="s">
        <v>26</v>
      </c>
      <c r="C71" s="1" t="s">
        <v>160</v>
      </c>
      <c r="D71" s="15"/>
      <c r="E71" s="17">
        <f>'AN Gas'!I72</f>
        <v>25578</v>
      </c>
      <c r="F71" s="17"/>
      <c r="G71" s="17">
        <f t="shared" si="26"/>
        <v>25578</v>
      </c>
      <c r="H71" s="17"/>
      <c r="I71" s="17">
        <f t="shared" si="0"/>
        <v>133</v>
      </c>
      <c r="J71" s="17">
        <f t="shared" si="1"/>
        <v>771</v>
      </c>
      <c r="K71" s="162">
        <f t="shared" si="2"/>
        <v>904</v>
      </c>
      <c r="L71" s="17">
        <f t="shared" si="3"/>
        <v>26482</v>
      </c>
      <c r="M71" s="212"/>
      <c r="N71" s="90" t="e">
        <f t="shared" si="28"/>
        <v>#REF!</v>
      </c>
      <c r="O71" s="162" t="e">
        <f t="shared" si="5"/>
        <v>#REF!</v>
      </c>
      <c r="P71" s="18"/>
      <c r="Q71" s="17" t="e">
        <f t="shared" si="6"/>
        <v>#REF!</v>
      </c>
      <c r="R71" s="212"/>
      <c r="T71" s="162" t="e">
        <f t="shared" si="27"/>
        <v>#REF!</v>
      </c>
    </row>
    <row r="72" spans="2:20">
      <c r="C72" s="1" t="s">
        <v>161</v>
      </c>
      <c r="D72" s="15"/>
      <c r="E72" s="17">
        <f>'AN Gas'!I73</f>
        <v>134975</v>
      </c>
      <c r="F72" s="17"/>
      <c r="G72" s="17">
        <f t="shared" si="26"/>
        <v>134975</v>
      </c>
      <c r="H72" s="17"/>
      <c r="I72" s="17">
        <f t="shared" si="0"/>
        <v>964</v>
      </c>
      <c r="J72" s="17">
        <f t="shared" si="1"/>
        <v>4078</v>
      </c>
      <c r="K72" s="162">
        <f t="shared" si="2"/>
        <v>5042</v>
      </c>
      <c r="L72" s="17">
        <f t="shared" si="3"/>
        <v>140017</v>
      </c>
      <c r="M72" s="212"/>
      <c r="N72" s="90" t="e">
        <f t="shared" si="28"/>
        <v>#REF!</v>
      </c>
      <c r="O72" s="162" t="e">
        <f t="shared" si="5"/>
        <v>#REF!</v>
      </c>
      <c r="P72" s="18"/>
      <c r="Q72" s="17" t="e">
        <f t="shared" si="6"/>
        <v>#REF!</v>
      </c>
      <c r="R72" s="212"/>
      <c r="T72" s="162" t="e">
        <f t="shared" si="27"/>
        <v>#REF!</v>
      </c>
    </row>
    <row r="73" spans="2:20">
      <c r="C73" s="14" t="s">
        <v>13</v>
      </c>
      <c r="E73" s="21">
        <f>SUM(E64:E72)</f>
        <v>1669122</v>
      </c>
      <c r="F73" s="21"/>
      <c r="G73" s="21">
        <f t="shared" ref="G73:J73" si="29">SUM(G64:G72)</f>
        <v>1669122</v>
      </c>
      <c r="H73" s="21"/>
      <c r="I73" s="21">
        <f t="shared" si="29"/>
        <v>8981</v>
      </c>
      <c r="J73" s="21">
        <f t="shared" si="29"/>
        <v>50344</v>
      </c>
      <c r="K73" s="167">
        <f t="shared" si="2"/>
        <v>59325</v>
      </c>
      <c r="L73" s="59">
        <f t="shared" si="3"/>
        <v>1728447</v>
      </c>
      <c r="M73" s="213"/>
      <c r="N73" s="200" t="e">
        <f t="shared" ref="N73" si="30">SUM(N64:N72)</f>
        <v>#REF!</v>
      </c>
      <c r="O73" s="167" t="e">
        <f t="shared" si="5"/>
        <v>#REF!</v>
      </c>
      <c r="P73" s="21"/>
      <c r="Q73" s="59" t="e">
        <f t="shared" si="6"/>
        <v>#REF!</v>
      </c>
      <c r="R73" s="213"/>
      <c r="T73" s="167" t="e">
        <f>SUM(T64:T72)</f>
        <v>#REF!</v>
      </c>
    </row>
    <row r="74" spans="2:20">
      <c r="E74" s="22">
        <f>'AN Gas'!I75</f>
        <v>0</v>
      </c>
      <c r="F74" s="22"/>
      <c r="G74" s="22"/>
      <c r="H74" s="22"/>
      <c r="I74" s="22">
        <f t="shared" ref="I74" si="31">ROUND(IF($B74="a",G74*I$5,G74*I$6),0)</f>
        <v>0</v>
      </c>
      <c r="J74" s="22">
        <f t="shared" ref="J74" si="32">ROUND(IF($B74="a",(G74+I74)*J$5,(G74+I74)*J$6),0)</f>
        <v>0</v>
      </c>
      <c r="K74" s="168"/>
      <c r="L74" s="22"/>
      <c r="M74" s="213"/>
      <c r="N74" s="134"/>
      <c r="O74" s="168"/>
      <c r="P74" s="26"/>
      <c r="Q74" s="22"/>
      <c r="R74" s="213"/>
      <c r="T74" s="168"/>
    </row>
    <row r="75" spans="2:20" ht="13.5" thickBot="1">
      <c r="C75" s="14" t="s">
        <v>117</v>
      </c>
      <c r="E75" s="21">
        <f>E12+E17+E41+E48+E54+E61+E73</f>
        <v>5347473</v>
      </c>
      <c r="F75" s="21"/>
      <c r="G75" s="59">
        <f t="shared" ref="G75:J75" si="33">G12+G17+G41+G48+G54+G61+G73</f>
        <v>5347473</v>
      </c>
      <c r="H75" s="59"/>
      <c r="I75" s="59">
        <f t="shared" si="33"/>
        <v>32017</v>
      </c>
      <c r="J75" s="59">
        <f t="shared" si="33"/>
        <v>161387</v>
      </c>
      <c r="K75" s="169">
        <f t="shared" ref="K75" si="34">I75+J75</f>
        <v>193404</v>
      </c>
      <c r="L75" s="59">
        <f t="shared" ref="L75" si="35">K75+G75</f>
        <v>5540877</v>
      </c>
      <c r="M75" s="213"/>
      <c r="N75" s="200" t="e">
        <f t="shared" ref="N75" si="36">N12+N17+N41+N48+N54+N61+N73</f>
        <v>#REF!</v>
      </c>
      <c r="O75" s="169" t="e">
        <f t="shared" ref="O75" si="37">N75</f>
        <v>#REF!</v>
      </c>
      <c r="P75" s="147"/>
      <c r="Q75" s="59" t="e">
        <f t="shared" ref="Q75" si="38">O75+L75</f>
        <v>#REF!</v>
      </c>
      <c r="R75" s="213"/>
      <c r="T75" s="169" t="e">
        <f t="shared" ref="T75" si="39">T12+T17+T41+T48+T54+T61+T73</f>
        <v>#REF!</v>
      </c>
    </row>
    <row r="76" spans="2:20">
      <c r="E76" s="96">
        <f>'AN Gas'!I76</f>
        <v>5347474</v>
      </c>
      <c r="F76" s="96"/>
      <c r="G76" s="22"/>
      <c r="H76" s="22"/>
      <c r="I76" s="22"/>
      <c r="J76" s="22"/>
      <c r="K76" s="97"/>
      <c r="L76" s="94"/>
      <c r="M76" s="214"/>
      <c r="N76" s="97"/>
      <c r="O76" s="97"/>
      <c r="P76" s="97"/>
      <c r="Q76" s="94"/>
      <c r="R76" s="213"/>
      <c r="T76" s="154"/>
    </row>
    <row r="77" spans="2:20">
      <c r="G77" s="18"/>
      <c r="H77" s="18"/>
      <c r="I77" s="18"/>
      <c r="J77" s="18"/>
      <c r="K77" s="97"/>
      <c r="N77" s="97"/>
      <c r="O77" s="97"/>
      <c r="P77" s="97"/>
      <c r="R77" s="212"/>
    </row>
    <row r="78" spans="2:20">
      <c r="D78" s="9"/>
      <c r="E78" s="18"/>
      <c r="F78" s="18"/>
      <c r="G78" s="18"/>
      <c r="H78" s="18"/>
      <c r="I78" s="18"/>
      <c r="J78" s="18"/>
      <c r="K78" s="97"/>
      <c r="L78" s="95"/>
      <c r="M78" s="215"/>
      <c r="N78" s="97"/>
      <c r="O78" s="97"/>
      <c r="P78" s="97"/>
      <c r="Q78" s="95"/>
      <c r="R78" s="212"/>
    </row>
    <row r="79" spans="2:20">
      <c r="G79" s="18"/>
      <c r="H79" s="18"/>
      <c r="I79" s="40"/>
      <c r="J79" s="40"/>
      <c r="K79" s="18"/>
      <c r="L79" s="17"/>
      <c r="M79" s="212"/>
      <c r="N79" s="18"/>
      <c r="O79" s="18"/>
      <c r="P79" s="18"/>
      <c r="Q79" s="17"/>
      <c r="T79" s="18"/>
    </row>
    <row r="80" spans="2:20">
      <c r="E80" s="18"/>
      <c r="F80" s="18"/>
      <c r="G80" s="18"/>
      <c r="H80" s="18"/>
      <c r="I80" s="40"/>
      <c r="J80" s="40"/>
      <c r="K80" s="18"/>
      <c r="L80" s="17"/>
      <c r="M80" s="212"/>
      <c r="N80" s="18"/>
      <c r="O80" s="18"/>
      <c r="P80" s="18"/>
      <c r="Q80" s="17"/>
      <c r="R80" s="212"/>
      <c r="T80" s="18"/>
    </row>
    <row r="81" spans="5:20">
      <c r="E81" s="18"/>
      <c r="F81" s="18"/>
      <c r="G81" s="18"/>
      <c r="H81" s="18"/>
      <c r="I81" s="40"/>
      <c r="J81" s="40"/>
      <c r="K81" s="18"/>
      <c r="L81" s="18"/>
      <c r="M81" s="212"/>
      <c r="N81" s="18"/>
      <c r="O81" s="18"/>
      <c r="P81" s="18"/>
      <c r="Q81" s="18"/>
      <c r="R81" s="212"/>
      <c r="T81" s="18"/>
    </row>
    <row r="82" spans="5:20">
      <c r="E82" s="18"/>
      <c r="F82" s="18"/>
      <c r="G82" s="18"/>
      <c r="H82" s="18"/>
      <c r="I82" s="40"/>
      <c r="J82" s="40"/>
      <c r="K82" s="18"/>
      <c r="L82" s="18"/>
      <c r="M82" s="212"/>
      <c r="N82" s="18"/>
      <c r="O82" s="18"/>
      <c r="P82" s="18"/>
      <c r="Q82" s="18"/>
      <c r="R82" s="212"/>
      <c r="T82" s="18"/>
    </row>
    <row r="83" spans="5:20">
      <c r="E83" s="18"/>
      <c r="F83" s="18"/>
      <c r="G83" s="18"/>
      <c r="H83" s="18"/>
      <c r="I83" s="41"/>
      <c r="J83" s="41"/>
      <c r="K83" s="18"/>
      <c r="L83" s="18"/>
      <c r="M83" s="212"/>
      <c r="N83" s="18"/>
      <c r="O83" s="18"/>
      <c r="P83" s="18"/>
      <c r="Q83" s="18"/>
      <c r="R83" s="212"/>
      <c r="T83" s="18"/>
    </row>
    <row r="84" spans="5:20">
      <c r="E84" s="18"/>
      <c r="F84" s="18"/>
      <c r="G84" s="18"/>
      <c r="H84" s="18"/>
      <c r="I84" s="40"/>
      <c r="J84" s="40"/>
      <c r="K84" s="18"/>
      <c r="L84" s="18"/>
      <c r="M84" s="212"/>
      <c r="N84" s="18"/>
      <c r="O84" s="18"/>
      <c r="P84" s="18"/>
      <c r="Q84" s="18"/>
      <c r="R84" s="212"/>
      <c r="T84" s="18"/>
    </row>
    <row r="85" spans="5:20">
      <c r="E85" s="18"/>
      <c r="F85" s="18"/>
      <c r="G85" s="18"/>
      <c r="H85" s="18"/>
      <c r="I85" s="40"/>
      <c r="J85" s="40"/>
      <c r="K85" s="18"/>
      <c r="L85" s="18"/>
      <c r="M85" s="212"/>
      <c r="N85" s="18"/>
      <c r="O85" s="18"/>
      <c r="P85" s="18"/>
      <c r="Q85" s="18"/>
      <c r="R85" s="212"/>
      <c r="T85" s="18"/>
    </row>
    <row r="86" spans="5:20">
      <c r="J86" s="40"/>
      <c r="L86" s="18"/>
      <c r="M86" s="212"/>
      <c r="Q86" s="18"/>
      <c r="R86" s="212"/>
    </row>
    <row r="87" spans="5:20">
      <c r="J87" s="40"/>
      <c r="L87" s="18"/>
      <c r="M87" s="212"/>
      <c r="Q87" s="18"/>
      <c r="R87" s="212"/>
    </row>
    <row r="88" spans="5:20">
      <c r="J88" s="40"/>
      <c r="L88" s="18"/>
      <c r="M88" s="212"/>
      <c r="Q88" s="18"/>
      <c r="R88" s="212"/>
    </row>
    <row r="89" spans="5:20">
      <c r="J89" s="40"/>
      <c r="L89" s="18"/>
      <c r="M89" s="212"/>
      <c r="Q89" s="18"/>
      <c r="R89" s="212"/>
    </row>
    <row r="90" spans="5:20">
      <c r="J90" s="40"/>
      <c r="L90" s="18"/>
      <c r="M90" s="212"/>
      <c r="Q90" s="18"/>
      <c r="R90" s="212"/>
    </row>
    <row r="91" spans="5:20">
      <c r="J91" s="40"/>
      <c r="L91" s="18"/>
      <c r="M91" s="212"/>
      <c r="Q91" s="18"/>
      <c r="R91" s="212"/>
    </row>
    <row r="92" spans="5:20">
      <c r="J92" s="18"/>
      <c r="L92" s="18"/>
      <c r="M92" s="212"/>
      <c r="Q92" s="18"/>
      <c r="R92" s="212"/>
    </row>
    <row r="93" spans="5:20">
      <c r="J93" s="18"/>
      <c r="L93" s="18"/>
      <c r="M93" s="212"/>
      <c r="Q93" s="18"/>
      <c r="R93" s="212"/>
    </row>
    <row r="94" spans="5:20">
      <c r="J94" s="18"/>
      <c r="L94" s="18"/>
      <c r="M94" s="212"/>
      <c r="Q94" s="18"/>
      <c r="R94" s="212"/>
    </row>
    <row r="95" spans="5:20">
      <c r="J95" s="41"/>
      <c r="L95" s="18"/>
      <c r="M95" s="212"/>
      <c r="Q95" s="18"/>
      <c r="R95" s="212"/>
    </row>
    <row r="96" spans="5:20">
      <c r="J96" s="40"/>
      <c r="L96" s="18"/>
      <c r="M96" s="212"/>
      <c r="Q96" s="18"/>
      <c r="R96" s="212"/>
    </row>
    <row r="97" spans="5:20">
      <c r="J97" s="41"/>
      <c r="L97" s="18"/>
      <c r="M97" s="212"/>
      <c r="Q97" s="18"/>
      <c r="R97" s="212"/>
    </row>
    <row r="98" spans="5:20">
      <c r="J98" s="41"/>
      <c r="L98" s="18"/>
      <c r="M98" s="212"/>
      <c r="Q98" s="18"/>
      <c r="R98" s="212"/>
    </row>
    <row r="99" spans="5:20">
      <c r="J99" s="18"/>
      <c r="L99" s="18"/>
      <c r="M99" s="212"/>
      <c r="Q99" s="18"/>
      <c r="R99" s="212"/>
    </row>
    <row r="100" spans="5:20">
      <c r="J100" s="18"/>
      <c r="L100" s="18"/>
      <c r="M100" s="212"/>
      <c r="Q100" s="18"/>
      <c r="R100" s="212"/>
    </row>
    <row r="101" spans="5:20">
      <c r="J101" s="18"/>
      <c r="L101" s="18"/>
      <c r="M101" s="212"/>
      <c r="Q101" s="18"/>
      <c r="R101" s="212"/>
    </row>
    <row r="102" spans="5:20">
      <c r="J102" s="41"/>
      <c r="L102" s="18"/>
      <c r="M102" s="212"/>
      <c r="Q102" s="18"/>
      <c r="R102" s="212"/>
    </row>
    <row r="103" spans="5:20">
      <c r="J103" s="41"/>
      <c r="L103" s="18"/>
      <c r="M103" s="212"/>
      <c r="Q103" s="18"/>
      <c r="R103" s="212"/>
    </row>
    <row r="104" spans="5:20">
      <c r="J104" s="41"/>
      <c r="L104" s="18"/>
      <c r="M104" s="212"/>
      <c r="Q104" s="18"/>
      <c r="R104" s="212"/>
    </row>
    <row r="105" spans="5:20">
      <c r="J105" s="41"/>
      <c r="L105" s="18"/>
      <c r="M105" s="212"/>
      <c r="Q105" s="18"/>
      <c r="R105" s="212"/>
    </row>
    <row r="106" spans="5:20">
      <c r="J106" s="18"/>
      <c r="L106" s="18"/>
      <c r="M106" s="212"/>
      <c r="Q106" s="18"/>
      <c r="R106" s="212"/>
    </row>
    <row r="107" spans="5:20">
      <c r="E107" s="18"/>
      <c r="F107" s="18"/>
      <c r="G107" s="18"/>
      <c r="H107" s="18"/>
      <c r="I107" s="18"/>
      <c r="J107" s="18"/>
      <c r="K107" s="18"/>
      <c r="L107" s="18"/>
      <c r="M107" s="212"/>
      <c r="N107" s="18"/>
      <c r="O107" s="18"/>
      <c r="P107" s="18"/>
      <c r="Q107" s="18"/>
      <c r="R107" s="212"/>
      <c r="T107" s="18"/>
    </row>
    <row r="108" spans="5:20">
      <c r="E108" s="18"/>
      <c r="F108" s="18"/>
      <c r="G108" s="18"/>
      <c r="H108" s="18"/>
      <c r="I108" s="18"/>
      <c r="J108" s="18"/>
      <c r="K108" s="18"/>
      <c r="L108" s="18"/>
      <c r="M108" s="212"/>
      <c r="N108" s="18"/>
      <c r="O108" s="18"/>
      <c r="P108" s="18"/>
      <c r="Q108" s="18"/>
      <c r="R108" s="212"/>
      <c r="T108" s="18"/>
    </row>
    <row r="109" spans="5:20">
      <c r="E109" s="18"/>
      <c r="F109" s="18"/>
      <c r="G109" s="18"/>
      <c r="H109" s="18"/>
      <c r="I109" s="41"/>
      <c r="J109" s="41"/>
      <c r="K109" s="18"/>
      <c r="L109" s="18"/>
      <c r="M109" s="212"/>
      <c r="N109" s="18"/>
      <c r="O109" s="18"/>
      <c r="P109" s="18"/>
      <c r="Q109" s="18"/>
      <c r="R109" s="212"/>
      <c r="T109" s="18"/>
    </row>
    <row r="110" spans="5:20">
      <c r="E110" s="18"/>
      <c r="F110" s="18"/>
      <c r="G110" s="18"/>
      <c r="H110" s="18"/>
      <c r="I110" s="18"/>
      <c r="J110" s="18"/>
      <c r="K110" s="18"/>
      <c r="L110" s="18"/>
      <c r="M110" s="212"/>
      <c r="N110" s="18"/>
      <c r="O110" s="18"/>
      <c r="P110" s="18"/>
      <c r="Q110" s="18"/>
      <c r="R110" s="212"/>
      <c r="T110" s="18"/>
    </row>
    <row r="111" spans="5:20">
      <c r="E111" s="18"/>
      <c r="F111" s="18"/>
      <c r="G111" s="18"/>
      <c r="H111" s="18"/>
      <c r="I111" s="18"/>
      <c r="J111" s="18"/>
      <c r="K111" s="18"/>
      <c r="L111" s="18"/>
      <c r="M111" s="212"/>
      <c r="N111" s="18"/>
      <c r="O111" s="18"/>
      <c r="P111" s="18"/>
      <c r="Q111" s="18"/>
      <c r="R111" s="212"/>
      <c r="T111" s="18"/>
    </row>
    <row r="112" spans="5:20">
      <c r="E112" s="18"/>
      <c r="F112" s="18"/>
      <c r="G112" s="18"/>
      <c r="H112" s="18"/>
      <c r="I112" s="18"/>
      <c r="J112" s="18"/>
      <c r="K112" s="18"/>
      <c r="L112" s="18"/>
      <c r="M112" s="212"/>
      <c r="N112" s="18"/>
      <c r="O112" s="18"/>
      <c r="P112" s="18"/>
      <c r="Q112" s="18"/>
      <c r="R112" s="212"/>
      <c r="T112" s="18"/>
    </row>
    <row r="113" spans="5:20">
      <c r="E113" s="18"/>
      <c r="F113" s="18"/>
      <c r="G113" s="18"/>
      <c r="H113" s="18"/>
      <c r="I113" s="41"/>
      <c r="J113" s="41"/>
      <c r="K113" s="18"/>
      <c r="L113" s="18"/>
      <c r="M113" s="212"/>
      <c r="N113" s="18"/>
      <c r="O113" s="18"/>
      <c r="P113" s="18"/>
      <c r="Q113" s="18"/>
      <c r="R113" s="212"/>
      <c r="T113" s="18"/>
    </row>
    <row r="114" spans="5:20">
      <c r="E114" s="18"/>
      <c r="F114" s="18"/>
      <c r="G114" s="18"/>
      <c r="H114" s="18"/>
      <c r="I114" s="41"/>
      <c r="J114" s="41"/>
      <c r="K114" s="18"/>
      <c r="L114" s="18"/>
      <c r="M114" s="212"/>
      <c r="N114" s="18"/>
      <c r="O114" s="18"/>
      <c r="P114" s="18"/>
      <c r="Q114" s="18"/>
      <c r="R114" s="212"/>
      <c r="T114" s="18"/>
    </row>
    <row r="115" spans="5:20">
      <c r="E115" s="18"/>
      <c r="F115" s="18"/>
      <c r="G115" s="18"/>
      <c r="H115" s="18"/>
      <c r="I115" s="41"/>
      <c r="J115" s="41"/>
      <c r="K115" s="18"/>
      <c r="L115" s="18"/>
      <c r="M115" s="212"/>
      <c r="N115" s="18"/>
      <c r="O115" s="18"/>
      <c r="P115" s="18"/>
      <c r="Q115" s="18"/>
      <c r="R115" s="212"/>
      <c r="T115" s="18"/>
    </row>
    <row r="116" spans="5:20">
      <c r="E116" s="18"/>
      <c r="F116" s="18"/>
      <c r="G116" s="18"/>
      <c r="H116" s="18"/>
      <c r="I116" s="41"/>
      <c r="J116" s="41"/>
      <c r="K116" s="18"/>
      <c r="L116" s="18"/>
      <c r="M116" s="212"/>
      <c r="N116" s="18"/>
      <c r="O116" s="18"/>
      <c r="P116" s="18"/>
      <c r="Q116" s="18"/>
      <c r="R116" s="212"/>
      <c r="T116" s="18"/>
    </row>
    <row r="117" spans="5:20">
      <c r="E117" s="18"/>
      <c r="F117" s="18"/>
      <c r="G117" s="18"/>
      <c r="H117" s="18"/>
      <c r="I117" s="41"/>
      <c r="J117" s="41"/>
      <c r="K117" s="18"/>
      <c r="L117" s="18"/>
      <c r="M117" s="212"/>
      <c r="N117" s="18"/>
      <c r="O117" s="18"/>
      <c r="P117" s="18"/>
      <c r="Q117" s="18"/>
      <c r="R117" s="212"/>
      <c r="T117" s="18"/>
    </row>
    <row r="118" spans="5:20">
      <c r="E118" s="18"/>
      <c r="F118" s="18"/>
      <c r="G118" s="18"/>
      <c r="H118" s="18"/>
      <c r="I118" s="41"/>
      <c r="J118" s="41"/>
      <c r="K118" s="18"/>
      <c r="L118" s="18"/>
      <c r="M118" s="212"/>
      <c r="N118" s="18"/>
      <c r="O118" s="18"/>
      <c r="P118" s="18"/>
      <c r="Q118" s="18"/>
      <c r="R118" s="212"/>
      <c r="T118" s="18"/>
    </row>
    <row r="119" spans="5:20">
      <c r="E119" s="18"/>
      <c r="F119" s="18"/>
      <c r="G119" s="18"/>
      <c r="H119" s="18"/>
      <c r="I119" s="41"/>
      <c r="J119" s="41"/>
      <c r="K119" s="18"/>
      <c r="L119" s="18"/>
      <c r="M119" s="212"/>
      <c r="N119" s="18"/>
      <c r="O119" s="18"/>
      <c r="P119" s="18"/>
      <c r="Q119" s="18"/>
      <c r="R119" s="212"/>
      <c r="T119" s="18"/>
    </row>
    <row r="120" spans="5:20">
      <c r="E120" s="18"/>
      <c r="F120" s="18"/>
      <c r="G120" s="18"/>
      <c r="H120" s="18"/>
      <c r="I120" s="41"/>
      <c r="J120" s="41"/>
      <c r="K120" s="18"/>
      <c r="L120" s="18"/>
      <c r="M120" s="212"/>
      <c r="N120" s="18"/>
      <c r="O120" s="18"/>
      <c r="P120" s="18"/>
      <c r="Q120" s="18"/>
      <c r="R120" s="212"/>
      <c r="T120" s="18"/>
    </row>
    <row r="121" spans="5:20">
      <c r="E121" s="18"/>
      <c r="F121" s="18"/>
      <c r="G121" s="18"/>
      <c r="H121" s="18"/>
      <c r="I121" s="41"/>
      <c r="J121" s="41"/>
      <c r="K121" s="18"/>
      <c r="L121" s="18"/>
      <c r="M121" s="212"/>
      <c r="N121" s="18"/>
      <c r="O121" s="18"/>
      <c r="P121" s="18"/>
      <c r="Q121" s="18"/>
      <c r="R121" s="212"/>
      <c r="T121" s="18"/>
    </row>
    <row r="122" spans="5:20">
      <c r="E122" s="18"/>
      <c r="F122" s="18"/>
      <c r="G122" s="18"/>
      <c r="H122" s="18"/>
      <c r="I122" s="40"/>
      <c r="J122" s="40"/>
      <c r="K122" s="18"/>
      <c r="L122" s="18"/>
      <c r="M122" s="212"/>
      <c r="N122" s="18"/>
      <c r="O122" s="18"/>
      <c r="P122" s="18"/>
      <c r="Q122" s="18"/>
      <c r="R122" s="212"/>
      <c r="T122" s="18"/>
    </row>
    <row r="123" spans="5:20">
      <c r="E123" s="18"/>
      <c r="F123" s="18"/>
      <c r="G123" s="18"/>
      <c r="H123" s="18"/>
      <c r="I123" s="18"/>
      <c r="J123" s="18"/>
      <c r="K123" s="18"/>
      <c r="L123" s="18"/>
      <c r="M123" s="212"/>
      <c r="N123" s="18"/>
      <c r="O123" s="18"/>
      <c r="P123" s="18"/>
      <c r="Q123" s="18"/>
      <c r="R123" s="212"/>
      <c r="T123" s="18"/>
    </row>
    <row r="124" spans="5:20">
      <c r="E124" s="18"/>
      <c r="F124" s="18"/>
      <c r="G124" s="18"/>
      <c r="H124" s="18"/>
      <c r="I124" s="18"/>
      <c r="J124" s="18"/>
      <c r="K124" s="18"/>
      <c r="L124" s="18"/>
      <c r="M124" s="212"/>
      <c r="N124" s="18"/>
      <c r="O124" s="18"/>
      <c r="P124" s="18"/>
      <c r="Q124" s="18"/>
      <c r="R124" s="212"/>
      <c r="T124" s="18"/>
    </row>
    <row r="125" spans="5:20">
      <c r="E125" s="18"/>
      <c r="F125" s="18"/>
      <c r="G125" s="18"/>
      <c r="H125" s="18"/>
      <c r="I125" s="18"/>
      <c r="J125" s="18"/>
      <c r="K125" s="18"/>
      <c r="L125" s="18"/>
      <c r="M125" s="212"/>
      <c r="N125" s="18"/>
      <c r="O125" s="18"/>
      <c r="P125" s="18"/>
      <c r="Q125" s="18"/>
      <c r="R125" s="212"/>
      <c r="T125" s="18"/>
    </row>
    <row r="126" spans="5:20">
      <c r="E126" s="18"/>
      <c r="F126" s="18"/>
      <c r="G126" s="18"/>
      <c r="H126" s="18"/>
      <c r="I126" s="18"/>
      <c r="J126" s="18"/>
      <c r="K126" s="18"/>
      <c r="L126" s="18"/>
      <c r="M126" s="212"/>
      <c r="N126" s="18"/>
      <c r="O126" s="18"/>
      <c r="P126" s="18"/>
      <c r="Q126" s="18"/>
      <c r="R126" s="212"/>
      <c r="T126" s="18"/>
    </row>
    <row r="127" spans="5:20">
      <c r="E127" s="18"/>
      <c r="F127" s="18"/>
      <c r="G127" s="18"/>
      <c r="H127" s="18"/>
      <c r="I127" s="18"/>
      <c r="J127" s="18"/>
      <c r="K127" s="18"/>
      <c r="L127" s="18"/>
      <c r="M127" s="212"/>
      <c r="N127" s="18"/>
      <c r="O127" s="18"/>
      <c r="P127" s="18"/>
      <c r="Q127" s="18"/>
      <c r="R127" s="212"/>
      <c r="T127" s="18"/>
    </row>
    <row r="128" spans="5:20">
      <c r="E128" s="18"/>
      <c r="F128" s="18"/>
      <c r="G128" s="18"/>
      <c r="H128" s="18"/>
      <c r="I128" s="18"/>
      <c r="J128" s="18"/>
      <c r="K128" s="18"/>
      <c r="L128" s="18"/>
      <c r="M128" s="212"/>
      <c r="N128" s="18"/>
      <c r="O128" s="18"/>
      <c r="P128" s="18"/>
      <c r="Q128" s="18"/>
      <c r="R128" s="212"/>
      <c r="T128" s="18"/>
    </row>
    <row r="129" spans="5:20">
      <c r="E129" s="17"/>
      <c r="F129" s="17"/>
      <c r="G129" s="17"/>
      <c r="H129" s="17"/>
      <c r="I129" s="18"/>
      <c r="J129" s="18"/>
      <c r="K129" s="17"/>
      <c r="L129" s="18"/>
      <c r="M129" s="212"/>
      <c r="N129" s="17"/>
      <c r="O129" s="17"/>
      <c r="P129" s="17"/>
      <c r="Q129" s="18"/>
      <c r="R129" s="212"/>
      <c r="T129" s="17"/>
    </row>
    <row r="130" spans="5:20">
      <c r="E130" s="17"/>
      <c r="F130" s="17"/>
      <c r="G130" s="17"/>
      <c r="H130" s="17"/>
      <c r="I130" s="17"/>
      <c r="J130" s="17"/>
      <c r="K130" s="17"/>
      <c r="L130" s="17"/>
      <c r="M130" s="212"/>
      <c r="N130" s="17"/>
      <c r="O130" s="17"/>
      <c r="P130" s="17"/>
      <c r="Q130" s="17"/>
      <c r="R130" s="212"/>
      <c r="T130" s="17"/>
    </row>
    <row r="131" spans="5:20">
      <c r="E131" s="17"/>
      <c r="F131" s="17"/>
      <c r="G131" s="17"/>
      <c r="H131" s="17"/>
      <c r="I131" s="17"/>
      <c r="J131" s="17"/>
      <c r="K131" s="17"/>
      <c r="L131" s="17"/>
      <c r="M131" s="212"/>
      <c r="N131" s="17"/>
      <c r="O131" s="17"/>
      <c r="P131" s="17"/>
      <c r="Q131" s="17"/>
      <c r="R131" s="212"/>
      <c r="T131" s="17"/>
    </row>
    <row r="132" spans="5:20">
      <c r="E132" s="17"/>
      <c r="F132" s="17"/>
      <c r="G132" s="17"/>
      <c r="H132" s="17"/>
      <c r="I132" s="17"/>
      <c r="J132" s="17"/>
      <c r="K132" s="17"/>
      <c r="L132" s="17"/>
      <c r="M132" s="212"/>
      <c r="N132" s="17"/>
      <c r="O132" s="17"/>
      <c r="P132" s="17"/>
      <c r="Q132" s="17"/>
      <c r="R132" s="212"/>
      <c r="T132" s="17"/>
    </row>
    <row r="133" spans="5:20">
      <c r="E133" s="17"/>
      <c r="F133" s="17"/>
      <c r="G133" s="17"/>
      <c r="H133" s="17"/>
      <c r="I133" s="17"/>
      <c r="J133" s="17"/>
      <c r="K133" s="17"/>
      <c r="L133" s="17"/>
      <c r="M133" s="212"/>
      <c r="N133" s="17"/>
      <c r="O133" s="17"/>
      <c r="P133" s="17"/>
      <c r="Q133" s="17"/>
      <c r="R133" s="212"/>
      <c r="T133" s="17"/>
    </row>
    <row r="134" spans="5:20">
      <c r="E134" s="17"/>
      <c r="F134" s="17"/>
      <c r="G134" s="17"/>
      <c r="H134" s="17"/>
      <c r="I134" s="17"/>
      <c r="J134" s="17"/>
      <c r="K134" s="17"/>
      <c r="L134" s="17"/>
      <c r="M134" s="212"/>
      <c r="N134" s="17"/>
      <c r="O134" s="17"/>
      <c r="P134" s="17"/>
      <c r="Q134" s="17"/>
      <c r="R134" s="212"/>
      <c r="T134" s="17"/>
    </row>
    <row r="135" spans="5:20">
      <c r="E135" s="17"/>
      <c r="F135" s="17"/>
      <c r="G135" s="17"/>
      <c r="H135" s="17"/>
      <c r="I135" s="17"/>
      <c r="J135" s="17"/>
      <c r="K135" s="17"/>
      <c r="L135" s="17"/>
      <c r="M135" s="212"/>
      <c r="N135" s="17"/>
      <c r="O135" s="17"/>
      <c r="P135" s="17"/>
      <c r="Q135" s="17"/>
      <c r="R135" s="212"/>
      <c r="T135" s="17"/>
    </row>
    <row r="136" spans="5:20">
      <c r="E136" s="17"/>
      <c r="F136" s="17"/>
      <c r="G136" s="17"/>
      <c r="H136" s="17"/>
      <c r="I136" s="17"/>
      <c r="J136" s="17"/>
      <c r="K136" s="17"/>
      <c r="L136" s="17"/>
      <c r="M136" s="212"/>
      <c r="N136" s="17"/>
      <c r="O136" s="17"/>
      <c r="P136" s="17"/>
      <c r="Q136" s="17"/>
      <c r="R136" s="212"/>
      <c r="T136" s="17"/>
    </row>
    <row r="137" spans="5:20">
      <c r="E137" s="17"/>
      <c r="F137" s="17"/>
      <c r="G137" s="17"/>
      <c r="H137" s="17"/>
      <c r="I137" s="17"/>
      <c r="J137" s="17"/>
      <c r="K137" s="17"/>
      <c r="L137" s="17"/>
      <c r="M137" s="212"/>
      <c r="N137" s="17"/>
      <c r="O137" s="17"/>
      <c r="P137" s="17"/>
      <c r="Q137" s="17"/>
      <c r="R137" s="212"/>
      <c r="T137" s="17"/>
    </row>
    <row r="138" spans="5:20">
      <c r="E138" s="17"/>
      <c r="F138" s="17"/>
      <c r="G138" s="17"/>
      <c r="H138" s="17"/>
      <c r="I138" s="17"/>
      <c r="J138" s="17"/>
      <c r="K138" s="17"/>
      <c r="L138" s="17"/>
      <c r="M138" s="212"/>
      <c r="N138" s="17"/>
      <c r="O138" s="17"/>
      <c r="P138" s="17"/>
      <c r="Q138" s="17"/>
      <c r="R138" s="212"/>
      <c r="T138" s="17"/>
    </row>
    <row r="139" spans="5:20">
      <c r="E139" s="17"/>
      <c r="F139" s="17"/>
      <c r="G139" s="17"/>
      <c r="H139" s="17"/>
      <c r="I139" s="17"/>
      <c r="J139" s="17"/>
      <c r="K139" s="17"/>
      <c r="L139" s="17"/>
      <c r="M139" s="212"/>
      <c r="N139" s="17"/>
      <c r="O139" s="17"/>
      <c r="P139" s="17"/>
      <c r="Q139" s="17"/>
      <c r="R139" s="212"/>
      <c r="T139" s="17"/>
    </row>
    <row r="140" spans="5:20">
      <c r="E140" s="17"/>
      <c r="F140" s="17"/>
      <c r="G140" s="17"/>
      <c r="H140" s="17"/>
      <c r="I140" s="17"/>
      <c r="J140" s="17"/>
      <c r="K140" s="17"/>
      <c r="L140" s="17"/>
      <c r="M140" s="212"/>
      <c r="N140" s="17"/>
      <c r="O140" s="17"/>
      <c r="P140" s="17"/>
      <c r="Q140" s="17"/>
      <c r="R140" s="212"/>
      <c r="T140" s="17"/>
    </row>
    <row r="141" spans="5:20">
      <c r="E141" s="17"/>
      <c r="F141" s="17"/>
      <c r="G141" s="17"/>
      <c r="H141" s="17"/>
      <c r="I141" s="17"/>
      <c r="J141" s="17"/>
      <c r="K141" s="17"/>
      <c r="L141" s="17"/>
      <c r="M141" s="212"/>
      <c r="N141" s="17"/>
      <c r="O141" s="17"/>
      <c r="P141" s="17"/>
      <c r="Q141" s="17"/>
      <c r="R141" s="212"/>
      <c r="T141" s="17"/>
    </row>
    <row r="142" spans="5:20">
      <c r="E142" s="17"/>
      <c r="F142" s="17"/>
      <c r="G142" s="17"/>
      <c r="H142" s="17"/>
      <c r="I142" s="17"/>
      <c r="J142" s="17"/>
      <c r="K142" s="17"/>
      <c r="L142" s="17"/>
      <c r="M142" s="212"/>
      <c r="N142" s="17"/>
      <c r="O142" s="17"/>
      <c r="P142" s="17"/>
      <c r="Q142" s="17"/>
      <c r="R142" s="212"/>
      <c r="T142" s="17"/>
    </row>
    <row r="143" spans="5:20">
      <c r="E143" s="17"/>
      <c r="F143" s="17"/>
      <c r="G143" s="17"/>
      <c r="H143" s="17"/>
      <c r="I143" s="17"/>
      <c r="J143" s="17"/>
      <c r="K143" s="17"/>
      <c r="L143" s="17"/>
      <c r="M143" s="212"/>
      <c r="N143" s="17"/>
      <c r="O143" s="17"/>
      <c r="P143" s="17"/>
      <c r="Q143" s="17"/>
      <c r="R143" s="212"/>
      <c r="T143" s="17"/>
    </row>
    <row r="144" spans="5:20">
      <c r="E144" s="17"/>
      <c r="F144" s="17"/>
      <c r="G144" s="17"/>
      <c r="H144" s="17"/>
      <c r="I144" s="17"/>
      <c r="J144" s="17"/>
      <c r="K144" s="17"/>
      <c r="L144" s="17"/>
      <c r="M144" s="212"/>
      <c r="N144" s="17"/>
      <c r="O144" s="17"/>
      <c r="P144" s="17"/>
      <c r="Q144" s="17"/>
      <c r="R144" s="212"/>
      <c r="T144" s="17"/>
    </row>
    <row r="145" spans="5:20">
      <c r="E145" s="17"/>
      <c r="F145" s="17"/>
      <c r="G145" s="17"/>
      <c r="H145" s="17"/>
      <c r="I145" s="17"/>
      <c r="J145" s="17"/>
      <c r="K145" s="17"/>
      <c r="L145" s="17"/>
      <c r="M145" s="212"/>
      <c r="N145" s="17"/>
      <c r="O145" s="17"/>
      <c r="P145" s="17"/>
      <c r="Q145" s="17"/>
      <c r="R145" s="212"/>
      <c r="T145" s="17"/>
    </row>
    <row r="146" spans="5:20">
      <c r="E146" s="17"/>
      <c r="F146" s="17"/>
      <c r="G146" s="17"/>
      <c r="H146" s="17"/>
      <c r="I146" s="17"/>
      <c r="J146" s="17"/>
      <c r="K146" s="17"/>
      <c r="L146" s="17"/>
      <c r="M146" s="212"/>
      <c r="N146" s="17"/>
      <c r="O146" s="17"/>
      <c r="P146" s="17"/>
      <c r="Q146" s="17"/>
      <c r="R146" s="212"/>
      <c r="T146" s="17"/>
    </row>
    <row r="147" spans="5:20">
      <c r="E147" s="17"/>
      <c r="F147" s="17"/>
      <c r="G147" s="17"/>
      <c r="H147" s="17"/>
      <c r="I147" s="17"/>
      <c r="J147" s="17"/>
      <c r="K147" s="17"/>
      <c r="L147" s="17"/>
      <c r="M147" s="212"/>
      <c r="N147" s="17"/>
      <c r="O147" s="17"/>
      <c r="P147" s="17"/>
      <c r="Q147" s="17"/>
      <c r="R147" s="212"/>
      <c r="T147" s="17"/>
    </row>
    <row r="148" spans="5:20">
      <c r="E148" s="17"/>
      <c r="F148" s="17"/>
      <c r="G148" s="17"/>
      <c r="H148" s="17"/>
      <c r="I148" s="17"/>
      <c r="J148" s="17"/>
      <c r="K148" s="17"/>
      <c r="L148" s="17"/>
      <c r="M148" s="212"/>
      <c r="N148" s="17"/>
      <c r="O148" s="17"/>
      <c r="P148" s="17"/>
      <c r="Q148" s="17"/>
      <c r="R148" s="212"/>
      <c r="T148" s="17"/>
    </row>
    <row r="149" spans="5:20">
      <c r="E149" s="17"/>
      <c r="F149" s="17"/>
      <c r="G149" s="17"/>
      <c r="H149" s="17"/>
      <c r="I149" s="17"/>
      <c r="J149" s="17"/>
      <c r="K149" s="17"/>
      <c r="L149" s="17"/>
      <c r="M149" s="212"/>
      <c r="N149" s="17"/>
      <c r="O149" s="17"/>
      <c r="P149" s="17"/>
      <c r="Q149" s="17"/>
      <c r="R149" s="212"/>
      <c r="T149" s="17"/>
    </row>
    <row r="150" spans="5:20">
      <c r="E150" s="17"/>
      <c r="F150" s="17"/>
      <c r="G150" s="17"/>
      <c r="H150" s="17"/>
      <c r="I150" s="17"/>
      <c r="J150" s="17"/>
      <c r="K150" s="17"/>
      <c r="L150" s="17"/>
      <c r="M150" s="212"/>
      <c r="N150" s="17"/>
      <c r="O150" s="17"/>
      <c r="P150" s="17"/>
      <c r="Q150" s="17"/>
      <c r="R150" s="212"/>
      <c r="T150" s="17"/>
    </row>
    <row r="151" spans="5:20">
      <c r="E151" s="17"/>
      <c r="F151" s="17"/>
      <c r="G151" s="17"/>
      <c r="H151" s="17"/>
      <c r="I151" s="17"/>
      <c r="J151" s="17"/>
      <c r="K151" s="17"/>
      <c r="L151" s="17"/>
      <c r="M151" s="212"/>
      <c r="N151" s="17"/>
      <c r="O151" s="17"/>
      <c r="P151" s="17"/>
      <c r="Q151" s="17"/>
      <c r="R151" s="212"/>
      <c r="T151" s="17"/>
    </row>
    <row r="152" spans="5:20">
      <c r="E152" s="17"/>
      <c r="F152" s="17"/>
      <c r="G152" s="17"/>
      <c r="H152" s="17"/>
      <c r="I152" s="17"/>
      <c r="J152" s="17"/>
      <c r="K152" s="17"/>
      <c r="L152" s="17"/>
      <c r="M152" s="212"/>
      <c r="N152" s="17"/>
      <c r="O152" s="17"/>
      <c r="P152" s="17"/>
      <c r="Q152" s="17"/>
      <c r="R152" s="212"/>
      <c r="T152" s="17"/>
    </row>
    <row r="153" spans="5:20">
      <c r="E153" s="17"/>
      <c r="F153" s="17"/>
      <c r="G153" s="17"/>
      <c r="H153" s="17"/>
      <c r="I153" s="17"/>
      <c r="J153" s="17"/>
      <c r="K153" s="17"/>
      <c r="L153" s="17"/>
      <c r="M153" s="212"/>
      <c r="N153" s="17"/>
      <c r="O153" s="17"/>
      <c r="P153" s="17"/>
      <c r="Q153" s="17"/>
      <c r="R153" s="212"/>
      <c r="T153" s="17"/>
    </row>
    <row r="154" spans="5:20">
      <c r="E154" s="17"/>
      <c r="F154" s="17"/>
      <c r="G154" s="17"/>
      <c r="H154" s="17"/>
      <c r="I154" s="17"/>
      <c r="J154" s="17"/>
      <c r="K154" s="17"/>
      <c r="L154" s="17"/>
      <c r="M154" s="212"/>
      <c r="N154" s="17"/>
      <c r="O154" s="17"/>
      <c r="P154" s="17"/>
      <c r="Q154" s="17"/>
      <c r="R154" s="212"/>
      <c r="T154" s="17"/>
    </row>
    <row r="155" spans="5:20">
      <c r="E155" s="17"/>
      <c r="F155" s="17"/>
      <c r="G155" s="17"/>
      <c r="H155" s="17"/>
      <c r="I155" s="17"/>
      <c r="J155" s="17"/>
      <c r="K155" s="17"/>
      <c r="L155" s="17"/>
      <c r="M155" s="212"/>
      <c r="N155" s="17"/>
      <c r="O155" s="17"/>
      <c r="P155" s="17"/>
      <c r="Q155" s="17"/>
      <c r="R155" s="212"/>
      <c r="T155" s="17"/>
    </row>
    <row r="156" spans="5:20">
      <c r="E156" s="17"/>
      <c r="F156" s="17"/>
      <c r="G156" s="17"/>
      <c r="H156" s="17"/>
      <c r="I156" s="17"/>
      <c r="J156" s="17"/>
      <c r="K156" s="17"/>
      <c r="L156" s="17"/>
      <c r="M156" s="212"/>
      <c r="N156" s="17"/>
      <c r="O156" s="17"/>
      <c r="P156" s="17"/>
      <c r="Q156" s="17"/>
      <c r="R156" s="212"/>
      <c r="T156" s="17"/>
    </row>
    <row r="157" spans="5:20">
      <c r="E157" s="17"/>
      <c r="F157" s="17"/>
      <c r="G157" s="17"/>
      <c r="H157" s="17"/>
      <c r="I157" s="17"/>
      <c r="J157" s="17"/>
      <c r="K157" s="17"/>
      <c r="L157" s="17"/>
      <c r="M157" s="212"/>
      <c r="N157" s="17"/>
      <c r="O157" s="17"/>
      <c r="P157" s="17"/>
      <c r="Q157" s="17"/>
      <c r="R157" s="212"/>
      <c r="T157" s="17"/>
    </row>
    <row r="158" spans="5:20">
      <c r="E158" s="17"/>
      <c r="F158" s="17"/>
      <c r="G158" s="17"/>
      <c r="H158" s="17"/>
      <c r="I158" s="17"/>
      <c r="J158" s="17"/>
      <c r="K158" s="17"/>
      <c r="L158" s="17"/>
      <c r="M158" s="212"/>
      <c r="N158" s="17"/>
      <c r="O158" s="17"/>
      <c r="P158" s="17"/>
      <c r="Q158" s="17"/>
      <c r="R158" s="212"/>
      <c r="T158" s="17"/>
    </row>
    <row r="159" spans="5:20">
      <c r="E159" s="17"/>
      <c r="F159" s="17"/>
      <c r="G159" s="17"/>
      <c r="H159" s="17"/>
      <c r="I159" s="17"/>
      <c r="J159" s="17"/>
      <c r="K159" s="17"/>
      <c r="L159" s="17"/>
      <c r="M159" s="212"/>
      <c r="N159" s="17"/>
      <c r="O159" s="17"/>
      <c r="P159" s="17"/>
      <c r="Q159" s="17"/>
      <c r="R159" s="212"/>
      <c r="T159" s="17"/>
    </row>
    <row r="160" spans="5:20">
      <c r="E160" s="17"/>
      <c r="F160" s="17"/>
      <c r="G160" s="17"/>
      <c r="H160" s="17"/>
      <c r="I160" s="17"/>
      <c r="J160" s="17"/>
      <c r="K160" s="17"/>
      <c r="L160" s="17"/>
      <c r="M160" s="212"/>
      <c r="N160" s="17"/>
      <c r="O160" s="17"/>
      <c r="P160" s="17"/>
      <c r="Q160" s="17"/>
      <c r="R160" s="212"/>
      <c r="T160" s="17"/>
    </row>
    <row r="161" spans="5:20">
      <c r="E161" s="17"/>
      <c r="F161" s="17"/>
      <c r="G161" s="17"/>
      <c r="H161" s="17"/>
      <c r="I161" s="17"/>
      <c r="J161" s="17"/>
      <c r="K161" s="17"/>
      <c r="L161" s="17"/>
      <c r="M161" s="212"/>
      <c r="N161" s="17"/>
      <c r="O161" s="17"/>
      <c r="P161" s="17"/>
      <c r="Q161" s="17"/>
      <c r="R161" s="212"/>
      <c r="T161" s="17"/>
    </row>
    <row r="162" spans="5:20">
      <c r="E162" s="17"/>
      <c r="F162" s="17"/>
      <c r="G162" s="17"/>
      <c r="H162" s="17"/>
      <c r="I162" s="17"/>
      <c r="J162" s="17"/>
      <c r="K162" s="17"/>
      <c r="L162" s="17"/>
      <c r="M162" s="212"/>
      <c r="N162" s="17"/>
      <c r="O162" s="17"/>
      <c r="P162" s="17"/>
      <c r="Q162" s="17"/>
      <c r="R162" s="212"/>
      <c r="T162" s="17"/>
    </row>
    <row r="163" spans="5:20">
      <c r="E163" s="17"/>
      <c r="F163" s="17"/>
      <c r="G163" s="17"/>
      <c r="H163" s="17"/>
      <c r="I163" s="17"/>
      <c r="J163" s="17"/>
      <c r="K163" s="17"/>
      <c r="L163" s="17"/>
      <c r="M163" s="212"/>
      <c r="N163" s="17"/>
      <c r="O163" s="17"/>
      <c r="P163" s="17"/>
      <c r="Q163" s="17"/>
      <c r="R163" s="212"/>
      <c r="T163" s="17"/>
    </row>
    <row r="164" spans="5:20">
      <c r="E164" s="17"/>
      <c r="F164" s="17"/>
      <c r="G164" s="17"/>
      <c r="H164" s="17"/>
      <c r="I164" s="17"/>
      <c r="J164" s="17"/>
      <c r="K164" s="17"/>
      <c r="L164" s="17"/>
      <c r="M164" s="212"/>
      <c r="N164" s="17"/>
      <c r="O164" s="17"/>
      <c r="P164" s="17"/>
      <c r="Q164" s="17"/>
      <c r="R164" s="212"/>
      <c r="T164" s="17"/>
    </row>
    <row r="165" spans="5:20">
      <c r="E165" s="17"/>
      <c r="F165" s="17"/>
      <c r="G165" s="17"/>
      <c r="H165" s="17"/>
      <c r="I165" s="17"/>
      <c r="J165" s="17"/>
      <c r="K165" s="17"/>
      <c r="L165" s="17"/>
      <c r="M165" s="212"/>
      <c r="N165" s="17"/>
      <c r="O165" s="17"/>
      <c r="P165" s="17"/>
      <c r="Q165" s="17"/>
      <c r="R165" s="212"/>
      <c r="T165" s="17"/>
    </row>
    <row r="166" spans="5:20">
      <c r="E166" s="17"/>
      <c r="F166" s="17"/>
      <c r="G166" s="17"/>
      <c r="H166" s="17"/>
      <c r="I166" s="17"/>
      <c r="J166" s="17"/>
      <c r="K166" s="17"/>
      <c r="L166" s="17"/>
      <c r="M166" s="212"/>
      <c r="N166" s="17"/>
      <c r="O166" s="17"/>
      <c r="P166" s="17"/>
      <c r="Q166" s="17"/>
      <c r="R166" s="212"/>
      <c r="T166" s="17"/>
    </row>
    <row r="167" spans="5:20">
      <c r="E167" s="17"/>
      <c r="F167" s="17"/>
      <c r="G167" s="17"/>
      <c r="H167" s="17"/>
      <c r="I167" s="17"/>
      <c r="J167" s="17"/>
      <c r="K167" s="17"/>
      <c r="L167" s="17"/>
      <c r="M167" s="212"/>
      <c r="N167" s="17"/>
      <c r="O167" s="17"/>
      <c r="P167" s="17"/>
      <c r="Q167" s="17"/>
      <c r="R167" s="212"/>
      <c r="T167" s="17"/>
    </row>
    <row r="168" spans="5:20">
      <c r="E168" s="17"/>
      <c r="F168" s="17"/>
      <c r="G168" s="17"/>
      <c r="H168" s="17"/>
      <c r="I168" s="17"/>
      <c r="J168" s="17"/>
      <c r="K168" s="17"/>
      <c r="L168" s="17"/>
      <c r="M168" s="212"/>
      <c r="N168" s="17"/>
      <c r="O168" s="17"/>
      <c r="P168" s="17"/>
      <c r="Q168" s="17"/>
      <c r="R168" s="212"/>
      <c r="T168" s="17"/>
    </row>
    <row r="169" spans="5:20">
      <c r="E169" s="17"/>
      <c r="F169" s="17"/>
      <c r="G169" s="17"/>
      <c r="H169" s="17"/>
      <c r="I169" s="17"/>
      <c r="J169" s="17"/>
      <c r="K169" s="17"/>
      <c r="L169" s="17"/>
      <c r="M169" s="212"/>
      <c r="N169" s="17"/>
      <c r="O169" s="17"/>
      <c r="P169" s="17"/>
      <c r="Q169" s="17"/>
      <c r="R169" s="212"/>
      <c r="T169" s="17"/>
    </row>
    <row r="170" spans="5:20">
      <c r="E170" s="17"/>
      <c r="F170" s="17"/>
      <c r="G170" s="17"/>
      <c r="H170" s="17"/>
      <c r="I170" s="17"/>
      <c r="J170" s="17"/>
      <c r="K170" s="17"/>
      <c r="L170" s="17"/>
      <c r="M170" s="212"/>
      <c r="N170" s="17"/>
      <c r="O170" s="17"/>
      <c r="P170" s="17"/>
      <c r="Q170" s="17"/>
      <c r="R170" s="212"/>
      <c r="T170" s="17"/>
    </row>
    <row r="171" spans="5:20">
      <c r="E171" s="17"/>
      <c r="F171" s="17"/>
      <c r="G171" s="17"/>
      <c r="H171" s="17"/>
      <c r="I171" s="17"/>
      <c r="J171" s="17"/>
      <c r="K171" s="17"/>
      <c r="L171" s="17"/>
      <c r="M171" s="212"/>
      <c r="N171" s="17"/>
      <c r="O171" s="17"/>
      <c r="P171" s="17"/>
      <c r="Q171" s="17"/>
      <c r="R171" s="212"/>
      <c r="T171" s="17"/>
    </row>
    <row r="172" spans="5:20">
      <c r="E172" s="17"/>
      <c r="F172" s="17"/>
      <c r="G172" s="17"/>
      <c r="H172" s="17"/>
      <c r="I172" s="17"/>
      <c r="J172" s="17"/>
      <c r="K172" s="17"/>
      <c r="L172" s="17"/>
      <c r="M172" s="212"/>
      <c r="N172" s="17"/>
      <c r="O172" s="17"/>
      <c r="P172" s="17"/>
      <c r="Q172" s="17"/>
      <c r="R172" s="212"/>
      <c r="T172" s="17"/>
    </row>
    <row r="173" spans="5:20">
      <c r="E173" s="17"/>
      <c r="F173" s="17"/>
      <c r="G173" s="17"/>
      <c r="H173" s="17"/>
      <c r="I173" s="17"/>
      <c r="J173" s="17"/>
      <c r="K173" s="17"/>
      <c r="L173" s="17"/>
      <c r="M173" s="212"/>
      <c r="N173" s="17"/>
      <c r="O173" s="17"/>
      <c r="P173" s="17"/>
      <c r="Q173" s="17"/>
      <c r="R173" s="212"/>
      <c r="T173" s="17"/>
    </row>
    <row r="174" spans="5:20">
      <c r="E174" s="17"/>
      <c r="F174" s="17"/>
      <c r="G174" s="17"/>
      <c r="H174" s="17"/>
      <c r="I174" s="17"/>
      <c r="J174" s="17"/>
      <c r="K174" s="17"/>
      <c r="L174" s="17"/>
      <c r="M174" s="212"/>
      <c r="N174" s="17"/>
      <c r="O174" s="17"/>
      <c r="P174" s="17"/>
      <c r="Q174" s="17"/>
      <c r="R174" s="212"/>
      <c r="T174" s="17"/>
    </row>
    <row r="175" spans="5:20">
      <c r="E175" s="17"/>
      <c r="F175" s="17"/>
      <c r="G175" s="17"/>
      <c r="H175" s="17"/>
      <c r="I175" s="17"/>
      <c r="J175" s="17"/>
      <c r="K175" s="17"/>
      <c r="L175" s="17"/>
      <c r="M175" s="212"/>
      <c r="N175" s="17"/>
      <c r="O175" s="17"/>
      <c r="P175" s="17"/>
      <c r="Q175" s="17"/>
      <c r="R175" s="212"/>
      <c r="T175" s="17"/>
    </row>
    <row r="176" spans="5:20">
      <c r="E176" s="17"/>
      <c r="F176" s="17"/>
      <c r="G176" s="17"/>
      <c r="H176" s="17"/>
      <c r="I176" s="17"/>
      <c r="J176" s="17"/>
      <c r="K176" s="17"/>
      <c r="L176" s="17"/>
      <c r="M176" s="212"/>
      <c r="N176" s="17"/>
      <c r="O176" s="17"/>
      <c r="P176" s="17"/>
      <c r="Q176" s="17"/>
      <c r="R176" s="212"/>
      <c r="T176" s="17"/>
    </row>
    <row r="177" spans="5:20">
      <c r="E177" s="17"/>
      <c r="F177" s="17"/>
      <c r="G177" s="17"/>
      <c r="H177" s="17"/>
      <c r="I177" s="17"/>
      <c r="J177" s="17"/>
      <c r="K177" s="17"/>
      <c r="L177" s="17"/>
      <c r="M177" s="212"/>
      <c r="N177" s="17"/>
      <c r="O177" s="17"/>
      <c r="P177" s="17"/>
      <c r="Q177" s="17"/>
      <c r="R177" s="212"/>
      <c r="T177" s="17"/>
    </row>
    <row r="178" spans="5:20">
      <c r="E178" s="17"/>
      <c r="F178" s="17"/>
      <c r="G178" s="17"/>
      <c r="H178" s="17"/>
      <c r="I178" s="17"/>
      <c r="J178" s="17"/>
      <c r="K178" s="17"/>
      <c r="L178" s="17"/>
      <c r="M178" s="212"/>
      <c r="N178" s="17"/>
      <c r="O178" s="17"/>
      <c r="P178" s="17"/>
      <c r="Q178" s="17"/>
      <c r="R178" s="212"/>
      <c r="T178" s="17"/>
    </row>
    <row r="179" spans="5:20">
      <c r="E179" s="17"/>
      <c r="F179" s="17"/>
      <c r="G179" s="17"/>
      <c r="H179" s="17"/>
      <c r="I179" s="17"/>
      <c r="J179" s="17"/>
      <c r="K179" s="17"/>
      <c r="L179" s="17"/>
      <c r="M179" s="212"/>
      <c r="N179" s="17"/>
      <c r="O179" s="17"/>
      <c r="P179" s="17"/>
      <c r="Q179" s="17"/>
      <c r="R179" s="212"/>
      <c r="T179" s="17"/>
    </row>
    <row r="180" spans="5:20">
      <c r="E180" s="17"/>
      <c r="F180" s="17"/>
      <c r="G180" s="17"/>
      <c r="H180" s="17"/>
      <c r="I180" s="17"/>
      <c r="J180" s="17"/>
      <c r="K180" s="17"/>
      <c r="L180" s="17"/>
      <c r="M180" s="212"/>
      <c r="N180" s="17"/>
      <c r="O180" s="17"/>
      <c r="P180" s="17"/>
      <c r="Q180" s="17"/>
      <c r="R180" s="212"/>
      <c r="T180" s="17"/>
    </row>
    <row r="181" spans="5:20">
      <c r="E181" s="17"/>
      <c r="F181" s="17"/>
      <c r="G181" s="17"/>
      <c r="H181" s="17"/>
      <c r="I181" s="17"/>
      <c r="J181" s="17"/>
      <c r="K181" s="17"/>
      <c r="L181" s="17"/>
      <c r="M181" s="212"/>
      <c r="N181" s="17"/>
      <c r="O181" s="17"/>
      <c r="P181" s="17"/>
      <c r="Q181" s="17"/>
      <c r="R181" s="212"/>
      <c r="T181" s="17"/>
    </row>
    <row r="182" spans="5:20">
      <c r="E182" s="17"/>
      <c r="F182" s="17"/>
      <c r="G182" s="17"/>
      <c r="H182" s="17"/>
      <c r="I182" s="17"/>
      <c r="J182" s="17"/>
      <c r="K182" s="17"/>
      <c r="L182" s="17"/>
      <c r="M182" s="212"/>
      <c r="N182" s="17"/>
      <c r="O182" s="17"/>
      <c r="P182" s="17"/>
      <c r="Q182" s="17"/>
      <c r="R182" s="212"/>
      <c r="T182" s="17"/>
    </row>
    <row r="183" spans="5:20">
      <c r="E183" s="17"/>
      <c r="F183" s="17"/>
      <c r="G183" s="17"/>
      <c r="H183" s="17"/>
      <c r="I183" s="17"/>
      <c r="J183" s="17"/>
      <c r="K183" s="17"/>
      <c r="L183" s="17"/>
      <c r="M183" s="212"/>
      <c r="N183" s="17"/>
      <c r="O183" s="17"/>
      <c r="P183" s="17"/>
      <c r="Q183" s="17"/>
      <c r="R183" s="212"/>
      <c r="T183" s="17"/>
    </row>
    <row r="184" spans="5:20">
      <c r="E184" s="17"/>
      <c r="F184" s="17"/>
      <c r="G184" s="17"/>
      <c r="H184" s="17"/>
      <c r="I184" s="17"/>
      <c r="J184" s="17"/>
      <c r="K184" s="17"/>
      <c r="L184" s="17"/>
      <c r="M184" s="212"/>
      <c r="N184" s="17"/>
      <c r="O184" s="17"/>
      <c r="P184" s="17"/>
      <c r="Q184" s="17"/>
      <c r="R184" s="212"/>
      <c r="T184" s="17"/>
    </row>
    <row r="185" spans="5:20">
      <c r="E185" s="17"/>
      <c r="F185" s="17"/>
      <c r="G185" s="17"/>
      <c r="H185" s="17"/>
      <c r="I185" s="17"/>
      <c r="J185" s="17"/>
      <c r="K185" s="17"/>
      <c r="L185" s="17"/>
      <c r="M185" s="212"/>
      <c r="N185" s="17"/>
      <c r="O185" s="17"/>
      <c r="P185" s="17"/>
      <c r="Q185" s="17"/>
      <c r="R185" s="212"/>
      <c r="T185" s="17"/>
    </row>
    <row r="186" spans="5:20">
      <c r="E186" s="17"/>
      <c r="F186" s="17"/>
      <c r="G186" s="17"/>
      <c r="H186" s="17"/>
      <c r="I186" s="17"/>
      <c r="J186" s="17"/>
      <c r="K186" s="17"/>
      <c r="L186" s="17"/>
      <c r="M186" s="212"/>
      <c r="N186" s="17"/>
      <c r="O186" s="17"/>
      <c r="P186" s="17"/>
      <c r="Q186" s="17"/>
      <c r="R186" s="212"/>
      <c r="T186" s="17"/>
    </row>
    <row r="187" spans="5:20">
      <c r="E187" s="17"/>
      <c r="F187" s="17"/>
      <c r="G187" s="17"/>
      <c r="H187" s="17"/>
      <c r="I187" s="17"/>
      <c r="J187" s="17"/>
      <c r="K187" s="17"/>
      <c r="L187" s="17"/>
      <c r="M187" s="212"/>
      <c r="N187" s="17"/>
      <c r="O187" s="17"/>
      <c r="P187" s="17"/>
      <c r="Q187" s="17"/>
      <c r="R187" s="212"/>
      <c r="T187" s="17"/>
    </row>
    <row r="188" spans="5:20">
      <c r="E188" s="17"/>
      <c r="F188" s="17"/>
      <c r="G188" s="17"/>
      <c r="H188" s="17"/>
      <c r="I188" s="17"/>
      <c r="J188" s="17"/>
      <c r="K188" s="17"/>
      <c r="L188" s="17"/>
      <c r="M188" s="212"/>
      <c r="N188" s="17"/>
      <c r="O188" s="17"/>
      <c r="P188" s="17"/>
      <c r="Q188" s="17"/>
      <c r="R188" s="212"/>
      <c r="T188" s="17"/>
    </row>
    <row r="189" spans="5:20">
      <c r="E189" s="17"/>
      <c r="F189" s="17"/>
      <c r="G189" s="17"/>
      <c r="H189" s="17"/>
      <c r="I189" s="17"/>
      <c r="J189" s="17"/>
      <c r="K189" s="17"/>
      <c r="L189" s="17"/>
      <c r="M189" s="212"/>
      <c r="N189" s="17"/>
      <c r="O189" s="17"/>
      <c r="P189" s="17"/>
      <c r="Q189" s="17"/>
      <c r="R189" s="212"/>
      <c r="T189" s="17"/>
    </row>
    <row r="190" spans="5:20">
      <c r="E190" s="17"/>
      <c r="F190" s="17"/>
      <c r="G190" s="17"/>
      <c r="H190" s="17"/>
      <c r="I190" s="17"/>
      <c r="J190" s="17"/>
      <c r="K190" s="17"/>
      <c r="L190" s="17"/>
      <c r="M190" s="212"/>
      <c r="N190" s="17"/>
      <c r="O190" s="17"/>
      <c r="P190" s="17"/>
      <c r="Q190" s="17"/>
      <c r="R190" s="212"/>
      <c r="T190" s="17"/>
    </row>
    <row r="191" spans="5:20">
      <c r="E191" s="17"/>
      <c r="F191" s="17"/>
      <c r="G191" s="17"/>
      <c r="H191" s="17"/>
      <c r="I191" s="17"/>
      <c r="J191" s="17"/>
      <c r="K191" s="17"/>
      <c r="L191" s="17"/>
      <c r="M191" s="212"/>
      <c r="N191" s="17"/>
      <c r="O191" s="17"/>
      <c r="P191" s="17"/>
      <c r="Q191" s="17"/>
      <c r="R191" s="212"/>
      <c r="T191" s="17"/>
    </row>
    <row r="192" spans="5:20">
      <c r="E192" s="17"/>
      <c r="F192" s="17"/>
      <c r="G192" s="17"/>
      <c r="H192" s="17"/>
      <c r="I192" s="17"/>
      <c r="J192" s="17"/>
      <c r="K192" s="17"/>
      <c r="L192" s="17"/>
      <c r="M192" s="212"/>
      <c r="N192" s="17"/>
      <c r="O192" s="17"/>
      <c r="P192" s="17"/>
      <c r="Q192" s="17"/>
      <c r="R192" s="212"/>
      <c r="T192" s="17"/>
    </row>
    <row r="193" spans="5:20">
      <c r="E193" s="17"/>
      <c r="F193" s="17"/>
      <c r="G193" s="17"/>
      <c r="H193" s="17"/>
      <c r="I193" s="17"/>
      <c r="J193" s="17"/>
      <c r="K193" s="17"/>
      <c r="L193" s="17"/>
      <c r="M193" s="212"/>
      <c r="N193" s="17"/>
      <c r="O193" s="17"/>
      <c r="P193" s="17"/>
      <c r="Q193" s="17"/>
      <c r="R193" s="212"/>
      <c r="T193" s="17"/>
    </row>
    <row r="194" spans="5:20">
      <c r="E194" s="17"/>
      <c r="F194" s="17"/>
      <c r="G194" s="17"/>
      <c r="H194" s="17"/>
      <c r="I194" s="17"/>
      <c r="J194" s="17"/>
      <c r="K194" s="17"/>
      <c r="L194" s="17"/>
      <c r="M194" s="212"/>
      <c r="N194" s="17"/>
      <c r="O194" s="17"/>
      <c r="P194" s="17"/>
      <c r="Q194" s="17"/>
      <c r="R194" s="212"/>
      <c r="T194" s="17"/>
    </row>
    <row r="195" spans="5:20">
      <c r="E195" s="17"/>
      <c r="F195" s="17"/>
      <c r="G195" s="17"/>
      <c r="H195" s="17"/>
      <c r="I195" s="17"/>
      <c r="J195" s="17"/>
      <c r="K195" s="17"/>
      <c r="L195" s="17"/>
      <c r="M195" s="212"/>
      <c r="N195" s="17"/>
      <c r="O195" s="17"/>
      <c r="P195" s="17"/>
      <c r="Q195" s="17"/>
      <c r="R195" s="212"/>
      <c r="T195" s="17"/>
    </row>
    <row r="196" spans="5:20">
      <c r="E196" s="17"/>
      <c r="F196" s="17"/>
      <c r="G196" s="17"/>
      <c r="H196" s="17"/>
      <c r="I196" s="17"/>
      <c r="J196" s="17"/>
      <c r="K196" s="17"/>
      <c r="L196" s="17"/>
      <c r="M196" s="212"/>
      <c r="N196" s="17"/>
      <c r="O196" s="17"/>
      <c r="P196" s="17"/>
      <c r="Q196" s="17"/>
      <c r="R196" s="212"/>
      <c r="T196" s="17"/>
    </row>
    <row r="197" spans="5:20">
      <c r="E197" s="17"/>
      <c r="F197" s="17"/>
      <c r="G197" s="17"/>
      <c r="H197" s="17"/>
      <c r="I197" s="17"/>
      <c r="J197" s="17"/>
      <c r="K197" s="17"/>
      <c r="L197" s="17"/>
      <c r="M197" s="212"/>
      <c r="N197" s="17"/>
      <c r="O197" s="17"/>
      <c r="P197" s="17"/>
      <c r="Q197" s="17"/>
      <c r="R197" s="212"/>
      <c r="T197" s="17"/>
    </row>
    <row r="198" spans="5:20">
      <c r="E198" s="17"/>
      <c r="F198" s="17"/>
      <c r="G198" s="17"/>
      <c r="H198" s="17"/>
      <c r="I198" s="17"/>
      <c r="J198" s="17"/>
      <c r="K198" s="17"/>
      <c r="L198" s="17"/>
      <c r="M198" s="212"/>
      <c r="N198" s="17"/>
      <c r="O198" s="17"/>
      <c r="P198" s="17"/>
      <c r="Q198" s="17"/>
      <c r="R198" s="212"/>
      <c r="T198" s="17"/>
    </row>
    <row r="199" spans="5:20">
      <c r="E199" s="17"/>
      <c r="F199" s="17"/>
      <c r="G199" s="17"/>
      <c r="H199" s="17"/>
      <c r="I199" s="17"/>
      <c r="J199" s="17"/>
      <c r="K199" s="17"/>
      <c r="L199" s="17"/>
      <c r="M199" s="212"/>
      <c r="N199" s="17"/>
      <c r="O199" s="17"/>
      <c r="P199" s="17"/>
      <c r="Q199" s="17"/>
      <c r="R199" s="212"/>
      <c r="T199" s="17"/>
    </row>
    <row r="200" spans="5:20">
      <c r="E200" s="17"/>
      <c r="F200" s="17"/>
      <c r="G200" s="17"/>
      <c r="H200" s="17"/>
      <c r="I200" s="17"/>
      <c r="J200" s="17"/>
      <c r="K200" s="17"/>
      <c r="L200" s="17"/>
      <c r="M200" s="212"/>
      <c r="N200" s="17"/>
      <c r="O200" s="17"/>
      <c r="P200" s="17"/>
      <c r="Q200" s="17"/>
      <c r="R200" s="212"/>
      <c r="T200" s="17"/>
    </row>
    <row r="201" spans="5:20">
      <c r="E201" s="17"/>
      <c r="F201" s="17"/>
      <c r="G201" s="17"/>
      <c r="H201" s="17"/>
      <c r="I201" s="17"/>
      <c r="J201" s="17"/>
      <c r="K201" s="17"/>
      <c r="L201" s="17"/>
      <c r="M201" s="212"/>
      <c r="N201" s="17"/>
      <c r="O201" s="17"/>
      <c r="P201" s="17"/>
      <c r="Q201" s="17"/>
      <c r="R201" s="212"/>
      <c r="T201" s="17"/>
    </row>
    <row r="202" spans="5:20">
      <c r="E202" s="17"/>
      <c r="F202" s="17"/>
      <c r="G202" s="17"/>
      <c r="H202" s="17"/>
      <c r="I202" s="17"/>
      <c r="J202" s="17"/>
      <c r="K202" s="17"/>
      <c r="L202" s="17"/>
      <c r="M202" s="212"/>
      <c r="N202" s="17"/>
      <c r="O202" s="17"/>
      <c r="P202" s="17"/>
      <c r="Q202" s="17"/>
      <c r="R202" s="212"/>
      <c r="T202" s="17"/>
    </row>
    <row r="203" spans="5:20">
      <c r="E203" s="17"/>
      <c r="F203" s="17"/>
      <c r="G203" s="17"/>
      <c r="H203" s="17"/>
      <c r="I203" s="17"/>
      <c r="J203" s="17"/>
      <c r="K203" s="17"/>
      <c r="L203" s="17"/>
      <c r="M203" s="212"/>
      <c r="N203" s="17"/>
      <c r="O203" s="17"/>
      <c r="P203" s="17"/>
      <c r="Q203" s="17"/>
      <c r="R203" s="212"/>
      <c r="T203" s="17"/>
    </row>
    <row r="204" spans="5:20">
      <c r="E204" s="17"/>
      <c r="F204" s="17"/>
      <c r="G204" s="17"/>
      <c r="H204" s="17"/>
      <c r="I204" s="17"/>
      <c r="J204" s="17"/>
      <c r="K204" s="17"/>
      <c r="L204" s="17"/>
      <c r="M204" s="212"/>
      <c r="N204" s="17"/>
      <c r="O204" s="17"/>
      <c r="P204" s="17"/>
      <c r="Q204" s="17"/>
      <c r="R204" s="212"/>
      <c r="T204" s="17"/>
    </row>
    <row r="205" spans="5:20">
      <c r="E205" s="17"/>
      <c r="F205" s="17"/>
      <c r="G205" s="17"/>
      <c r="H205" s="17"/>
      <c r="I205" s="17"/>
      <c r="J205" s="17"/>
      <c r="K205" s="17"/>
      <c r="L205" s="17"/>
      <c r="M205" s="212"/>
      <c r="N205" s="17"/>
      <c r="O205" s="17"/>
      <c r="P205" s="17"/>
      <c r="Q205" s="17"/>
      <c r="R205" s="212"/>
      <c r="T205" s="17"/>
    </row>
    <row r="206" spans="5:20">
      <c r="E206" s="17"/>
      <c r="F206" s="17"/>
      <c r="G206" s="17"/>
      <c r="H206" s="17"/>
      <c r="I206" s="17"/>
      <c r="J206" s="17"/>
      <c r="K206" s="17"/>
      <c r="L206" s="17"/>
      <c r="M206" s="212"/>
      <c r="N206" s="17"/>
      <c r="O206" s="17"/>
      <c r="P206" s="17"/>
      <c r="Q206" s="17"/>
      <c r="R206" s="212"/>
      <c r="T206" s="17"/>
    </row>
    <row r="207" spans="5:20">
      <c r="E207" s="17"/>
      <c r="F207" s="17"/>
      <c r="G207" s="17"/>
      <c r="H207" s="17"/>
      <c r="I207" s="17"/>
      <c r="J207" s="17"/>
      <c r="K207" s="17"/>
      <c r="L207" s="17"/>
      <c r="M207" s="212"/>
      <c r="N207" s="17"/>
      <c r="O207" s="17"/>
      <c r="P207" s="17"/>
      <c r="Q207" s="17"/>
      <c r="R207" s="212"/>
      <c r="T207" s="17"/>
    </row>
    <row r="208" spans="5:20">
      <c r="E208" s="17"/>
      <c r="F208" s="17"/>
      <c r="G208" s="17"/>
      <c r="H208" s="17"/>
      <c r="I208" s="17"/>
      <c r="J208" s="17"/>
      <c r="K208" s="17"/>
      <c r="L208" s="17"/>
      <c r="M208" s="212"/>
      <c r="N208" s="17"/>
      <c r="O208" s="17"/>
      <c r="P208" s="17"/>
      <c r="Q208" s="17"/>
      <c r="R208" s="212"/>
      <c r="T208" s="17"/>
    </row>
    <row r="209" spans="5:20">
      <c r="E209" s="17"/>
      <c r="F209" s="17"/>
      <c r="G209" s="17"/>
      <c r="H209" s="17"/>
      <c r="I209" s="17"/>
      <c r="J209" s="17"/>
      <c r="K209" s="17"/>
      <c r="L209" s="17"/>
      <c r="M209" s="212"/>
      <c r="N209" s="17"/>
      <c r="O209" s="17"/>
      <c r="P209" s="17"/>
      <c r="Q209" s="17"/>
      <c r="R209" s="212"/>
      <c r="T209" s="17"/>
    </row>
    <row r="210" spans="5:20">
      <c r="E210" s="17"/>
      <c r="F210" s="17"/>
      <c r="G210" s="17"/>
      <c r="H210" s="17"/>
      <c r="I210" s="17"/>
      <c r="J210" s="17"/>
      <c r="K210" s="17"/>
      <c r="L210" s="17"/>
      <c r="M210" s="212"/>
      <c r="N210" s="17"/>
      <c r="O210" s="17"/>
      <c r="P210" s="17"/>
      <c r="Q210" s="17"/>
      <c r="R210" s="212"/>
      <c r="T210" s="17"/>
    </row>
    <row r="211" spans="5:20">
      <c r="E211" s="17"/>
      <c r="F211" s="17"/>
      <c r="G211" s="17"/>
      <c r="H211" s="17"/>
      <c r="I211" s="17"/>
      <c r="J211" s="17"/>
      <c r="K211" s="17"/>
      <c r="L211" s="17"/>
      <c r="M211" s="212"/>
      <c r="N211" s="17"/>
      <c r="O211" s="17"/>
      <c r="P211" s="17"/>
      <c r="Q211" s="17"/>
      <c r="R211" s="212"/>
      <c r="T211" s="17"/>
    </row>
    <row r="212" spans="5:20">
      <c r="E212" s="17"/>
      <c r="F212" s="17"/>
      <c r="G212" s="17"/>
      <c r="H212" s="17"/>
      <c r="I212" s="17"/>
      <c r="J212" s="17"/>
      <c r="K212" s="17"/>
      <c r="L212" s="17"/>
      <c r="M212" s="212"/>
      <c r="N212" s="17"/>
      <c r="O212" s="17"/>
      <c r="P212" s="17"/>
      <c r="Q212" s="17"/>
      <c r="R212" s="212"/>
      <c r="T212" s="17"/>
    </row>
    <row r="213" spans="5:20">
      <c r="E213" s="17"/>
      <c r="F213" s="17"/>
      <c r="G213" s="17"/>
      <c r="H213" s="17"/>
      <c r="I213" s="17"/>
      <c r="J213" s="17"/>
      <c r="K213" s="17"/>
      <c r="L213" s="17"/>
      <c r="M213" s="212"/>
      <c r="N213" s="17"/>
      <c r="O213" s="17"/>
      <c r="P213" s="17"/>
      <c r="Q213" s="17"/>
      <c r="R213" s="212"/>
      <c r="T213" s="17"/>
    </row>
    <row r="214" spans="5:20">
      <c r="E214" s="17"/>
      <c r="F214" s="17"/>
      <c r="G214" s="17"/>
      <c r="H214" s="17"/>
      <c r="I214" s="17"/>
      <c r="J214" s="17"/>
      <c r="K214" s="17"/>
      <c r="L214" s="17"/>
      <c r="M214" s="212"/>
      <c r="N214" s="17"/>
      <c r="O214" s="17"/>
      <c r="P214" s="17"/>
      <c r="Q214" s="17"/>
      <c r="R214" s="212"/>
      <c r="T214" s="17"/>
    </row>
    <row r="215" spans="5:20">
      <c r="E215" s="17"/>
      <c r="F215" s="17"/>
      <c r="G215" s="17"/>
      <c r="H215" s="17"/>
      <c r="I215" s="17"/>
      <c r="J215" s="17"/>
      <c r="K215" s="17"/>
      <c r="L215" s="17"/>
      <c r="M215" s="212"/>
      <c r="N215" s="17"/>
      <c r="O215" s="17"/>
      <c r="P215" s="17"/>
      <c r="Q215" s="17"/>
      <c r="R215" s="212"/>
      <c r="T215" s="17"/>
    </row>
    <row r="216" spans="5:20">
      <c r="E216" s="17"/>
      <c r="F216" s="17"/>
      <c r="G216" s="17"/>
      <c r="H216" s="17"/>
      <c r="I216" s="17"/>
      <c r="J216" s="17"/>
      <c r="K216" s="17"/>
      <c r="L216" s="17"/>
      <c r="M216" s="212"/>
      <c r="N216" s="17"/>
      <c r="O216" s="17"/>
      <c r="P216" s="17"/>
      <c r="Q216" s="17"/>
      <c r="R216" s="212"/>
      <c r="T216" s="17"/>
    </row>
    <row r="217" spans="5:20">
      <c r="E217" s="17"/>
      <c r="F217" s="17"/>
      <c r="G217" s="17"/>
      <c r="H217" s="17"/>
      <c r="I217" s="17"/>
      <c r="J217" s="17"/>
      <c r="K217" s="17"/>
      <c r="L217" s="17"/>
      <c r="M217" s="212"/>
      <c r="N217" s="17"/>
      <c r="O217" s="17"/>
      <c r="P217" s="17"/>
      <c r="Q217" s="17"/>
      <c r="R217" s="212"/>
      <c r="T217" s="17"/>
    </row>
    <row r="218" spans="5:20">
      <c r="E218" s="17"/>
      <c r="F218" s="17"/>
      <c r="G218" s="17"/>
      <c r="H218" s="17"/>
      <c r="I218" s="17"/>
      <c r="J218" s="17"/>
      <c r="K218" s="17"/>
      <c r="L218" s="17"/>
      <c r="M218" s="212"/>
      <c r="N218" s="17"/>
      <c r="O218" s="17"/>
      <c r="P218" s="17"/>
      <c r="Q218" s="17"/>
      <c r="R218" s="212"/>
      <c r="T218" s="17"/>
    </row>
    <row r="219" spans="5:20">
      <c r="E219" s="17"/>
      <c r="F219" s="17"/>
      <c r="G219" s="17"/>
      <c r="H219" s="17"/>
      <c r="I219" s="17"/>
      <c r="J219" s="17"/>
      <c r="K219" s="17"/>
      <c r="L219" s="17"/>
      <c r="M219" s="212"/>
      <c r="N219" s="17"/>
      <c r="O219" s="17"/>
      <c r="P219" s="17"/>
      <c r="Q219" s="17"/>
      <c r="R219" s="212"/>
      <c r="T219" s="17"/>
    </row>
    <row r="220" spans="5:20">
      <c r="E220" s="17"/>
      <c r="F220" s="17"/>
      <c r="G220" s="17"/>
      <c r="H220" s="17"/>
      <c r="I220" s="17"/>
      <c r="J220" s="17"/>
      <c r="K220" s="17"/>
      <c r="L220" s="17"/>
      <c r="M220" s="212"/>
      <c r="N220" s="17"/>
      <c r="O220" s="17"/>
      <c r="P220" s="17"/>
      <c r="Q220" s="17"/>
      <c r="R220" s="212"/>
      <c r="T220" s="17"/>
    </row>
    <row r="221" spans="5:20">
      <c r="E221" s="17"/>
      <c r="F221" s="17"/>
      <c r="G221" s="17"/>
      <c r="H221" s="17"/>
      <c r="I221" s="17"/>
      <c r="J221" s="17"/>
      <c r="K221" s="17"/>
      <c r="L221" s="17"/>
      <c r="M221" s="212"/>
      <c r="N221" s="17"/>
      <c r="O221" s="17"/>
      <c r="P221" s="17"/>
      <c r="Q221" s="17"/>
      <c r="R221" s="212"/>
      <c r="T221" s="17"/>
    </row>
    <row r="222" spans="5:20">
      <c r="E222" s="17"/>
      <c r="F222" s="17"/>
      <c r="G222" s="17"/>
      <c r="H222" s="17"/>
      <c r="I222" s="17"/>
      <c r="J222" s="17"/>
      <c r="K222" s="17"/>
      <c r="L222" s="17"/>
      <c r="M222" s="212"/>
      <c r="N222" s="17"/>
      <c r="O222" s="17"/>
      <c r="P222" s="17"/>
      <c r="Q222" s="17"/>
      <c r="R222" s="212"/>
      <c r="T222" s="17"/>
    </row>
    <row r="223" spans="5:20">
      <c r="E223" s="17"/>
      <c r="F223" s="17"/>
      <c r="G223" s="17"/>
      <c r="H223" s="17"/>
      <c r="I223" s="17"/>
      <c r="J223" s="17"/>
      <c r="K223" s="17"/>
      <c r="L223" s="17"/>
      <c r="M223" s="212"/>
      <c r="N223" s="17"/>
      <c r="O223" s="17"/>
      <c r="P223" s="17"/>
      <c r="Q223" s="17"/>
      <c r="R223" s="212"/>
      <c r="T223" s="17"/>
    </row>
    <row r="224" spans="5:20">
      <c r="E224" s="17"/>
      <c r="F224" s="17"/>
      <c r="G224" s="17"/>
      <c r="H224" s="17"/>
      <c r="I224" s="17"/>
      <c r="J224" s="17"/>
      <c r="K224" s="17"/>
      <c r="L224" s="17"/>
      <c r="M224" s="212"/>
      <c r="N224" s="17"/>
      <c r="O224" s="17"/>
      <c r="P224" s="17"/>
      <c r="Q224" s="17"/>
      <c r="R224" s="212"/>
      <c r="T224" s="17"/>
    </row>
    <row r="225" spans="5:20">
      <c r="E225" s="17"/>
      <c r="F225" s="17"/>
      <c r="G225" s="17"/>
      <c r="H225" s="17"/>
      <c r="I225" s="17"/>
      <c r="J225" s="17"/>
      <c r="K225" s="17"/>
      <c r="L225" s="17"/>
      <c r="M225" s="212"/>
      <c r="N225" s="17"/>
      <c r="O225" s="17"/>
      <c r="P225" s="17"/>
      <c r="Q225" s="17"/>
      <c r="R225" s="212"/>
      <c r="T225" s="17"/>
    </row>
    <row r="226" spans="5:20">
      <c r="E226" s="17"/>
      <c r="F226" s="17"/>
      <c r="G226" s="17"/>
      <c r="H226" s="17"/>
      <c r="I226" s="17"/>
      <c r="J226" s="17"/>
      <c r="K226" s="17"/>
      <c r="L226" s="17"/>
      <c r="M226" s="212"/>
      <c r="N226" s="17"/>
      <c r="O226" s="17"/>
      <c r="P226" s="17"/>
      <c r="Q226" s="17"/>
      <c r="R226" s="212"/>
      <c r="T226" s="17"/>
    </row>
    <row r="227" spans="5:20">
      <c r="E227" s="17"/>
      <c r="F227" s="17"/>
      <c r="G227" s="17"/>
      <c r="H227" s="17"/>
      <c r="I227" s="17"/>
      <c r="J227" s="17"/>
      <c r="K227" s="17"/>
      <c r="L227" s="17"/>
      <c r="M227" s="212"/>
      <c r="N227" s="17"/>
      <c r="O227" s="17"/>
      <c r="P227" s="17"/>
      <c r="Q227" s="17"/>
      <c r="R227" s="212"/>
      <c r="T227" s="17"/>
    </row>
    <row r="228" spans="5:20">
      <c r="E228" s="17"/>
      <c r="F228" s="17"/>
      <c r="G228" s="17"/>
      <c r="H228" s="17"/>
      <c r="I228" s="17"/>
      <c r="J228" s="17"/>
      <c r="K228" s="17"/>
      <c r="L228" s="17"/>
      <c r="M228" s="212"/>
      <c r="N228" s="17"/>
      <c r="O228" s="17"/>
      <c r="P228" s="17"/>
      <c r="Q228" s="17"/>
      <c r="R228" s="212"/>
      <c r="T228" s="17"/>
    </row>
    <row r="229" spans="5:20">
      <c r="E229" s="17"/>
      <c r="F229" s="17"/>
      <c r="G229" s="17"/>
      <c r="H229" s="17"/>
      <c r="I229" s="17"/>
      <c r="J229" s="17"/>
      <c r="K229" s="17"/>
      <c r="L229" s="17"/>
      <c r="M229" s="212"/>
      <c r="N229" s="17"/>
      <c r="O229" s="17"/>
      <c r="P229" s="17"/>
      <c r="Q229" s="17"/>
      <c r="R229" s="212"/>
      <c r="T229" s="17"/>
    </row>
    <row r="230" spans="5:20">
      <c r="E230" s="17"/>
      <c r="F230" s="17"/>
      <c r="G230" s="17"/>
      <c r="H230" s="17"/>
      <c r="I230" s="17"/>
      <c r="J230" s="17"/>
      <c r="K230" s="17"/>
      <c r="L230" s="17"/>
      <c r="M230" s="212"/>
      <c r="N230" s="17"/>
      <c r="O230" s="17"/>
      <c r="P230" s="17"/>
      <c r="Q230" s="17"/>
      <c r="R230" s="212"/>
      <c r="T230" s="17"/>
    </row>
    <row r="231" spans="5:20">
      <c r="E231" s="17"/>
      <c r="F231" s="17"/>
      <c r="G231" s="17"/>
      <c r="H231" s="17"/>
      <c r="I231" s="17"/>
      <c r="J231" s="17"/>
      <c r="K231" s="17"/>
      <c r="L231" s="17"/>
      <c r="M231" s="212"/>
      <c r="N231" s="17"/>
      <c r="O231" s="17"/>
      <c r="P231" s="17"/>
      <c r="Q231" s="17"/>
      <c r="R231" s="212"/>
      <c r="T231" s="17"/>
    </row>
    <row r="232" spans="5:20">
      <c r="E232" s="17"/>
      <c r="F232" s="17"/>
      <c r="G232" s="17"/>
      <c r="H232" s="17"/>
      <c r="I232" s="17"/>
      <c r="J232" s="17"/>
      <c r="K232" s="17"/>
      <c r="L232" s="17"/>
      <c r="M232" s="212"/>
      <c r="N232" s="17"/>
      <c r="O232" s="17"/>
      <c r="P232" s="17"/>
      <c r="Q232" s="17"/>
      <c r="R232" s="212"/>
      <c r="T232" s="17"/>
    </row>
    <row r="233" spans="5:20">
      <c r="E233" s="17"/>
      <c r="F233" s="17"/>
      <c r="G233" s="17"/>
      <c r="H233" s="17"/>
      <c r="I233" s="17"/>
      <c r="J233" s="17"/>
      <c r="K233" s="17"/>
      <c r="L233" s="17"/>
      <c r="M233" s="212"/>
      <c r="N233" s="17"/>
      <c r="O233" s="17"/>
      <c r="P233" s="17"/>
      <c r="Q233" s="17"/>
      <c r="R233" s="212"/>
      <c r="T233" s="17"/>
    </row>
    <row r="234" spans="5:20">
      <c r="E234" s="17"/>
      <c r="F234" s="17"/>
      <c r="G234" s="17"/>
      <c r="H234" s="17"/>
      <c r="I234" s="17"/>
      <c r="J234" s="17"/>
      <c r="K234" s="17"/>
      <c r="L234" s="17"/>
      <c r="M234" s="212"/>
      <c r="N234" s="17"/>
      <c r="O234" s="17"/>
      <c r="P234" s="17"/>
      <c r="Q234" s="17"/>
      <c r="R234" s="212"/>
      <c r="T234" s="17"/>
    </row>
    <row r="235" spans="5:20">
      <c r="E235" s="17"/>
      <c r="F235" s="17"/>
      <c r="G235" s="17"/>
      <c r="H235" s="17"/>
      <c r="I235" s="17"/>
      <c r="J235" s="17"/>
      <c r="K235" s="17"/>
      <c r="L235" s="17"/>
      <c r="M235" s="212"/>
      <c r="N235" s="17"/>
      <c r="O235" s="17"/>
      <c r="P235" s="17"/>
      <c r="Q235" s="17"/>
      <c r="R235" s="212"/>
      <c r="T235" s="17"/>
    </row>
    <row r="236" spans="5:20">
      <c r="E236" s="17"/>
      <c r="F236" s="17"/>
      <c r="G236" s="17"/>
      <c r="H236" s="17"/>
      <c r="I236" s="17"/>
      <c r="J236" s="17"/>
      <c r="K236" s="17"/>
      <c r="L236" s="17"/>
      <c r="M236" s="212"/>
      <c r="N236" s="17"/>
      <c r="O236" s="17"/>
      <c r="P236" s="17"/>
      <c r="Q236" s="17"/>
      <c r="R236" s="212"/>
      <c r="T236" s="17"/>
    </row>
    <row r="237" spans="5:20">
      <c r="E237" s="17"/>
      <c r="F237" s="17"/>
      <c r="G237" s="17"/>
      <c r="H237" s="17"/>
      <c r="I237" s="17"/>
      <c r="J237" s="17"/>
      <c r="K237" s="17"/>
      <c r="L237" s="17"/>
      <c r="M237" s="212"/>
      <c r="N237" s="17"/>
      <c r="O237" s="17"/>
      <c r="P237" s="17"/>
      <c r="Q237" s="17"/>
      <c r="R237" s="212"/>
      <c r="T237" s="17"/>
    </row>
    <row r="238" spans="5:20">
      <c r="E238" s="17"/>
      <c r="F238" s="17"/>
      <c r="G238" s="17"/>
      <c r="H238" s="17"/>
      <c r="I238" s="17"/>
      <c r="J238" s="17"/>
      <c r="K238" s="17"/>
      <c r="L238" s="17"/>
      <c r="M238" s="212"/>
      <c r="N238" s="17"/>
      <c r="O238" s="17"/>
      <c r="P238" s="17"/>
      <c r="Q238" s="17"/>
      <c r="R238" s="212"/>
      <c r="T238" s="17"/>
    </row>
    <row r="239" spans="5:20">
      <c r="E239" s="17"/>
      <c r="F239" s="17"/>
      <c r="G239" s="17"/>
      <c r="H239" s="17"/>
      <c r="I239" s="17"/>
      <c r="J239" s="17"/>
      <c r="K239" s="17"/>
      <c r="L239" s="17"/>
      <c r="M239" s="212"/>
      <c r="N239" s="17"/>
      <c r="O239" s="17"/>
      <c r="P239" s="17"/>
      <c r="Q239" s="17"/>
      <c r="R239" s="212"/>
      <c r="T239" s="17"/>
    </row>
    <row r="240" spans="5:20">
      <c r="E240" s="17"/>
      <c r="F240" s="17"/>
      <c r="G240" s="17"/>
      <c r="H240" s="17"/>
      <c r="I240" s="17"/>
      <c r="J240" s="17"/>
      <c r="K240" s="17"/>
      <c r="L240" s="17"/>
      <c r="M240" s="212"/>
      <c r="N240" s="17"/>
      <c r="O240" s="17"/>
      <c r="P240" s="17"/>
      <c r="Q240" s="17"/>
      <c r="R240" s="212"/>
      <c r="T240" s="17"/>
    </row>
    <row r="241" spans="5:20">
      <c r="E241" s="17"/>
      <c r="F241" s="17"/>
      <c r="G241" s="17"/>
      <c r="H241" s="17"/>
      <c r="I241" s="17"/>
      <c r="J241" s="17"/>
      <c r="K241" s="17"/>
      <c r="L241" s="17"/>
      <c r="M241" s="212"/>
      <c r="N241" s="17"/>
      <c r="O241" s="17"/>
      <c r="P241" s="17"/>
      <c r="Q241" s="17"/>
      <c r="R241" s="212"/>
      <c r="T241" s="17"/>
    </row>
  </sheetData>
  <phoneticPr fontId="0" type="noConversion"/>
  <pageMargins left="0.36" right="0.5" top="0.5" bottom="0.5" header="0" footer="0"/>
  <pageSetup scale="55" orientation="landscape" r:id="rId1"/>
  <headerFooter alignWithMargins="0">
    <oddHeader>&amp;RAdjustment No. 3.02 Pro-Forma Non-Exec
Workpaper Ref. &amp;A</oddHeader>
    <oddFooter>&amp;L&amp;F&amp;RPrep by: AMB 
          Date:  &amp;D           Mgr. Review:__________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4">
    <tabColor theme="9" tint="0.59999389629810485"/>
  </sheetPr>
  <dimension ref="A1:H46"/>
  <sheetViews>
    <sheetView topLeftCell="A25" zoomScaleNormal="100" workbookViewId="0">
      <selection activeCell="I6" sqref="I6:K7"/>
    </sheetView>
  </sheetViews>
  <sheetFormatPr defaultColWidth="9.33203125" defaultRowHeight="15"/>
  <cols>
    <col min="1" max="1" width="10.5" style="191" customWidth="1"/>
    <col min="2" max="5" width="26" style="192" customWidth="1"/>
    <col min="6" max="6" width="10.6640625" style="172" customWidth="1"/>
    <col min="7" max="16384" width="9.33203125" style="172"/>
  </cols>
  <sheetData>
    <row r="1" spans="1:5">
      <c r="A1" s="172" t="s">
        <v>193</v>
      </c>
    </row>
    <row r="2" spans="1:5">
      <c r="A2" s="172"/>
    </row>
    <row r="3" spans="1:5" ht="15.75" thickBot="1">
      <c r="A3" s="175" t="s">
        <v>172</v>
      </c>
      <c r="B3" s="177"/>
      <c r="C3" s="177"/>
      <c r="D3" s="177"/>
      <c r="E3" s="177"/>
    </row>
    <row r="4" spans="1:5" s="181" customFormat="1" ht="30.75" thickBot="1">
      <c r="A4" s="178">
        <v>2018</v>
      </c>
      <c r="B4" s="232" t="s">
        <v>192</v>
      </c>
      <c r="C4" s="180" t="s">
        <v>104</v>
      </c>
      <c r="D4" s="179" t="s">
        <v>103</v>
      </c>
      <c r="E4" s="179" t="s">
        <v>0</v>
      </c>
    </row>
    <row r="5" spans="1:5">
      <c r="A5" s="171" t="s">
        <v>169</v>
      </c>
      <c r="B5" s="182"/>
      <c r="C5" s="182"/>
      <c r="D5" s="176"/>
      <c r="E5" s="176"/>
    </row>
    <row r="6" spans="1:5">
      <c r="A6" s="171">
        <v>813</v>
      </c>
      <c r="B6" s="183">
        <v>655596</v>
      </c>
      <c r="C6" s="183"/>
      <c r="D6" s="183"/>
      <c r="E6" s="170">
        <f>SUM(B6:D6)</f>
        <v>655596</v>
      </c>
    </row>
    <row r="7" spans="1:5">
      <c r="A7" s="171">
        <v>814</v>
      </c>
      <c r="B7" s="183">
        <v>11496</v>
      </c>
      <c r="C7" s="183"/>
      <c r="D7" s="183"/>
      <c r="E7" s="170">
        <f t="shared" ref="E7:E8" si="0">SUM(B7:D7)</f>
        <v>11496</v>
      </c>
    </row>
    <row r="8" spans="1:5">
      <c r="A8" s="171">
        <v>870</v>
      </c>
      <c r="B8" s="183">
        <f>810521+50237</f>
        <v>860758</v>
      </c>
      <c r="C8" s="183">
        <v>62097</v>
      </c>
      <c r="D8" s="183">
        <v>192286</v>
      </c>
      <c r="E8" s="170">
        <f t="shared" si="0"/>
        <v>1115141</v>
      </c>
    </row>
    <row r="9" spans="1:5" ht="16.5" customHeight="1">
      <c r="A9" s="171">
        <v>874</v>
      </c>
      <c r="B9" s="183">
        <f>611924+81318</f>
        <v>693242</v>
      </c>
      <c r="C9" s="183">
        <v>320664</v>
      </c>
      <c r="D9" s="183">
        <v>665683</v>
      </c>
      <c r="E9" s="170">
        <f t="shared" ref="E9:E40" si="1">SUM(B9:D9)</f>
        <v>1679589</v>
      </c>
    </row>
    <row r="10" spans="1:5">
      <c r="A10" s="171">
        <v>875</v>
      </c>
      <c r="B10" s="183"/>
      <c r="C10" s="183">
        <v>19578</v>
      </c>
      <c r="D10" s="183">
        <v>43596</v>
      </c>
      <c r="E10" s="170">
        <f t="shared" si="1"/>
        <v>63174</v>
      </c>
    </row>
    <row r="11" spans="1:5">
      <c r="A11" s="171">
        <v>876</v>
      </c>
      <c r="B11" s="183"/>
      <c r="C11" s="183">
        <v>931</v>
      </c>
      <c r="D11" s="183">
        <v>3438</v>
      </c>
      <c r="E11" s="170">
        <f t="shared" si="1"/>
        <v>4369</v>
      </c>
    </row>
    <row r="12" spans="1:5">
      <c r="A12" s="171">
        <v>877</v>
      </c>
      <c r="B12" s="183"/>
      <c r="C12" s="183">
        <v>11680</v>
      </c>
      <c r="D12" s="183">
        <v>31005</v>
      </c>
      <c r="E12" s="170">
        <f t="shared" si="1"/>
        <v>42685</v>
      </c>
    </row>
    <row r="13" spans="1:5">
      <c r="A13" s="171">
        <v>878</v>
      </c>
      <c r="B13" s="183"/>
      <c r="C13" s="183">
        <v>2510</v>
      </c>
      <c r="D13" s="183">
        <v>1972</v>
      </c>
      <c r="E13" s="170">
        <f t="shared" si="1"/>
        <v>4482</v>
      </c>
    </row>
    <row r="14" spans="1:5">
      <c r="A14" s="171">
        <v>879</v>
      </c>
      <c r="B14" s="183">
        <f>55391</f>
        <v>55391</v>
      </c>
      <c r="C14" s="183">
        <v>365882</v>
      </c>
      <c r="D14" s="183">
        <v>828477</v>
      </c>
      <c r="E14" s="170">
        <f t="shared" si="1"/>
        <v>1249750</v>
      </c>
    </row>
    <row r="15" spans="1:5">
      <c r="A15" s="171">
        <v>880</v>
      </c>
      <c r="B15" s="183">
        <f>260986+94184</f>
        <v>355170</v>
      </c>
      <c r="C15" s="183">
        <v>220410</v>
      </c>
      <c r="D15" s="183">
        <v>819945</v>
      </c>
      <c r="E15" s="170">
        <f t="shared" si="1"/>
        <v>1395525</v>
      </c>
    </row>
    <row r="16" spans="1:5">
      <c r="A16" s="171">
        <v>881</v>
      </c>
      <c r="B16" s="183">
        <v>8053</v>
      </c>
      <c r="C16" s="183"/>
      <c r="D16" s="183"/>
      <c r="E16" s="170">
        <f t="shared" si="1"/>
        <v>8053</v>
      </c>
    </row>
    <row r="17" spans="1:5">
      <c r="A17" s="171">
        <v>885</v>
      </c>
      <c r="B17" s="183">
        <f>323+990</f>
        <v>1313</v>
      </c>
      <c r="C17" s="183">
        <v>60212</v>
      </c>
      <c r="D17" s="183">
        <v>51780</v>
      </c>
      <c r="E17" s="170">
        <f t="shared" si="1"/>
        <v>113305</v>
      </c>
    </row>
    <row r="18" spans="1:5">
      <c r="A18" s="171">
        <v>887</v>
      </c>
      <c r="B18" s="183"/>
      <c r="C18" s="183">
        <v>120091</v>
      </c>
      <c r="D18" s="183">
        <v>406713</v>
      </c>
      <c r="E18" s="170">
        <f t="shared" si="1"/>
        <v>526804</v>
      </c>
    </row>
    <row r="19" spans="1:5">
      <c r="A19" s="171">
        <v>889</v>
      </c>
      <c r="B19" s="183">
        <v>2427</v>
      </c>
      <c r="C19" s="183">
        <v>23984</v>
      </c>
      <c r="D19" s="183">
        <v>72213</v>
      </c>
      <c r="E19" s="170">
        <f t="shared" si="1"/>
        <v>98624</v>
      </c>
    </row>
    <row r="20" spans="1:5" ht="17.25" customHeight="1">
      <c r="A20" s="171">
        <v>890</v>
      </c>
      <c r="B20" s="183">
        <v>7081</v>
      </c>
      <c r="C20" s="183">
        <v>3314</v>
      </c>
      <c r="D20" s="183">
        <v>8376</v>
      </c>
      <c r="E20" s="170">
        <f t="shared" si="1"/>
        <v>18771</v>
      </c>
    </row>
    <row r="21" spans="1:5">
      <c r="A21" s="171">
        <v>891</v>
      </c>
      <c r="B21" s="183">
        <v>2640</v>
      </c>
      <c r="C21" s="183">
        <v>9949</v>
      </c>
      <c r="D21" s="183">
        <v>11322</v>
      </c>
      <c r="E21" s="170">
        <f t="shared" si="1"/>
        <v>23911</v>
      </c>
    </row>
    <row r="22" spans="1:5">
      <c r="A22" s="171">
        <v>892</v>
      </c>
      <c r="B22" s="183"/>
      <c r="C22" s="183">
        <v>152200</v>
      </c>
      <c r="D22" s="183">
        <v>425993</v>
      </c>
      <c r="E22" s="170">
        <f t="shared" si="1"/>
        <v>578193</v>
      </c>
    </row>
    <row r="23" spans="1:5">
      <c r="A23" s="171">
        <v>893</v>
      </c>
      <c r="B23" s="183">
        <v>280358</v>
      </c>
      <c r="C23" s="183">
        <v>203392</v>
      </c>
      <c r="D23" s="183">
        <v>445004</v>
      </c>
      <c r="E23" s="170">
        <f t="shared" si="1"/>
        <v>928754</v>
      </c>
    </row>
    <row r="24" spans="1:5">
      <c r="A24" s="171">
        <v>894</v>
      </c>
      <c r="B24" s="183">
        <v>88225</v>
      </c>
      <c r="C24" s="183">
        <v>148</v>
      </c>
      <c r="D24" s="183"/>
      <c r="E24" s="170">
        <f t="shared" si="1"/>
        <v>88373</v>
      </c>
    </row>
    <row r="25" spans="1:5">
      <c r="A25" s="171">
        <v>901</v>
      </c>
      <c r="B25" s="183">
        <v>71418</v>
      </c>
      <c r="C25" s="183"/>
      <c r="D25" s="183"/>
      <c r="E25" s="170">
        <f t="shared" si="1"/>
        <v>71418</v>
      </c>
    </row>
    <row r="26" spans="1:5">
      <c r="A26" s="171">
        <v>902</v>
      </c>
      <c r="B26" s="183">
        <v>58650</v>
      </c>
      <c r="C26" s="183">
        <v>49199</v>
      </c>
      <c r="D26" s="183">
        <v>965180</v>
      </c>
      <c r="E26" s="170">
        <f t="shared" si="1"/>
        <v>1073029</v>
      </c>
    </row>
    <row r="27" spans="1:5">
      <c r="A27" s="171">
        <v>903</v>
      </c>
      <c r="B27" s="183">
        <f>2479771+176</f>
        <v>2479947</v>
      </c>
      <c r="C27" s="183">
        <v>132921</v>
      </c>
      <c r="D27" s="183">
        <v>350196</v>
      </c>
      <c r="E27" s="170">
        <f t="shared" si="1"/>
        <v>2963064</v>
      </c>
    </row>
    <row r="28" spans="1:5">
      <c r="A28" s="171">
        <v>905</v>
      </c>
      <c r="B28" s="183">
        <v>89024</v>
      </c>
      <c r="C28" s="183"/>
      <c r="D28" s="183"/>
      <c r="E28" s="170">
        <f t="shared" si="1"/>
        <v>89024</v>
      </c>
    </row>
    <row r="29" spans="1:5">
      <c r="A29" s="171">
        <v>908</v>
      </c>
      <c r="B29" s="183">
        <f>15988+74092</f>
        <v>90080</v>
      </c>
      <c r="C29" s="183">
        <v>30195</v>
      </c>
      <c r="D29" s="183">
        <v>151936</v>
      </c>
      <c r="E29" s="170">
        <f t="shared" si="1"/>
        <v>272211</v>
      </c>
    </row>
    <row r="30" spans="1:5">
      <c r="A30" s="171">
        <v>909</v>
      </c>
      <c r="B30" s="183">
        <f>9109+122442</f>
        <v>131551</v>
      </c>
      <c r="C30" s="183"/>
      <c r="D30" s="183"/>
      <c r="E30" s="170">
        <f t="shared" si="1"/>
        <v>131551</v>
      </c>
    </row>
    <row r="31" spans="1:5">
      <c r="A31" s="171">
        <v>910</v>
      </c>
      <c r="B31" s="183">
        <v>35669</v>
      </c>
      <c r="C31" s="183"/>
      <c r="D31" s="183"/>
      <c r="E31" s="170">
        <f t="shared" si="1"/>
        <v>35669</v>
      </c>
    </row>
    <row r="32" spans="1:5">
      <c r="A32" s="171">
        <v>920</v>
      </c>
      <c r="B32" s="183">
        <f>4761158+84805</f>
        <v>4845963</v>
      </c>
      <c r="C32" s="183">
        <v>30033</v>
      </c>
      <c r="D32" s="183">
        <v>72630</v>
      </c>
      <c r="E32" s="170">
        <f t="shared" si="1"/>
        <v>4948626</v>
      </c>
    </row>
    <row r="33" spans="1:8">
      <c r="A33" s="171">
        <v>921</v>
      </c>
      <c r="B33" s="183">
        <f>99007+2195</f>
        <v>101202</v>
      </c>
      <c r="C33" s="183"/>
      <c r="D33" s="183">
        <v>311</v>
      </c>
      <c r="E33" s="170">
        <f t="shared" si="1"/>
        <v>101513</v>
      </c>
    </row>
    <row r="34" spans="1:8">
      <c r="A34" s="171">
        <v>923</v>
      </c>
      <c r="B34" s="183">
        <f>72+7684+15</f>
        <v>7771</v>
      </c>
      <c r="C34" s="183"/>
      <c r="D34" s="183"/>
      <c r="E34" s="170">
        <f t="shared" si="1"/>
        <v>7771</v>
      </c>
    </row>
    <row r="35" spans="1:8">
      <c r="A35" s="171">
        <v>925</v>
      </c>
      <c r="B35" s="183">
        <v>0</v>
      </c>
      <c r="C35" s="183"/>
      <c r="D35" s="183"/>
      <c r="E35" s="170">
        <f t="shared" si="1"/>
        <v>0</v>
      </c>
    </row>
    <row r="36" spans="1:8">
      <c r="A36" s="171">
        <v>926</v>
      </c>
      <c r="B36" s="183">
        <f>92015+2655</f>
        <v>94670</v>
      </c>
      <c r="C36" s="183"/>
      <c r="D36" s="183">
        <v>861</v>
      </c>
      <c r="E36" s="170">
        <f t="shared" si="1"/>
        <v>95531</v>
      </c>
      <c r="F36" s="185"/>
      <c r="G36" s="186"/>
      <c r="H36" s="173"/>
    </row>
    <row r="37" spans="1:8">
      <c r="A37" s="171">
        <v>928</v>
      </c>
      <c r="B37" s="183">
        <f>184317+1943</f>
        <v>186260</v>
      </c>
      <c r="C37" s="183">
        <v>26735</v>
      </c>
      <c r="D37" s="183">
        <v>63382</v>
      </c>
      <c r="E37" s="170">
        <f t="shared" si="1"/>
        <v>276377</v>
      </c>
    </row>
    <row r="38" spans="1:8">
      <c r="A38" s="171">
        <v>930</v>
      </c>
      <c r="B38" s="183">
        <f>70544+11080</f>
        <v>81624</v>
      </c>
      <c r="C38" s="183">
        <v>2945</v>
      </c>
      <c r="D38" s="183">
        <v>2310</v>
      </c>
      <c r="E38" s="170">
        <f t="shared" si="1"/>
        <v>86879</v>
      </c>
    </row>
    <row r="39" spans="1:8">
      <c r="A39" s="171">
        <v>931</v>
      </c>
      <c r="B39" s="183"/>
      <c r="C39" s="183"/>
      <c r="D39" s="183"/>
      <c r="E39" s="170">
        <f t="shared" si="1"/>
        <v>0</v>
      </c>
    </row>
    <row r="40" spans="1:8" s="174" customFormat="1" ht="32.25" customHeight="1" thickBot="1">
      <c r="A40" s="171">
        <v>935</v>
      </c>
      <c r="B40" s="183">
        <f>290249+137783</f>
        <v>428032</v>
      </c>
      <c r="C40" s="183">
        <v>16290</v>
      </c>
      <c r="D40" s="183">
        <v>13362</v>
      </c>
      <c r="E40" s="170">
        <f t="shared" si="1"/>
        <v>457684</v>
      </c>
    </row>
    <row r="41" spans="1:8" ht="16.5" thickTop="1" thickBot="1">
      <c r="A41" s="189" t="s">
        <v>120</v>
      </c>
      <c r="B41" s="190">
        <f>SUM(B6:B40)</f>
        <v>11723611</v>
      </c>
      <c r="C41" s="190">
        <f>SUM(C6:C40)</f>
        <v>1865360</v>
      </c>
      <c r="D41" s="190">
        <f>SUM(D6:D40)</f>
        <v>5627971</v>
      </c>
      <c r="E41" s="190">
        <f>SUM(E6:E40)</f>
        <v>19216942</v>
      </c>
    </row>
    <row r="42" spans="1:8" ht="15.75" thickTop="1"/>
    <row r="43" spans="1:8">
      <c r="A43" s="192"/>
    </row>
    <row r="46" spans="1:8">
      <c r="E46" s="192">
        <v>1000</v>
      </c>
    </row>
  </sheetData>
  <phoneticPr fontId="0" type="noConversion"/>
  <pageMargins left="1" right="0.75" top="1" bottom="1" header="0.5" footer="0.5"/>
  <pageSetup scale="70" orientation="portrait" r:id="rId1"/>
  <headerFooter alignWithMargins="0">
    <oddHeader>&amp;RAdjustment No. 3.02 Pro-Forma Non-Exec
Workpaper Ref. &amp;A</oddHeader>
    <oddFooter>&amp;L&amp;F&amp;RPrep by:   AMB
          Date:  &amp;D           Mgr. Review:__________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5"/>
  <sheetViews>
    <sheetView topLeftCell="A7" zoomScale="130" zoomScaleNormal="130" workbookViewId="0">
      <selection activeCell="F36" sqref="F36"/>
    </sheetView>
  </sheetViews>
  <sheetFormatPr defaultColWidth="13.33203125" defaultRowHeight="12.75"/>
  <cols>
    <col min="1" max="1" width="13.33203125" style="112" customWidth="1"/>
    <col min="2" max="2" width="17.83203125" style="112" customWidth="1"/>
    <col min="3" max="3" width="23.1640625" style="112" customWidth="1"/>
    <col min="4" max="16384" width="13.33203125" style="112"/>
  </cols>
  <sheetData>
    <row r="1" spans="1:7">
      <c r="A1" s="8" t="s">
        <v>23</v>
      </c>
    </row>
    <row r="2" spans="1:7">
      <c r="A2" s="112" t="s">
        <v>22</v>
      </c>
    </row>
    <row r="3" spans="1:7">
      <c r="A3" s="61"/>
    </row>
    <row r="4" spans="1:7">
      <c r="A4" s="61"/>
    </row>
    <row r="6" spans="1:7">
      <c r="A6" s="23" t="s">
        <v>27</v>
      </c>
      <c r="D6" s="122"/>
      <c r="E6" s="122"/>
    </row>
    <row r="7" spans="1:7">
      <c r="A7" s="8"/>
    </row>
    <row r="8" spans="1:7">
      <c r="A8" s="136" t="s">
        <v>203</v>
      </c>
      <c r="D8" s="66">
        <v>0.03</v>
      </c>
    </row>
    <row r="9" spans="1:7">
      <c r="A9" s="136" t="s">
        <v>204</v>
      </c>
      <c r="B9" s="136"/>
      <c r="C9" s="136"/>
    </row>
    <row r="10" spans="1:7">
      <c r="A10" s="136"/>
      <c r="B10" s="136"/>
      <c r="C10" s="67" t="str">
        <f xml:space="preserve"> "87/365 ="</f>
        <v>87/365 =</v>
      </c>
      <c r="D10" s="115">
        <f>ROUND(87/365,3)</f>
        <v>0.23799999999999999</v>
      </c>
      <c r="G10" s="207"/>
    </row>
    <row r="11" spans="1:7" ht="13.5" thickBot="1">
      <c r="A11" s="233" t="s">
        <v>201</v>
      </c>
      <c r="B11" s="136"/>
      <c r="C11" s="136"/>
      <c r="D11" s="125">
        <f>ROUND(D8*D10,5)</f>
        <v>7.1399999999999996E-3</v>
      </c>
      <c r="F11" s="112" t="s">
        <v>221</v>
      </c>
    </row>
    <row r="12" spans="1:7" ht="13.5" thickTop="1">
      <c r="D12" s="113"/>
    </row>
    <row r="13" spans="1:7" ht="13.5" thickBot="1">
      <c r="A13" s="8" t="s">
        <v>207</v>
      </c>
      <c r="B13" s="123"/>
      <c r="D13" s="199">
        <v>0.03</v>
      </c>
      <c r="F13" s="112" t="s">
        <v>220</v>
      </c>
    </row>
    <row r="14" spans="1:7" ht="14.25" customHeight="1" thickTop="1">
      <c r="D14" s="78"/>
    </row>
    <row r="15" spans="1:7">
      <c r="A15" s="8" t="s">
        <v>208</v>
      </c>
      <c r="B15" s="123"/>
      <c r="C15" s="67"/>
      <c r="D15" s="66">
        <v>0.03</v>
      </c>
      <c r="E15" s="8"/>
      <c r="F15" s="112" t="s">
        <v>226</v>
      </c>
      <c r="G15" s="236"/>
    </row>
    <row r="16" spans="1:7">
      <c r="A16" s="127"/>
      <c r="B16" s="128"/>
      <c r="C16" s="67" t="str">
        <f xml:space="preserve"> "278/365 ="</f>
        <v>278/365 =</v>
      </c>
      <c r="D16" s="290">
        <f>278/365</f>
        <v>0.76200000000000001</v>
      </c>
      <c r="E16" s="124"/>
      <c r="F16" s="112" t="s">
        <v>222</v>
      </c>
    </row>
    <row r="17" spans="1:7" ht="13.5" thickBot="1">
      <c r="D17" s="125">
        <f>D15*D16</f>
        <v>2.2859999999999998E-2</v>
      </c>
      <c r="E17" s="113"/>
    </row>
    <row r="18" spans="1:7" ht="13.5" thickTop="1">
      <c r="D18" s="291"/>
      <c r="E18" s="113"/>
    </row>
    <row r="19" spans="1:7" ht="13.5" thickBot="1">
      <c r="A19" s="8" t="s">
        <v>230</v>
      </c>
      <c r="D19" s="125">
        <v>0.03</v>
      </c>
      <c r="E19" s="8"/>
      <c r="F19" s="112" t="s">
        <v>228</v>
      </c>
    </row>
    <row r="20" spans="1:7" ht="13.5" thickTop="1">
      <c r="A20" s="127"/>
      <c r="B20" s="128"/>
      <c r="C20" s="127"/>
      <c r="D20" s="126"/>
      <c r="E20" s="124"/>
      <c r="F20" s="112" t="s">
        <v>229</v>
      </c>
    </row>
    <row r="21" spans="1:7">
      <c r="A21" s="23" t="s">
        <v>164</v>
      </c>
      <c r="E21" s="113"/>
    </row>
    <row r="22" spans="1:7">
      <c r="A22" s="8"/>
      <c r="E22" s="113"/>
    </row>
    <row r="23" spans="1:7">
      <c r="A23" s="136" t="s">
        <v>216</v>
      </c>
      <c r="D23" s="66">
        <v>0.03</v>
      </c>
      <c r="E23" s="57"/>
    </row>
    <row r="24" spans="1:7" ht="14.25" customHeight="1">
      <c r="A24" s="136" t="s">
        <v>223</v>
      </c>
      <c r="B24" s="136"/>
      <c r="C24" s="136"/>
      <c r="E24" s="57"/>
    </row>
    <row r="25" spans="1:7">
      <c r="A25" s="136"/>
      <c r="B25" s="136"/>
      <c r="C25" s="67" t="str">
        <f>"63/365="</f>
        <v>63/365=</v>
      </c>
      <c r="D25" s="115">
        <f>ROUND(63/365,3)</f>
        <v>0.17299999999999999</v>
      </c>
      <c r="E25" s="27"/>
    </row>
    <row r="26" spans="1:7" ht="14.25" thickBot="1">
      <c r="A26" s="8" t="s">
        <v>201</v>
      </c>
      <c r="D26" s="125">
        <f>ROUND(D25*D23,6)</f>
        <v>5.1900000000000002E-3</v>
      </c>
      <c r="E26" s="28"/>
      <c r="F26" s="112" t="s">
        <v>221</v>
      </c>
    </row>
    <row r="27" spans="1:7" ht="13.5" thickTop="1">
      <c r="D27" s="113"/>
      <c r="E27" s="27"/>
    </row>
    <row r="28" spans="1:7" ht="13.5" thickBot="1">
      <c r="A28" s="8" t="s">
        <v>207</v>
      </c>
      <c r="D28" s="199">
        <v>0.03</v>
      </c>
      <c r="F28" s="112" t="s">
        <v>224</v>
      </c>
    </row>
    <row r="29" spans="1:7" ht="13.5" thickTop="1">
      <c r="D29" s="48"/>
    </row>
    <row r="30" spans="1:7">
      <c r="A30" s="8" t="s">
        <v>208</v>
      </c>
      <c r="C30" s="67"/>
      <c r="D30" s="66">
        <v>0.03</v>
      </c>
      <c r="E30" s="124"/>
      <c r="F30" s="112" t="s">
        <v>225</v>
      </c>
    </row>
    <row r="31" spans="1:7">
      <c r="B31" s="129"/>
      <c r="C31" s="67" t="str">
        <f xml:space="preserve"> "302/365 ="</f>
        <v>302/365 =</v>
      </c>
      <c r="D31" s="115">
        <f>ROUND(302/365,3)</f>
        <v>0.82699999999999996</v>
      </c>
      <c r="E31" s="124"/>
      <c r="F31" s="112" t="s">
        <v>227</v>
      </c>
      <c r="G31" s="235"/>
    </row>
    <row r="32" spans="1:7" ht="13.5" thickBot="1">
      <c r="D32" s="125">
        <f>ROUND(D31*D30,6)</f>
        <v>2.4809999999999999E-2</v>
      </c>
      <c r="G32" s="236"/>
    </row>
    <row r="33" spans="1:7" ht="13.7" customHeight="1" thickTop="1"/>
    <row r="34" spans="1:7" ht="13.5" thickBot="1">
      <c r="A34" s="8" t="s">
        <v>230</v>
      </c>
      <c r="D34" s="125">
        <v>0.03</v>
      </c>
      <c r="F34" s="112" t="s">
        <v>228</v>
      </c>
      <c r="G34" s="237"/>
    </row>
    <row r="35" spans="1:7" ht="13.5" thickTop="1">
      <c r="A35" s="8"/>
      <c r="B35" s="107"/>
      <c r="F35" s="112" t="s">
        <v>231</v>
      </c>
    </row>
  </sheetData>
  <pageMargins left="0.61" right="0.75" top="1" bottom="1" header="0.5" footer="0.5"/>
  <pageSetup scale="90" orientation="portrait" r:id="rId1"/>
  <headerFooter alignWithMargins="0">
    <oddHeader>&amp;RAdjustment No. 3.02 Pro-Forma Non-Exec
Workpaper Ref. &amp;A</oddHeader>
    <oddFooter>&amp;L&amp;F&amp;RPrep by:  AMB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2019-10-07T07:00:00+00:00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BAA1A74-C288-4245-8157-613353F92AAF}"/>
</file>

<file path=customXml/itemProps2.xml><?xml version="1.0" encoding="utf-8"?>
<ds:datastoreItem xmlns:ds="http://schemas.openxmlformats.org/officeDocument/2006/customXml" ds:itemID="{BB5E5B91-2D58-4E9F-92B9-FE75946E6BF7}"/>
</file>

<file path=customXml/itemProps3.xml><?xml version="1.0" encoding="utf-8"?>
<ds:datastoreItem xmlns:ds="http://schemas.openxmlformats.org/officeDocument/2006/customXml" ds:itemID="{F56797A9-A91C-4536-8534-50D5603C8C75}"/>
</file>

<file path=customXml/itemProps4.xml><?xml version="1.0" encoding="utf-8"?>
<ds:datastoreItem xmlns:ds="http://schemas.openxmlformats.org/officeDocument/2006/customXml" ds:itemID="{67F319C5-2760-4796-A868-71F7C76997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16</vt:i4>
      </vt:variant>
    </vt:vector>
  </HeadingPairs>
  <TitlesOfParts>
    <vt:vector size="25" baseType="lpstr">
      <vt:lpstr>AN Electric</vt:lpstr>
      <vt:lpstr>Washington Electric PF</vt:lpstr>
      <vt:lpstr>Idaho Electric</vt:lpstr>
      <vt:lpstr>Total Electric Download</vt:lpstr>
      <vt:lpstr>Washington Gas PF</vt:lpstr>
      <vt:lpstr>AN Gas</vt:lpstr>
      <vt:lpstr>Idaho Gas</vt:lpstr>
      <vt:lpstr>Gas North Download</vt:lpstr>
      <vt:lpstr>Pro-Forma Increases</vt:lpstr>
      <vt:lpstr>'AN Electric'!Print_Area</vt:lpstr>
      <vt:lpstr>'AN Gas'!Print_Area</vt:lpstr>
      <vt:lpstr>'Gas North Download'!Print_Area</vt:lpstr>
      <vt:lpstr>'Idaho Electric'!Print_Area</vt:lpstr>
      <vt:lpstr>'Idaho Gas'!Print_Area</vt:lpstr>
      <vt:lpstr>'Pro-Forma Increases'!Print_Area</vt:lpstr>
      <vt:lpstr>'Total Electric Download'!Print_Area</vt:lpstr>
      <vt:lpstr>'Washington Electric PF'!Print_Area</vt:lpstr>
      <vt:lpstr>'Washington Gas PF'!Print_Area</vt:lpstr>
      <vt:lpstr>'AN Electric'!Print_Titles</vt:lpstr>
      <vt:lpstr>'AN Gas'!Print_Titles</vt:lpstr>
      <vt:lpstr>'Idaho Electric'!Print_Titles</vt:lpstr>
      <vt:lpstr>'Idaho Gas'!Print_Titles</vt:lpstr>
      <vt:lpstr>'Total Electric Download'!Print_Titles</vt:lpstr>
      <vt:lpstr>'Washington Electric PF'!Print_Titles</vt:lpstr>
      <vt:lpstr>'Washington Gas PF'!Print_Titles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PF - 2008 Labor&amp;Benefit.xls</dc:title>
  <dc:creator>tm</dc:creator>
  <cp:lastModifiedBy>Owner</cp:lastModifiedBy>
  <cp:lastPrinted>2019-08-26T01:25:59Z</cp:lastPrinted>
  <dcterms:created xsi:type="dcterms:W3CDTF">1998-07-15T16:25:24Z</dcterms:created>
  <dcterms:modified xsi:type="dcterms:W3CDTF">2019-09-23T19:29:16Z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