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5.xml" ContentType="application/vnd.openxmlformats-officedocument.spreadsheetml.worksheet+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Override PartName="/xl/customProperty4.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5.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278E4046-EE0A-4E7B-A860-3C9EFA2C16F4}" xr6:coauthVersionLast="47" xr6:coauthVersionMax="47" xr10:uidLastSave="{00000000-0000-0000-0000-000000000000}"/>
  <bookViews>
    <workbookView xWindow="5640" yWindow="1500" windowWidth="21030" windowHeight="15090" tabRatio="732" xr2:uid="{DBB52946-B617-4651-B342-E28E69BA1E88}"/>
  </bookViews>
  <sheets>
    <sheet name="13.2" sheetId="1" r:id="rId1"/>
    <sheet name="13.2.1" sheetId="2" r:id="rId2"/>
    <sheet name="13.2.2" sheetId="3" r:id="rId3"/>
    <sheet name="13.2.3" sheetId="4" r:id="rId4"/>
    <sheet name="13.2.4_REDACTED" sheetId="5" r:id="rId5"/>
    <sheet name="13.2.5" sheetId="6" r:id="rId6"/>
    <sheet name="13.2.6" sheetId="7" r:id="rId7"/>
    <sheet name="13.2.7" sheetId="8" r:id="rId8"/>
    <sheet name="13.2.8" sheetId="9" r:id="rId9"/>
  </sheets>
  <definedNames>
    <definedName name="_xlnm.Print_Area" localSheetId="2">'13.2.2'!$A$1:$I$35</definedName>
    <definedName name="_xlnm.Print_Area" localSheetId="6">'13.2.6'!$A$1:$J$35</definedName>
    <definedName name="_xlnm.Print_Area" localSheetId="7">'13.2.7'!$A$1:$I$81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5" i="1" l="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F45" i="1" l="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L75" i="8"/>
  <c r="M75" i="8" s="1"/>
  <c r="K75" i="8"/>
  <c r="L74" i="8"/>
  <c r="M74" i="8" s="1"/>
  <c r="K74" i="8"/>
  <c r="L73" i="8"/>
  <c r="M73" i="8" s="1"/>
  <c r="K73" i="8"/>
  <c r="L72" i="8"/>
  <c r="M72" i="8" s="1"/>
  <c r="K72" i="8"/>
  <c r="L71" i="8"/>
  <c r="M71" i="8" s="1"/>
  <c r="K71" i="8"/>
  <c r="M70" i="8"/>
  <c r="L70" i="8"/>
  <c r="K70" i="8"/>
  <c r="L69" i="8"/>
  <c r="M69" i="8" s="1"/>
  <c r="K69" i="8"/>
  <c r="M68" i="8"/>
  <c r="L68" i="8"/>
  <c r="K68" i="8"/>
  <c r="L67" i="8"/>
  <c r="M67" i="8" s="1"/>
  <c r="K67" i="8"/>
  <c r="L66" i="8"/>
  <c r="M66" i="8" s="1"/>
  <c r="K66" i="8"/>
  <c r="L65" i="8"/>
  <c r="M65" i="8" s="1"/>
  <c r="K65" i="8"/>
  <c r="L64" i="8"/>
  <c r="M64" i="8" s="1"/>
  <c r="K64" i="8"/>
  <c r="L63" i="8"/>
  <c r="M63" i="8" s="1"/>
  <c r="K63" i="8"/>
  <c r="M62" i="8"/>
  <c r="L62" i="8"/>
  <c r="K62" i="8"/>
  <c r="L61" i="8"/>
  <c r="M61" i="8" s="1"/>
  <c r="K61" i="8"/>
  <c r="M60" i="8"/>
  <c r="L60" i="8"/>
  <c r="K60" i="8"/>
  <c r="L59" i="8"/>
  <c r="M59" i="8" s="1"/>
  <c r="K59" i="8"/>
  <c r="M58" i="8"/>
  <c r="L58" i="8"/>
  <c r="K58" i="8"/>
  <c r="L57" i="8"/>
  <c r="M57" i="8" s="1"/>
  <c r="K57" i="8"/>
  <c r="L56" i="8"/>
  <c r="M56" i="8" s="1"/>
  <c r="K56" i="8"/>
  <c r="L55" i="8"/>
  <c r="M55" i="8" s="1"/>
  <c r="K55" i="8"/>
  <c r="M54" i="8"/>
  <c r="L54" i="8"/>
  <c r="K54" i="8"/>
  <c r="L53" i="8"/>
  <c r="M53" i="8" s="1"/>
  <c r="K53" i="8"/>
  <c r="M52" i="8"/>
  <c r="L52" i="8"/>
  <c r="K52" i="8"/>
  <c r="L51" i="8"/>
  <c r="M51" i="8" s="1"/>
  <c r="K51" i="8"/>
  <c r="M50" i="8"/>
  <c r="L50" i="8"/>
  <c r="K50" i="8"/>
  <c r="L49" i="8"/>
  <c r="M49" i="8" s="1"/>
  <c r="K49" i="8"/>
  <c r="L48" i="8"/>
  <c r="M48" i="8" s="1"/>
  <c r="K48" i="8"/>
  <c r="L47" i="8"/>
  <c r="M47" i="8" s="1"/>
  <c r="K47" i="8"/>
  <c r="L46" i="8"/>
  <c r="M46" i="8" s="1"/>
  <c r="K46" i="8"/>
  <c r="L45" i="8"/>
  <c r="M45" i="8" s="1"/>
  <c r="K45" i="8"/>
  <c r="M44" i="8"/>
  <c r="L44" i="8"/>
  <c r="K44" i="8"/>
  <c r="M43" i="8"/>
  <c r="L43" i="8"/>
  <c r="K43" i="8"/>
  <c r="M42" i="8"/>
  <c r="L42" i="8"/>
  <c r="K42" i="8"/>
  <c r="L41" i="8"/>
  <c r="M41" i="8" s="1"/>
  <c r="K41" i="8"/>
  <c r="L40" i="8"/>
  <c r="M40" i="8" s="1"/>
  <c r="K40" i="8"/>
  <c r="L39" i="8"/>
  <c r="M39" i="8" s="1"/>
  <c r="K39" i="8"/>
  <c r="L38" i="8"/>
  <c r="M38" i="8" s="1"/>
  <c r="K38" i="8"/>
  <c r="L37" i="8"/>
  <c r="M37" i="8" s="1"/>
  <c r="K37" i="8"/>
  <c r="M36" i="8"/>
  <c r="L36" i="8"/>
  <c r="K36" i="8"/>
  <c r="M35" i="8"/>
  <c r="L35" i="8"/>
  <c r="K35" i="8"/>
  <c r="M34" i="8"/>
  <c r="L34" i="8"/>
  <c r="K34" i="8"/>
  <c r="L33" i="8"/>
  <c r="M33" i="8" s="1"/>
  <c r="K33" i="8"/>
  <c r="L32" i="8"/>
  <c r="M32" i="8" s="1"/>
  <c r="K32" i="8"/>
  <c r="L31" i="8"/>
  <c r="M31" i="8" s="1"/>
  <c r="K31" i="8"/>
  <c r="L30" i="8"/>
  <c r="M30" i="8" s="1"/>
  <c r="K30" i="8"/>
  <c r="L29" i="8"/>
  <c r="M29" i="8" s="1"/>
  <c r="K29" i="8"/>
  <c r="M28" i="8"/>
  <c r="L28" i="8"/>
  <c r="K28" i="8"/>
  <c r="M27" i="8"/>
  <c r="L27" i="8"/>
  <c r="K27" i="8"/>
  <c r="M26" i="8"/>
  <c r="L26" i="8"/>
  <c r="K26" i="8"/>
  <c r="L25" i="8"/>
  <c r="M25" i="8" s="1"/>
  <c r="K25" i="8"/>
  <c r="L24" i="8"/>
  <c r="M24" i="8" s="1"/>
  <c r="K24" i="8"/>
  <c r="L23" i="8"/>
  <c r="M23" i="8" s="1"/>
  <c r="K23" i="8"/>
  <c r="L22" i="8"/>
  <c r="M22" i="8" s="1"/>
  <c r="K22" i="8"/>
  <c r="L21" i="8"/>
  <c r="M21" i="8" s="1"/>
  <c r="K21" i="8"/>
  <c r="M20" i="8"/>
  <c r="L20" i="8"/>
  <c r="K20" i="8"/>
  <c r="M19" i="8"/>
  <c r="L19" i="8"/>
  <c r="K19" i="8"/>
  <c r="M18" i="8"/>
  <c r="L18" i="8"/>
  <c r="K18" i="8"/>
  <c r="L17" i="8"/>
  <c r="M17" i="8" s="1"/>
  <c r="K17" i="8"/>
  <c r="L16" i="8"/>
  <c r="M16" i="8" s="1"/>
  <c r="K16" i="8"/>
  <c r="L15" i="8"/>
  <c r="M15" i="8" s="1"/>
  <c r="K15" i="8"/>
  <c r="L14" i="8"/>
  <c r="M14" i="8" s="1"/>
  <c r="K14" i="8"/>
  <c r="L13" i="8"/>
  <c r="M13" i="8" s="1"/>
  <c r="K13" i="8"/>
  <c r="M12" i="8"/>
  <c r="L12" i="8"/>
  <c r="K12" i="8"/>
  <c r="M11" i="8"/>
  <c r="L11" i="8"/>
  <c r="K11" i="8"/>
  <c r="M10" i="8"/>
  <c r="L10" i="8"/>
  <c r="K10" i="8"/>
  <c r="L9" i="8"/>
  <c r="M9" i="8" s="1"/>
  <c r="K9" i="8"/>
  <c r="L8" i="8"/>
  <c r="M8" i="8" s="1"/>
  <c r="K8" i="8"/>
  <c r="C75" i="9" l="1"/>
  <c r="C74" i="9"/>
  <c r="C73" i="9"/>
  <c r="C72" i="9"/>
  <c r="C71" i="9"/>
  <c r="C70" i="9"/>
  <c r="C69" i="9"/>
  <c r="C68" i="9"/>
  <c r="C67" i="9"/>
  <c r="C66" i="9"/>
  <c r="C65" i="9"/>
  <c r="C64" i="9"/>
  <c r="C63" i="9"/>
  <c r="C62" i="9"/>
  <c r="C61" i="9"/>
  <c r="C60" i="9"/>
  <c r="C59" i="9"/>
  <c r="C58" i="9"/>
  <c r="C57" i="9"/>
  <c r="C56" i="9"/>
  <c r="C55" i="9"/>
  <c r="C54" i="9"/>
  <c r="C53" i="9"/>
  <c r="C52" i="9"/>
  <c r="C51" i="9"/>
  <c r="C50" i="9"/>
  <c r="C49" i="9"/>
  <c r="C48" i="9"/>
  <c r="C47" i="9"/>
  <c r="C46" i="9"/>
  <c r="C45"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C15" i="9"/>
  <c r="C14" i="9"/>
  <c r="C13" i="9"/>
  <c r="C78" i="9" s="1"/>
  <c r="C12" i="9"/>
  <c r="C11" i="9"/>
  <c r="C10" i="9"/>
  <c r="C9" i="9"/>
  <c r="C8" i="9"/>
  <c r="F79" i="8"/>
  <c r="B79" i="8"/>
  <c r="G24" i="3"/>
  <c r="H24" i="3" s="1"/>
  <c r="G23" i="3"/>
  <c r="H23" i="3" s="1"/>
  <c r="G22" i="3"/>
  <c r="G21" i="3"/>
  <c r="A1" i="3"/>
  <c r="G78" i="9"/>
  <c r="G82" i="9" s="1"/>
  <c r="F77" i="8"/>
  <c r="B77" i="8"/>
  <c r="B81" i="8" s="1"/>
  <c r="G9" i="7"/>
  <c r="G8" i="7"/>
  <c r="G10" i="7" s="1"/>
  <c r="G13" i="7" s="1"/>
  <c r="G15" i="7" s="1"/>
  <c r="G17" i="7" s="1"/>
  <c r="H17" i="7" s="1"/>
  <c r="C14" i="6"/>
  <c r="B14" i="6"/>
  <c r="E13" i="6"/>
  <c r="G13" i="6" s="1"/>
  <c r="G12" i="6"/>
  <c r="E12" i="6"/>
  <c r="D11" i="6"/>
  <c r="D14" i="6" s="1"/>
  <c r="E10" i="6"/>
  <c r="N66" i="5"/>
  <c r="M66" i="5"/>
  <c r="L66" i="5"/>
  <c r="K66" i="5"/>
  <c r="J66" i="5"/>
  <c r="I66" i="5"/>
  <c r="H66" i="5"/>
  <c r="G66" i="5"/>
  <c r="F66" i="5"/>
  <c r="E66" i="5"/>
  <c r="D66" i="5"/>
  <c r="C66" i="5"/>
  <c r="N64" i="5"/>
  <c r="M64" i="5"/>
  <c r="L64" i="5"/>
  <c r="K64" i="5"/>
  <c r="J64" i="5"/>
  <c r="I64" i="5"/>
  <c r="H64" i="5"/>
  <c r="G64" i="5"/>
  <c r="F64" i="5"/>
  <c r="E64" i="5"/>
  <c r="D64" i="5"/>
  <c r="C64" i="5"/>
  <c r="N63" i="5"/>
  <c r="M63" i="5"/>
  <c r="L63" i="5"/>
  <c r="K63" i="5"/>
  <c r="J63" i="5"/>
  <c r="I63" i="5"/>
  <c r="H63" i="5"/>
  <c r="G63" i="5"/>
  <c r="F63" i="5"/>
  <c r="E63" i="5"/>
  <c r="D63" i="5"/>
  <c r="C63" i="5"/>
  <c r="N62" i="5"/>
  <c r="M62" i="5"/>
  <c r="L62" i="5"/>
  <c r="K62" i="5"/>
  <c r="J62" i="5"/>
  <c r="I62" i="5"/>
  <c r="H62" i="5"/>
  <c r="G62" i="5"/>
  <c r="F62" i="5"/>
  <c r="E62" i="5"/>
  <c r="D62" i="5"/>
  <c r="C62" i="5"/>
  <c r="N61" i="5"/>
  <c r="M61" i="5"/>
  <c r="L61" i="5"/>
  <c r="K61" i="5"/>
  <c r="J61" i="5"/>
  <c r="I61" i="5"/>
  <c r="H61" i="5"/>
  <c r="G61" i="5"/>
  <c r="F61" i="5"/>
  <c r="E61" i="5"/>
  <c r="D61" i="5"/>
  <c r="C61" i="5"/>
  <c r="N59" i="5"/>
  <c r="M59" i="5"/>
  <c r="L59" i="5"/>
  <c r="K59" i="5"/>
  <c r="J59" i="5"/>
  <c r="I59" i="5"/>
  <c r="H59" i="5"/>
  <c r="G59" i="5"/>
  <c r="F59" i="5"/>
  <c r="E59" i="5"/>
  <c r="D59" i="5"/>
  <c r="C59" i="5"/>
  <c r="N58" i="5"/>
  <c r="M58" i="5"/>
  <c r="L58" i="5"/>
  <c r="K58" i="5"/>
  <c r="J58" i="5"/>
  <c r="I58" i="5"/>
  <c r="H58" i="5"/>
  <c r="G58" i="5"/>
  <c r="F58" i="5"/>
  <c r="E58" i="5"/>
  <c r="D58" i="5"/>
  <c r="C58" i="5"/>
  <c r="N57" i="5"/>
  <c r="M57" i="5"/>
  <c r="L57" i="5"/>
  <c r="K57" i="5"/>
  <c r="J57" i="5"/>
  <c r="I57" i="5"/>
  <c r="H57" i="5"/>
  <c r="G57" i="5"/>
  <c r="F57" i="5"/>
  <c r="E57" i="5"/>
  <c r="D57" i="5"/>
  <c r="C57" i="5"/>
  <c r="N56" i="5"/>
  <c r="M56" i="5"/>
  <c r="L56" i="5"/>
  <c r="K56" i="5"/>
  <c r="J56" i="5"/>
  <c r="I56" i="5"/>
  <c r="H56" i="5"/>
  <c r="G56" i="5"/>
  <c r="F56" i="5"/>
  <c r="E56" i="5"/>
  <c r="D56" i="5"/>
  <c r="C56" i="5"/>
  <c r="N55" i="5"/>
  <c r="M55" i="5"/>
  <c r="L55" i="5"/>
  <c r="K55" i="5"/>
  <c r="J55" i="5"/>
  <c r="I55" i="5"/>
  <c r="H55" i="5"/>
  <c r="G55" i="5"/>
  <c r="F55" i="5"/>
  <c r="E55" i="5"/>
  <c r="D55" i="5"/>
  <c r="C55" i="5"/>
  <c r="N54" i="5"/>
  <c r="M54" i="5"/>
  <c r="L54" i="5"/>
  <c r="K54" i="5"/>
  <c r="J54" i="5"/>
  <c r="I54" i="5"/>
  <c r="H54" i="5"/>
  <c r="G54" i="5"/>
  <c r="F54" i="5"/>
  <c r="E54" i="5"/>
  <c r="D54" i="5"/>
  <c r="C54" i="5"/>
  <c r="B11" i="3"/>
  <c r="G10" i="3" s="1"/>
  <c r="D11" i="3"/>
  <c r="D10" i="4" s="1"/>
  <c r="E11" i="3"/>
  <c r="E13" i="3"/>
  <c r="G15" i="3"/>
  <c r="G16" i="3"/>
  <c r="H16" i="3"/>
  <c r="H17" i="3" s="1"/>
  <c r="B17" i="3"/>
  <c r="D17" i="3"/>
  <c r="E17" i="3"/>
  <c r="G19" i="3"/>
  <c r="H19" i="3" s="1"/>
  <c r="G20" i="3"/>
  <c r="H20" i="3" s="1"/>
  <c r="H21" i="3"/>
  <c r="H22" i="3"/>
  <c r="G25" i="3"/>
  <c r="H25" i="3" s="1"/>
  <c r="G26" i="3"/>
  <c r="H26" i="3" s="1"/>
  <c r="B27" i="3"/>
  <c r="D27" i="3"/>
  <c r="D29" i="3" s="1"/>
  <c r="E27" i="3"/>
  <c r="B29" i="3"/>
  <c r="B33" i="3" s="1"/>
  <c r="H31" i="3"/>
  <c r="I46" i="1"/>
  <c r="F46" i="1"/>
  <c r="O58" i="5" l="1"/>
  <c r="O62" i="5"/>
  <c r="O64" i="5"/>
  <c r="O66" i="5"/>
  <c r="O57" i="5"/>
  <c r="O59" i="5"/>
  <c r="O56" i="5"/>
  <c r="O61" i="5"/>
  <c r="O63" i="5"/>
  <c r="G9" i="3"/>
  <c r="H9" i="3" s="1"/>
  <c r="D33" i="3"/>
  <c r="F81" i="8"/>
  <c r="H27" i="3"/>
  <c r="G17" i="3"/>
  <c r="D8" i="4"/>
  <c r="D11" i="4" s="1"/>
  <c r="G27" i="3"/>
  <c r="G8" i="3"/>
  <c r="C80" i="9"/>
  <c r="C82" i="9" s="1"/>
  <c r="E29" i="3"/>
  <c r="C74" i="8"/>
  <c r="C72" i="8"/>
  <c r="C70" i="8"/>
  <c r="C68" i="8"/>
  <c r="C66" i="8"/>
  <c r="C64" i="8"/>
  <c r="C62" i="8"/>
  <c r="C60" i="8"/>
  <c r="C58" i="8"/>
  <c r="C56" i="8"/>
  <c r="C54" i="8"/>
  <c r="C52" i="8"/>
  <c r="C50" i="8"/>
  <c r="C48" i="8"/>
  <c r="C46" i="8"/>
  <c r="C44" i="8"/>
  <c r="C42" i="8"/>
  <c r="C40" i="8"/>
  <c r="C38" i="8"/>
  <c r="C36" i="8"/>
  <c r="C34" i="8"/>
  <c r="C32" i="8"/>
  <c r="C30" i="8"/>
  <c r="C28" i="8"/>
  <c r="C26" i="8"/>
  <c r="C24" i="8"/>
  <c r="C22" i="8"/>
  <c r="C20" i="8"/>
  <c r="C18" i="8"/>
  <c r="C16" i="8"/>
  <c r="C14" i="8"/>
  <c r="C12" i="8"/>
  <c r="C10" i="8"/>
  <c r="C8" i="8"/>
  <c r="C79" i="8"/>
  <c r="C75" i="8"/>
  <c r="C73" i="8"/>
  <c r="C71" i="8"/>
  <c r="C69" i="8"/>
  <c r="C67" i="8"/>
  <c r="C65" i="8"/>
  <c r="C63" i="8"/>
  <c r="C61" i="8"/>
  <c r="C59" i="8"/>
  <c r="C57" i="8"/>
  <c r="C55" i="8"/>
  <c r="C53" i="8"/>
  <c r="C51" i="8"/>
  <c r="C49" i="8"/>
  <c r="C47" i="8"/>
  <c r="C45" i="8"/>
  <c r="C43" i="8"/>
  <c r="C41" i="8"/>
  <c r="C39" i="8"/>
  <c r="C37" i="8"/>
  <c r="C35" i="8"/>
  <c r="C33" i="8"/>
  <c r="C31" i="8"/>
  <c r="C29" i="8"/>
  <c r="C27" i="8"/>
  <c r="C25" i="8"/>
  <c r="C23" i="8"/>
  <c r="C21" i="8"/>
  <c r="C19" i="8"/>
  <c r="C17" i="8"/>
  <c r="C15" i="8"/>
  <c r="C13" i="8"/>
  <c r="C11" i="8"/>
  <c r="C9" i="8"/>
  <c r="E14" i="6"/>
  <c r="G10" i="6"/>
  <c r="G14" i="6" s="1"/>
  <c r="E11" i="6"/>
  <c r="G11" i="6" s="1"/>
  <c r="O55" i="5"/>
  <c r="H10" i="3"/>
  <c r="G11" i="3" l="1"/>
  <c r="D13" i="4" s="1"/>
  <c r="D8" i="9"/>
  <c r="D19" i="9"/>
  <c r="D28" i="9"/>
  <c r="D11" i="9"/>
  <c r="D15" i="4"/>
  <c r="G13" i="3" s="1"/>
  <c r="H13" i="3" s="1"/>
  <c r="F22" i="7" s="1"/>
  <c r="G22" i="7" s="1"/>
  <c r="D14" i="4"/>
  <c r="H8" i="3"/>
  <c r="H11" i="3" s="1"/>
  <c r="F21" i="7" s="1"/>
  <c r="E33" i="3"/>
  <c r="E81" i="8"/>
  <c r="E74" i="8" s="1"/>
  <c r="F74" i="9" s="1"/>
  <c r="D16" i="9"/>
  <c r="D41" i="9"/>
  <c r="D56" i="9"/>
  <c r="D15" i="9"/>
  <c r="D73" i="9"/>
  <c r="D49" i="9"/>
  <c r="D57" i="9"/>
  <c r="D17" i="9"/>
  <c r="D23" i="9"/>
  <c r="D24" i="9"/>
  <c r="D64" i="9"/>
  <c r="D36" i="9"/>
  <c r="D12" i="9"/>
  <c r="D40" i="9"/>
  <c r="D35" i="9"/>
  <c r="D31" i="9"/>
  <c r="D47" i="9"/>
  <c r="D33" i="9"/>
  <c r="D25" i="9"/>
  <c r="D51" i="9"/>
  <c r="D80" i="9"/>
  <c r="D68" i="9"/>
  <c r="D20" i="9"/>
  <c r="D71" i="9"/>
  <c r="D63" i="9"/>
  <c r="D10" i="9"/>
  <c r="D74" i="9"/>
  <c r="D66" i="9"/>
  <c r="D58" i="9"/>
  <c r="D50" i="9"/>
  <c r="D42" i="9"/>
  <c r="D34" i="9"/>
  <c r="D26" i="9"/>
  <c r="D69" i="9"/>
  <c r="D61" i="9"/>
  <c r="D53" i="9"/>
  <c r="D45" i="9"/>
  <c r="D37" i="9"/>
  <c r="D29" i="9"/>
  <c r="D21" i="9"/>
  <c r="D13" i="9"/>
  <c r="D30" i="9"/>
  <c r="D14" i="9"/>
  <c r="D70" i="9"/>
  <c r="D54" i="9"/>
  <c r="D46" i="9"/>
  <c r="D22" i="9"/>
  <c r="D62" i="9"/>
  <c r="D38" i="9"/>
  <c r="D55" i="9"/>
  <c r="D18" i="9"/>
  <c r="D75" i="9"/>
  <c r="D67" i="9"/>
  <c r="D9" i="9"/>
  <c r="D60" i="9"/>
  <c r="D59" i="9"/>
  <c r="D72" i="9"/>
  <c r="D44" i="9"/>
  <c r="D48" i="9"/>
  <c r="D43" i="9"/>
  <c r="D39" i="9"/>
  <c r="D52" i="9"/>
  <c r="D65" i="9"/>
  <c r="D32" i="9"/>
  <c r="D27" i="9"/>
  <c r="E51" i="8"/>
  <c r="F51" i="9" s="1"/>
  <c r="E49" i="8"/>
  <c r="F49" i="9" s="1"/>
  <c r="E44" i="8"/>
  <c r="F44" i="9" s="1"/>
  <c r="E23" i="8"/>
  <c r="F23" i="9" s="1"/>
  <c r="E73" i="8"/>
  <c r="F73" i="9" s="1"/>
  <c r="E75" i="8"/>
  <c r="F75" i="9" s="1"/>
  <c r="E68" i="8"/>
  <c r="F68" i="9" s="1"/>
  <c r="E35" i="8"/>
  <c r="F35" i="9" s="1"/>
  <c r="E30" i="8"/>
  <c r="F30" i="9" s="1"/>
  <c r="E9" i="8"/>
  <c r="F9" i="9" s="1"/>
  <c r="E11" i="8"/>
  <c r="F11" i="9" s="1"/>
  <c r="E45" i="8"/>
  <c r="F45" i="9" s="1"/>
  <c r="E38" i="8"/>
  <c r="F38" i="9" s="1"/>
  <c r="E42" i="8"/>
  <c r="F42" i="9" s="1"/>
  <c r="E41" i="8"/>
  <c r="F41" i="9" s="1"/>
  <c r="E47" i="8"/>
  <c r="F47" i="9" s="1"/>
  <c r="C77" i="8"/>
  <c r="C81" i="8" s="1"/>
  <c r="E40" i="8"/>
  <c r="F40" i="9" s="1"/>
  <c r="G29" i="3" l="1"/>
  <c r="G33" i="3" s="1"/>
  <c r="F23" i="7"/>
  <c r="F26" i="7" s="1"/>
  <c r="F28" i="7" s="1"/>
  <c r="F30" i="7" s="1"/>
  <c r="G21" i="7"/>
  <c r="G23" i="7" s="1"/>
  <c r="G26" i="7" s="1"/>
  <c r="G28" i="7" s="1"/>
  <c r="G30" i="7" s="1"/>
  <c r="H29" i="3"/>
  <c r="E65" i="8"/>
  <c r="F65" i="9" s="1"/>
  <c r="E59" i="8"/>
  <c r="F59" i="9" s="1"/>
  <c r="E32" i="8"/>
  <c r="F32" i="9" s="1"/>
  <c r="E34" i="8"/>
  <c r="F34" i="9" s="1"/>
  <c r="E52" i="8"/>
  <c r="F52" i="9" s="1"/>
  <c r="E62" i="8"/>
  <c r="F62" i="9" s="1"/>
  <c r="E72" i="8"/>
  <c r="F72" i="9" s="1"/>
  <c r="E8" i="8"/>
  <c r="F8" i="9" s="1"/>
  <c r="E15" i="8"/>
  <c r="F15" i="9" s="1"/>
  <c r="E55" i="8"/>
  <c r="F55" i="9" s="1"/>
  <c r="E13" i="8"/>
  <c r="F13" i="9" s="1"/>
  <c r="E27" i="8"/>
  <c r="F27" i="9" s="1"/>
  <c r="E37" i="8"/>
  <c r="F37" i="9" s="1"/>
  <c r="E19" i="8"/>
  <c r="F19" i="9" s="1"/>
  <c r="E33" i="8"/>
  <c r="F33" i="9" s="1"/>
  <c r="E24" i="8"/>
  <c r="F24" i="9" s="1"/>
  <c r="E53" i="8"/>
  <c r="F53" i="9" s="1"/>
  <c r="E25" i="8"/>
  <c r="F25" i="9" s="1"/>
  <c r="E22" i="8"/>
  <c r="F22" i="9" s="1"/>
  <c r="E48" i="8"/>
  <c r="F48" i="9" s="1"/>
  <c r="E14" i="8"/>
  <c r="F14" i="9" s="1"/>
  <c r="E26" i="8"/>
  <c r="F26" i="9" s="1"/>
  <c r="E70" i="8"/>
  <c r="F70" i="9" s="1"/>
  <c r="E79" i="8"/>
  <c r="E18" i="8"/>
  <c r="F18" i="9" s="1"/>
  <c r="E16" i="8"/>
  <c r="F16" i="9" s="1"/>
  <c r="E28" i="8"/>
  <c r="F28" i="9" s="1"/>
  <c r="E10" i="8"/>
  <c r="F10" i="9" s="1"/>
  <c r="E36" i="8"/>
  <c r="F36" i="9" s="1"/>
  <c r="E64" i="8"/>
  <c r="F64" i="9" s="1"/>
  <c r="E46" i="8"/>
  <c r="F46" i="9" s="1"/>
  <c r="E31" i="8"/>
  <c r="F31" i="9" s="1"/>
  <c r="E29" i="8"/>
  <c r="F29" i="9" s="1"/>
  <c r="E58" i="8"/>
  <c r="F58" i="9" s="1"/>
  <c r="E56" i="8"/>
  <c r="F56" i="9" s="1"/>
  <c r="E63" i="8"/>
  <c r="F63" i="9" s="1"/>
  <c r="E61" i="8"/>
  <c r="F61" i="9" s="1"/>
  <c r="E43" i="8"/>
  <c r="F43" i="9" s="1"/>
  <c r="E57" i="8"/>
  <c r="F57" i="9" s="1"/>
  <c r="E39" i="8"/>
  <c r="F39" i="9" s="1"/>
  <c r="E17" i="8"/>
  <c r="F17" i="9" s="1"/>
  <c r="E71" i="8"/>
  <c r="F71" i="9" s="1"/>
  <c r="E21" i="8"/>
  <c r="F21" i="9" s="1"/>
  <c r="E69" i="8"/>
  <c r="F69" i="9" s="1"/>
  <c r="E67" i="8"/>
  <c r="F67" i="9" s="1"/>
  <c r="E66" i="8"/>
  <c r="F66" i="9" s="1"/>
  <c r="E60" i="8"/>
  <c r="F60" i="9" s="1"/>
  <c r="E54" i="8"/>
  <c r="F54" i="9" s="1"/>
  <c r="E12" i="8"/>
  <c r="F12" i="9" s="1"/>
  <c r="E20" i="8"/>
  <c r="F20" i="9" s="1"/>
  <c r="E50" i="8"/>
  <c r="F50" i="9" s="1"/>
  <c r="D78" i="9"/>
  <c r="D82" i="9" s="1"/>
  <c r="H30" i="7" l="1"/>
  <c r="F78" i="9"/>
  <c r="H33" i="3"/>
  <c r="H81" i="8"/>
  <c r="E77" i="8"/>
  <c r="F80" i="9" l="1"/>
  <c r="F82" i="9" s="1"/>
  <c r="I81" i="8"/>
  <c r="H51" i="8"/>
  <c r="H44" i="8"/>
  <c r="H68" i="8"/>
  <c r="H69" i="8"/>
  <c r="H21" i="8"/>
  <c r="H71" i="8"/>
  <c r="H17" i="8"/>
  <c r="H39" i="8"/>
  <c r="H57" i="8"/>
  <c r="H43" i="8"/>
  <c r="H61" i="8"/>
  <c r="H63" i="8"/>
  <c r="H40" i="8"/>
  <c r="H53" i="8"/>
  <c r="H8" i="8"/>
  <c r="H52" i="8"/>
  <c r="H34" i="8"/>
  <c r="H32" i="8"/>
  <c r="H23" i="8"/>
  <c r="H41" i="8"/>
  <c r="H30" i="8"/>
  <c r="H74" i="8"/>
  <c r="H50" i="8"/>
  <c r="H20" i="8"/>
  <c r="H12" i="8"/>
  <c r="H54" i="8"/>
  <c r="H60" i="8"/>
  <c r="H66" i="8"/>
  <c r="H67" i="8"/>
  <c r="H65" i="8"/>
  <c r="H72" i="8"/>
  <c r="H62" i="8"/>
  <c r="H58" i="8"/>
  <c r="H75" i="8"/>
  <c r="H24" i="8"/>
  <c r="H33" i="8"/>
  <c r="H19" i="8"/>
  <c r="H37" i="8"/>
  <c r="H27" i="8"/>
  <c r="H13" i="8"/>
  <c r="H55" i="8"/>
  <c r="H15" i="8"/>
  <c r="H56" i="8"/>
  <c r="H59" i="8"/>
  <c r="H31" i="8"/>
  <c r="H26" i="8"/>
  <c r="H22" i="8"/>
  <c r="H73" i="8"/>
  <c r="H35" i="8"/>
  <c r="H9" i="8"/>
  <c r="H45" i="8"/>
  <c r="H47" i="8"/>
  <c r="H46" i="8"/>
  <c r="H64" i="8"/>
  <c r="H36" i="8"/>
  <c r="H10" i="8"/>
  <c r="H28" i="8"/>
  <c r="H16" i="8"/>
  <c r="H18" i="8"/>
  <c r="H79" i="8"/>
  <c r="I79" i="8" s="1"/>
  <c r="H70" i="8"/>
  <c r="H25" i="8"/>
  <c r="H29" i="8"/>
  <c r="H14" i="8"/>
  <c r="H48" i="8"/>
  <c r="H49" i="8"/>
  <c r="H11" i="8"/>
  <c r="H38" i="8"/>
  <c r="H42" i="8"/>
  <c r="I46" i="8" l="1"/>
  <c r="I46" i="9"/>
  <c r="J46" i="9" s="1"/>
  <c r="I42" i="8"/>
  <c r="I42" i="9"/>
  <c r="J42" i="9" s="1"/>
  <c r="I31" i="8"/>
  <c r="I31" i="9"/>
  <c r="J31" i="9" s="1"/>
  <c r="I21" i="8"/>
  <c r="I21" i="9"/>
  <c r="J21" i="9" s="1"/>
  <c r="I47" i="8"/>
  <c r="I47" i="9"/>
  <c r="J47" i="9" s="1"/>
  <c r="I11" i="8"/>
  <c r="I11" i="9"/>
  <c r="J11" i="9" s="1"/>
  <c r="I60" i="8"/>
  <c r="I60" i="9"/>
  <c r="J60" i="9" s="1"/>
  <c r="I57" i="8"/>
  <c r="I57" i="9"/>
  <c r="J57" i="9" s="1"/>
  <c r="I33" i="8"/>
  <c r="I33" i="9"/>
  <c r="J33" i="9" s="1"/>
  <c r="I63" i="8"/>
  <c r="I63" i="9"/>
  <c r="J63" i="9" s="1"/>
  <c r="I45" i="8"/>
  <c r="I45" i="9"/>
  <c r="J45" i="9" s="1"/>
  <c r="I24" i="8"/>
  <c r="I24" i="9"/>
  <c r="J24" i="9" s="1"/>
  <c r="I68" i="8"/>
  <c r="I68" i="9"/>
  <c r="J68" i="9" s="1"/>
  <c r="I49" i="8"/>
  <c r="I49" i="9"/>
  <c r="J49" i="9" s="1"/>
  <c r="I9" i="8"/>
  <c r="I9" i="9"/>
  <c r="J9" i="9" s="1"/>
  <c r="I75" i="8"/>
  <c r="I75" i="9"/>
  <c r="J75" i="9" s="1"/>
  <c r="I32" i="8"/>
  <c r="I32" i="9"/>
  <c r="J32" i="9" s="1"/>
  <c r="I48" i="8"/>
  <c r="I48" i="9"/>
  <c r="J48" i="9" s="1"/>
  <c r="I35" i="8"/>
  <c r="I35" i="9"/>
  <c r="J35" i="9" s="1"/>
  <c r="I58" i="8"/>
  <c r="I58" i="9"/>
  <c r="J58" i="9" s="1"/>
  <c r="I34" i="8"/>
  <c r="I34" i="9"/>
  <c r="J34" i="9" s="1"/>
  <c r="I10" i="8"/>
  <c r="I10" i="9"/>
  <c r="J10" i="9" s="1"/>
  <c r="I73" i="8"/>
  <c r="I73" i="9"/>
  <c r="J73" i="9" s="1"/>
  <c r="I13" i="8"/>
  <c r="I13" i="9"/>
  <c r="J13" i="9" s="1"/>
  <c r="I62" i="8"/>
  <c r="I62" i="9"/>
  <c r="J62" i="9" s="1"/>
  <c r="I20" i="8"/>
  <c r="I20" i="9"/>
  <c r="J20" i="9" s="1"/>
  <c r="I52" i="8"/>
  <c r="I52" i="9"/>
  <c r="J52" i="9" s="1"/>
  <c r="I39" i="8"/>
  <c r="I39" i="9"/>
  <c r="J39" i="9" s="1"/>
  <c r="I19" i="8"/>
  <c r="I19" i="9"/>
  <c r="J19" i="9" s="1"/>
  <c r="I40" i="8"/>
  <c r="I40" i="9"/>
  <c r="J40" i="9" s="1"/>
  <c r="I59" i="8"/>
  <c r="I59" i="9"/>
  <c r="J59" i="9" s="1"/>
  <c r="I41" i="8"/>
  <c r="I41" i="9"/>
  <c r="J41" i="9" s="1"/>
  <c r="I56" i="8"/>
  <c r="I56" i="9"/>
  <c r="J56" i="9" s="1"/>
  <c r="I61" i="8"/>
  <c r="I61" i="9"/>
  <c r="J61" i="9" s="1"/>
  <c r="I43" i="8"/>
  <c r="I43" i="9"/>
  <c r="J43" i="9" s="1"/>
  <c r="I8" i="9"/>
  <c r="I8" i="8"/>
  <c r="H77" i="8"/>
  <c r="I70" i="8"/>
  <c r="I70" i="9"/>
  <c r="J70" i="9" s="1"/>
  <c r="I67" i="8"/>
  <c r="I67" i="9"/>
  <c r="J67" i="9" s="1"/>
  <c r="I30" i="8"/>
  <c r="I30" i="9"/>
  <c r="J30" i="9" s="1"/>
  <c r="I38" i="8"/>
  <c r="I38" i="9"/>
  <c r="J38" i="9" s="1"/>
  <c r="I66" i="8"/>
  <c r="I66" i="9"/>
  <c r="J66" i="9" s="1"/>
  <c r="I69" i="8"/>
  <c r="I69" i="9"/>
  <c r="J69" i="9" s="1"/>
  <c r="I18" i="8"/>
  <c r="I18" i="9"/>
  <c r="J18" i="9" s="1"/>
  <c r="I23" i="8"/>
  <c r="I23" i="9"/>
  <c r="J23" i="9" s="1"/>
  <c r="I16" i="8"/>
  <c r="I16" i="9"/>
  <c r="J16" i="9" s="1"/>
  <c r="I15" i="8"/>
  <c r="I15" i="9"/>
  <c r="J15" i="9" s="1"/>
  <c r="I54" i="8"/>
  <c r="I54" i="9"/>
  <c r="J54" i="9" s="1"/>
  <c r="I44" i="8"/>
  <c r="I44" i="9"/>
  <c r="J44" i="9" s="1"/>
  <c r="I28" i="8"/>
  <c r="I28" i="9"/>
  <c r="J28" i="9" s="1"/>
  <c r="I55" i="8"/>
  <c r="I55" i="9"/>
  <c r="J55" i="9" s="1"/>
  <c r="I12" i="8"/>
  <c r="I12" i="9"/>
  <c r="J12" i="9" s="1"/>
  <c r="I51" i="8"/>
  <c r="I51" i="9"/>
  <c r="J51" i="9" s="1"/>
  <c r="I14" i="8"/>
  <c r="I14" i="9"/>
  <c r="J14" i="9" s="1"/>
  <c r="I29" i="8"/>
  <c r="I29" i="9"/>
  <c r="J29" i="9" s="1"/>
  <c r="I36" i="8"/>
  <c r="I36" i="9"/>
  <c r="J36" i="9" s="1"/>
  <c r="I22" i="8"/>
  <c r="I22" i="9"/>
  <c r="J22" i="9" s="1"/>
  <c r="I27" i="8"/>
  <c r="I27" i="9"/>
  <c r="J27" i="9" s="1"/>
  <c r="I72" i="8"/>
  <c r="I72" i="9"/>
  <c r="J72" i="9" s="1"/>
  <c r="I50" i="8"/>
  <c r="I50" i="9"/>
  <c r="J50" i="9" s="1"/>
  <c r="I17" i="8"/>
  <c r="I17" i="9"/>
  <c r="J17" i="9" s="1"/>
  <c r="I25" i="8"/>
  <c r="I25" i="9"/>
  <c r="J25" i="9" s="1"/>
  <c r="I64" i="8"/>
  <c r="I64" i="9"/>
  <c r="J64" i="9" s="1"/>
  <c r="I26" i="8"/>
  <c r="I26" i="9"/>
  <c r="J26" i="9" s="1"/>
  <c r="I37" i="8"/>
  <c r="I37" i="9"/>
  <c r="J37" i="9" s="1"/>
  <c r="I65" i="8"/>
  <c r="I65" i="9"/>
  <c r="J65" i="9" s="1"/>
  <c r="I74" i="8"/>
  <c r="I74" i="9"/>
  <c r="J74" i="9" s="1"/>
  <c r="I53" i="8"/>
  <c r="I53" i="9"/>
  <c r="J53" i="9" s="1"/>
  <c r="I71" i="8"/>
  <c r="I71" i="9"/>
  <c r="J71" i="9" s="1"/>
  <c r="I77" i="8" l="1"/>
  <c r="J8" i="9"/>
  <c r="J78" i="9" s="1"/>
  <c r="I78" i="9"/>
  <c r="I80" i="9" l="1"/>
  <c r="J80" i="9" s="1"/>
  <c r="J82" i="9" s="1"/>
  <c r="I82" i="9" l="1"/>
</calcChain>
</file>

<file path=xl/sharedStrings.xml><?xml version="1.0" encoding="utf-8"?>
<sst xmlns="http://schemas.openxmlformats.org/spreadsheetml/2006/main" count="579" uniqueCount="277">
  <si>
    <t>PacifiCorp</t>
  </si>
  <si>
    <t>PAGE</t>
  </si>
  <si>
    <t>Washington 2023 General Rate Case</t>
  </si>
  <si>
    <t>General Wage Increase (Pro Forma) - Year 2</t>
  </si>
  <si>
    <t>TOTAL</t>
  </si>
  <si>
    <t>WASHINGTON</t>
  </si>
  <si>
    <t>ACCOUNT</t>
  </si>
  <si>
    <t>Type</t>
  </si>
  <si>
    <t>COMPANY</t>
  </si>
  <si>
    <t>FACTOR</t>
  </si>
  <si>
    <t>FACTOR %</t>
  </si>
  <si>
    <t>ALLOCATED</t>
  </si>
  <si>
    <t>REF#</t>
  </si>
  <si>
    <t>Adjustment to Expense:</t>
  </si>
  <si>
    <t>Steam Operations</t>
  </si>
  <si>
    <t>PRO</t>
  </si>
  <si>
    <t>CAGE</t>
  </si>
  <si>
    <t>CAGW</t>
  </si>
  <si>
    <t>JBG</t>
  </si>
  <si>
    <t>SG</t>
  </si>
  <si>
    <t>Fuel Related-Non NPC</t>
  </si>
  <si>
    <t>SE</t>
  </si>
  <si>
    <t>Steam Maintenance</t>
  </si>
  <si>
    <t>Hydro Operations</t>
  </si>
  <si>
    <t>SG-P</t>
  </si>
  <si>
    <t>SG-U</t>
  </si>
  <si>
    <t>Hydro Maintenance</t>
  </si>
  <si>
    <t>Other Operations</t>
  </si>
  <si>
    <t>WA</t>
  </si>
  <si>
    <t>Situs</t>
  </si>
  <si>
    <t>Other Maintenance</t>
  </si>
  <si>
    <t>Other Power Supply Expense</t>
  </si>
  <si>
    <t>Transmission Operations</t>
  </si>
  <si>
    <t>Transmission Maintenance</t>
  </si>
  <si>
    <t>Distribution Operations</t>
  </si>
  <si>
    <t>SNPD</t>
  </si>
  <si>
    <t>Distribution Maintenance</t>
  </si>
  <si>
    <t>Customer Accounts</t>
  </si>
  <si>
    <t>CN</t>
  </si>
  <si>
    <t>Customer Services</t>
  </si>
  <si>
    <t>Administrative &amp; General</t>
  </si>
  <si>
    <t>SO</t>
  </si>
  <si>
    <t>13.2.2</t>
  </si>
  <si>
    <t>Description of Adjustment:</t>
  </si>
  <si>
    <t>This adjustment recognizes wage and benefit increases that are projected to occur through the twelve month period ending December 2025 for labor charged to operation &amp; maintenance accounts. See page 13.2.1 or more information on how this adjustment was calculated.</t>
  </si>
  <si>
    <t>13.2.1</t>
  </si>
  <si>
    <t>1.  The Pro Forma December 2024 regular time, overtime, and premium pay expenses were escalated prospectively by labor group to December 2025 (see page 13.2.4). Union and non-union costs were escalated using the contractual and target rates found on page 13.2.4.</t>
  </si>
  <si>
    <t>2. Compensation related to the Annual Incentive Plan is calculated by escalating the base period amount by the overall non-union wage increase percentage. The Annual Incentive Plan is the second step of a two-stage compensation philosophy that provides employees with market average compensation with a portion at risk and based on achieving annual goals. Union employees do not participate in the Company's Annual Incentive Plan; instead, they receive annual increases to their wages that are reflected in the escalation described above.</t>
  </si>
  <si>
    <t>3.  Payroll taxes have been updated as result of the labor calculations in parts 1 and 2 above. These payroll tax calculations can be found on page 13.2.6.</t>
  </si>
  <si>
    <t xml:space="preserve"> </t>
  </si>
  <si>
    <t>Actual</t>
  </si>
  <si>
    <t>Pro Forma</t>
  </si>
  <si>
    <t>Description</t>
  </si>
  <si>
    <t>12 Months Ended June 2022</t>
  </si>
  <si>
    <t>12 Months Ending December 2024</t>
  </si>
  <si>
    <t>Adjustment</t>
  </si>
  <si>
    <t>12 Months Ending December 2025</t>
  </si>
  <si>
    <t>Ref.</t>
  </si>
  <si>
    <t>Regular Ordinary Time</t>
  </si>
  <si>
    <t>Overtime</t>
  </si>
  <si>
    <t>Premium Pay</t>
  </si>
  <si>
    <t>Subtotal for Escalation</t>
  </si>
  <si>
    <t>13.3.3&amp;4</t>
  </si>
  <si>
    <t>Annual Incentive Plan</t>
  </si>
  <si>
    <t>Payroll Tax Expense</t>
  </si>
  <si>
    <t>13.2.6</t>
  </si>
  <si>
    <t>Payroll Tax Expense-Unemployment</t>
  </si>
  <si>
    <t>Total Payroll Taxes</t>
  </si>
  <si>
    <t>SERP Plan</t>
  </si>
  <si>
    <t>Medical</t>
  </si>
  <si>
    <t>Pensions</t>
  </si>
  <si>
    <t>13.2.4</t>
  </si>
  <si>
    <t>Pension Administration</t>
  </si>
  <si>
    <t>Post Retirement Benefits</t>
  </si>
  <si>
    <t>Post Employment Benefits</t>
  </si>
  <si>
    <t>401(k)</t>
  </si>
  <si>
    <t>All Other Labor and Benefit Items</t>
  </si>
  <si>
    <t>Total Other Labor</t>
  </si>
  <si>
    <t>Total Labor</t>
  </si>
  <si>
    <t>Non-Utility and Capitalized Labor</t>
  </si>
  <si>
    <t>Total Utility Labor</t>
  </si>
  <si>
    <t>Ref 4.3.2</t>
  </si>
  <si>
    <t>Ref 4.3</t>
  </si>
  <si>
    <t>Ref 13.2</t>
  </si>
  <si>
    <t>Composite Labor Increases</t>
  </si>
  <si>
    <t>Regular Time/Overtime/Premium Pay June 2022 - Actual</t>
  </si>
  <si>
    <t>Ref 13.2.2</t>
  </si>
  <si>
    <t>Regular Time/Overtime/Premium Pay December 2024 - Pro Forma</t>
  </si>
  <si>
    <t>% Increase - Pro Forma</t>
  </si>
  <si>
    <t>Regular Time/Overtime/Premium Pay December 2025 - Pro Forma</t>
  </si>
  <si>
    <t>% Increase - Total</t>
  </si>
  <si>
    <t>Pro Forma Labor December 2024</t>
  </si>
  <si>
    <t>Group Code</t>
  </si>
  <si>
    <t>Labor Group</t>
  </si>
  <si>
    <t>Jan</t>
  </si>
  <si>
    <t>Feb</t>
  </si>
  <si>
    <t>Mar</t>
  </si>
  <si>
    <t>Apr</t>
  </si>
  <si>
    <t>May</t>
  </si>
  <si>
    <t>Jun</t>
  </si>
  <si>
    <t>Jul</t>
  </si>
  <si>
    <t>Aug</t>
  </si>
  <si>
    <t>Sep</t>
  </si>
  <si>
    <t>Oct</t>
  </si>
  <si>
    <t>Nov</t>
  </si>
  <si>
    <t>Dec</t>
  </si>
  <si>
    <t>Total</t>
  </si>
  <si>
    <t xml:space="preserve">Officer/Exempt    </t>
  </si>
  <si>
    <t xml:space="preserve">IBEW 125       </t>
  </si>
  <si>
    <t xml:space="preserve">IBEW 659       </t>
  </si>
  <si>
    <t xml:space="preserve">UWUA 197       </t>
  </si>
  <si>
    <t xml:space="preserve">UWUA 127 </t>
  </si>
  <si>
    <t xml:space="preserve">IBEW 57 WY  </t>
  </si>
  <si>
    <t xml:space="preserve">IBEW 57 PD     </t>
  </si>
  <si>
    <t xml:space="preserve">IBEW 57 PS     </t>
  </si>
  <si>
    <t>PCCC Non-Exempt</t>
  </si>
  <si>
    <t>IBEW 57 CT</t>
  </si>
  <si>
    <t>IBEW 77</t>
  </si>
  <si>
    <t xml:space="preserve">Non-Exempt     </t>
  </si>
  <si>
    <t>Grand Total</t>
  </si>
  <si>
    <t>Ref 4.3.5</t>
  </si>
  <si>
    <t>Pro Forma Increase to December 2025</t>
  </si>
  <si>
    <t>Increases occur on the 26th of each month.  For this exhibit, each increase is listed on the first day of the following month.  For example, an increase that occurs on December 26, 2024 is shown as effective on January 1, 2025.</t>
  </si>
  <si>
    <t>(2)</t>
  </si>
  <si>
    <t>IBEW 57 WY</t>
  </si>
  <si>
    <t>(3) CONF</t>
  </si>
  <si>
    <t>(1)</t>
  </si>
  <si>
    <t>Pro Forma Labor December 2025</t>
  </si>
  <si>
    <t>UWUA 127</t>
  </si>
  <si>
    <t>Labor increases supported by union contracts/actual increases.</t>
  </si>
  <si>
    <t>Projected labor increases supported by planned targets.</t>
  </si>
  <si>
    <t>(3)</t>
  </si>
  <si>
    <t>Increase will be contingent on the future outcome of a new contract.</t>
  </si>
  <si>
    <t xml:space="preserve">A </t>
  </si>
  <si>
    <t>B</t>
  </si>
  <si>
    <t>C</t>
  </si>
  <si>
    <t>D</t>
  </si>
  <si>
    <t>D - A</t>
  </si>
  <si>
    <t xml:space="preserve">Projected December 2024 Net of Joint Venture </t>
  </si>
  <si>
    <t>Projected December 2024
Gross</t>
  </si>
  <si>
    <t>Projected December 2025
Gross</t>
  </si>
  <si>
    <t xml:space="preserve">Projected December 2025 Net of Joint Venture </t>
  </si>
  <si>
    <t>Pro Forma Adjustment</t>
  </si>
  <si>
    <t>Ref</t>
  </si>
  <si>
    <t>13.3.2</t>
  </si>
  <si>
    <t>Ref 13.3.2</t>
  </si>
  <si>
    <t>Payroll Tax Adjustment Calculation</t>
  </si>
  <si>
    <t>Line No.</t>
  </si>
  <si>
    <t>Social Security</t>
  </si>
  <si>
    <t>Medicare</t>
  </si>
  <si>
    <t>Total FICA Tax</t>
  </si>
  <si>
    <t>FICA Calculated on December 2024 Pro Forma Labor</t>
  </si>
  <si>
    <t>Annualized Wages Adjustment</t>
  </si>
  <si>
    <t>a</t>
  </si>
  <si>
    <t>4.3.7</t>
  </si>
  <si>
    <t>Annualized Incentive Adjustment</t>
  </si>
  <si>
    <t>b</t>
  </si>
  <si>
    <t>c</t>
  </si>
  <si>
    <t>a + b</t>
  </si>
  <si>
    <t>Percentage of eligible wages</t>
  </si>
  <si>
    <t>d</t>
  </si>
  <si>
    <t>Total eligible wages</t>
  </si>
  <si>
    <t>e</t>
  </si>
  <si>
    <t>c * d</t>
  </si>
  <si>
    <t>Tax rate</t>
  </si>
  <si>
    <t>f</t>
  </si>
  <si>
    <t>Tax on eligible wages</t>
  </si>
  <si>
    <t>g</t>
  </si>
  <si>
    <t>e * f</t>
  </si>
  <si>
    <t>Total FICA Tax on Annualized Labor</t>
  </si>
  <si>
    <t>FICA Calculated on December 2025 Pro Forma Labor</t>
  </si>
  <si>
    <t>Pro Forma Wages Adjustment</t>
  </si>
  <si>
    <t>h</t>
  </si>
  <si>
    <t>Pro Forma Incentive Adjustment</t>
  </si>
  <si>
    <t>i</t>
  </si>
  <si>
    <t>j</t>
  </si>
  <si>
    <t>h + i</t>
  </si>
  <si>
    <t>k</t>
  </si>
  <si>
    <t>l</t>
  </si>
  <si>
    <t>j * k</t>
  </si>
  <si>
    <t>m</t>
  </si>
  <si>
    <t>n</t>
  </si>
  <si>
    <t>l * m</t>
  </si>
  <si>
    <t>Total FICA Tax on Pro Forma Labor</t>
  </si>
  <si>
    <t>Adjustment by FERC Account - Total Company</t>
  </si>
  <si>
    <t>Total Company Basis</t>
  </si>
  <si>
    <t>Indicator</t>
  </si>
  <si>
    <t>Actual
12 Months Ended
June 2022</t>
  </si>
  <si>
    <t>% Of Total</t>
  </si>
  <si>
    <t>Blank</t>
  </si>
  <si>
    <t>Pro Forma
Adjustment</t>
  </si>
  <si>
    <t>Pro Forma
12 Months Ending
December 2024</t>
  </si>
  <si>
    <t>Blank 2</t>
  </si>
  <si>
    <t>Pro Forma
12 Months Ending
December 2025</t>
  </si>
  <si>
    <t>500CAGE</t>
  </si>
  <si>
    <t>500CAGW</t>
  </si>
  <si>
    <t>500JBG</t>
  </si>
  <si>
    <t>500SG</t>
  </si>
  <si>
    <t>501SE</t>
  </si>
  <si>
    <t>512CAGE</t>
  </si>
  <si>
    <t>512JBG</t>
  </si>
  <si>
    <t>512SG</t>
  </si>
  <si>
    <t>535SG-P</t>
  </si>
  <si>
    <t>535SG-U</t>
  </si>
  <si>
    <t>545SG-P</t>
  </si>
  <si>
    <t>545SG-U</t>
  </si>
  <si>
    <t>548CAGE</t>
  </si>
  <si>
    <t>548CAGW</t>
  </si>
  <si>
    <t>548SG</t>
  </si>
  <si>
    <t>549OR</t>
  </si>
  <si>
    <t>553CAGE</t>
  </si>
  <si>
    <t>553CAGW</t>
  </si>
  <si>
    <t>553SG</t>
  </si>
  <si>
    <t>557CAGE</t>
  </si>
  <si>
    <t>557ID</t>
  </si>
  <si>
    <t>557WYU</t>
  </si>
  <si>
    <t>557SG</t>
  </si>
  <si>
    <t>560SG</t>
  </si>
  <si>
    <t>571SG</t>
  </si>
  <si>
    <t>580CA</t>
  </si>
  <si>
    <t>580ID</t>
  </si>
  <si>
    <t>580OR</t>
  </si>
  <si>
    <t>580SNPD</t>
  </si>
  <si>
    <t>580UT</t>
  </si>
  <si>
    <t>580WA</t>
  </si>
  <si>
    <t>580WYP</t>
  </si>
  <si>
    <t>580WYU</t>
  </si>
  <si>
    <t>593CA</t>
  </si>
  <si>
    <t>593ID</t>
  </si>
  <si>
    <t>593OR</t>
  </si>
  <si>
    <t>593SNPD</t>
  </si>
  <si>
    <t>593UT</t>
  </si>
  <si>
    <t>593WA</t>
  </si>
  <si>
    <t>593WYP</t>
  </si>
  <si>
    <t>593WYU</t>
  </si>
  <si>
    <t>903CA</t>
  </si>
  <si>
    <t>903CN</t>
  </si>
  <si>
    <t>903ID</t>
  </si>
  <si>
    <t>903OR</t>
  </si>
  <si>
    <t>903UT</t>
  </si>
  <si>
    <t>903WA</t>
  </si>
  <si>
    <t>903WYP</t>
  </si>
  <si>
    <t>903WYU</t>
  </si>
  <si>
    <t>908CA</t>
  </si>
  <si>
    <t>908CN</t>
  </si>
  <si>
    <t>908ID</t>
  </si>
  <si>
    <t>908OR</t>
  </si>
  <si>
    <t>908OTHER</t>
  </si>
  <si>
    <t>908UT</t>
  </si>
  <si>
    <t>908WA</t>
  </si>
  <si>
    <t>908WYP</t>
  </si>
  <si>
    <t>920CA</t>
  </si>
  <si>
    <t>920ID</t>
  </si>
  <si>
    <t>920OR</t>
  </si>
  <si>
    <t>920SO</t>
  </si>
  <si>
    <t>920UT</t>
  </si>
  <si>
    <t>920WA</t>
  </si>
  <si>
    <t>920WYP</t>
  </si>
  <si>
    <t>935CA</t>
  </si>
  <si>
    <t>935OR</t>
  </si>
  <si>
    <t>935SO</t>
  </si>
  <si>
    <t>935WA</t>
  </si>
  <si>
    <t>Utility Labor</t>
  </si>
  <si>
    <t>Non-Utility/Capital</t>
  </si>
  <si>
    <t>Adjustment by FERC Account - WA Allocated</t>
  </si>
  <si>
    <t>Washington Allocated</t>
  </si>
  <si>
    <t>WA %</t>
  </si>
  <si>
    <t>13.2.5</t>
  </si>
  <si>
    <t>Ref 4.3.2 &amp; 13.3.2</t>
  </si>
  <si>
    <t>REDACTED</t>
  </si>
  <si>
    <t>13.2.3</t>
  </si>
  <si>
    <t>Escalation of Regular. Overtime, and Premium Labor (Figures are in thousands)</t>
  </si>
  <si>
    <t>Page 13.2.7</t>
  </si>
  <si>
    <t>Page 13.2.8</t>
  </si>
  <si>
    <t>Situs/System</t>
  </si>
  <si>
    <t>Exh. SLC-4</t>
  </si>
  <si>
    <t>The unadjusted and restated (12 months ended June 2022) labor expenses are summarized on page 4.3.2 of Exhibit No. SLC-4.  An explanation of the procedures used to develop the labor expenses used in the General Wage Increase Adjustment - Year 1 can be found on page 4.3.1, Exhibit No. SLC-4. The following is an explanation of the procedures used to develop the labor expenses used in this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</si>
</sst>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_(* \(#,##0\);_(* &quot;-&quot;_);_(@_)"/>
    <numFmt numFmtId="44" formatCode="_(&quot;$&quot;* #,##0.00_);_(&quot;$&quot;* \(#,##0.00\);_(&quot;$&quot;* &quot;-&quot;??_);_(@_)"/>
    <numFmt numFmtId="43" formatCode="_(* #,##0.00_);_(* \(#,##0.00\);_(* &quot;-&quot;??_);_(@_)"/>
    <numFmt numFmtId="164" formatCode="_(* #,##0_);_(* \(#,##0\);_(* &quot;-&quot;??_);_(@_)"/>
    <numFmt numFmtId="165" formatCode="0.000%"/>
    <numFmt numFmtId="166" formatCode="0.0%"/>
    <numFmt numFmtId="167" formatCode="_(* #,##0.000_);_(* \(#,##0.000\);_(* &quot;-&quot;??_);_(@_)"/>
    <numFmt numFmtId="168" formatCode="_(&quot;$&quot;* #,##0_);_(&quot;$&quot;* \(#,##0\);_(&quot;$&quot;* &quot;-&quot;??_);_(@_)"/>
    <numFmt numFmtId="169" formatCode="[$-409]dd\-mmm\-yy;@"/>
    <numFmt numFmtId="170" formatCode="0.0000%"/>
  </numFmts>
  <fonts count="16" x14ac:knownFonts="1">
    <font>
      <sz val="10"/>
      <color theme="1"/>
      <name val="Arial"/>
      <family val="2"/>
    </font>
    <font>
      <sz val="10"/>
      <color theme="1"/>
      <name val="Arial"/>
      <family val="2"/>
    </font>
    <font>
      <sz val="10"/>
      <color rgb="FFFF0000"/>
      <name val="Arial"/>
      <family val="2"/>
    </font>
    <font>
      <b/>
      <sz val="10"/>
      <color theme="1"/>
      <name val="Arial"/>
      <family val="2"/>
    </font>
    <font>
      <b/>
      <sz val="10"/>
      <name val="Arial"/>
      <family val="2"/>
    </font>
    <font>
      <sz val="10"/>
      <name val="Arial"/>
      <family val="2"/>
    </font>
    <font>
      <u/>
      <sz val="10"/>
      <name val="Arial"/>
      <family val="2"/>
    </font>
    <font>
      <sz val="12"/>
      <name val="Times New Roman"/>
      <family val="1"/>
    </font>
    <font>
      <i/>
      <sz val="10"/>
      <color rgb="FF00B0F0"/>
      <name val="Arial"/>
      <family val="2"/>
    </font>
    <font>
      <sz val="10"/>
      <color indexed="10"/>
      <name val="Arial"/>
      <family val="2"/>
    </font>
    <font>
      <sz val="10"/>
      <name val="MS Sans Serif"/>
      <family val="2"/>
    </font>
    <font>
      <b/>
      <u/>
      <sz val="10"/>
      <name val="Arial"/>
      <family val="2"/>
    </font>
    <font>
      <b/>
      <sz val="10"/>
      <color indexed="9"/>
      <name val="Arial"/>
      <family val="2"/>
    </font>
    <font>
      <sz val="10"/>
      <color rgb="FF0000FF"/>
      <name val="Arial"/>
      <family val="2"/>
    </font>
    <font>
      <sz val="10"/>
      <color theme="4" tint="-0.249977111117893"/>
      <name val="Arial"/>
      <family val="2"/>
    </font>
    <font>
      <u/>
      <sz val="10"/>
      <color theme="1"/>
      <name val="Arial"/>
      <family val="2"/>
    </font>
  </fonts>
  <fills count="3">
    <fill>
      <patternFill patternType="none"/>
    </fill>
    <fill>
      <patternFill patternType="gray125"/>
    </fill>
    <fill>
      <patternFill patternType="solid">
        <fgColor theme="1"/>
        <bgColor indexed="64"/>
      </patternFill>
    </fill>
  </fills>
  <borders count="19">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8">
    <xf numFmtId="0" fontId="0" fillId="0" borderId="0"/>
    <xf numFmtId="43" fontId="5" fillId="0" borderId="0" applyFont="0" applyFill="0" applyBorder="0" applyAlignment="0" applyProtection="0"/>
    <xf numFmtId="0" fontId="7" fillId="0" borderId="0"/>
    <xf numFmtId="9" fontId="5" fillId="0" borderId="0" applyFont="0" applyFill="0" applyBorder="0" applyAlignment="0" applyProtection="0"/>
    <xf numFmtId="0" fontId="7" fillId="0" borderId="0"/>
    <xf numFmtId="0" fontId="7" fillId="0" borderId="0"/>
    <xf numFmtId="0" fontId="5" fillId="0" borderId="0"/>
    <xf numFmtId="0" fontId="1" fillId="0" borderId="0"/>
    <xf numFmtId="0" fontId="10" fillId="0" borderId="0"/>
    <xf numFmtId="0" fontId="5" fillId="0" borderId="0"/>
    <xf numFmtId="44" fontId="5" fillId="0" borderId="0" applyFont="0" applyFill="0" applyBorder="0" applyAlignment="0" applyProtection="0"/>
    <xf numFmtId="0" fontId="5" fillId="0" borderId="0"/>
    <xf numFmtId="169" fontId="5" fillId="0" borderId="0"/>
    <xf numFmtId="0" fontId="5" fillId="0" borderId="0"/>
    <xf numFmtId="0" fontId="10" fillId="0" borderId="0"/>
    <xf numFmtId="43" fontId="10" fillId="0" borderId="0" applyFont="0" applyFill="0" applyBorder="0" applyAlignment="0" applyProtection="0"/>
    <xf numFmtId="9" fontId="10" fillId="0" borderId="0" applyFont="0" applyFill="0" applyBorder="0" applyAlignment="0" applyProtection="0"/>
    <xf numFmtId="0" fontId="5" fillId="0" borderId="0"/>
  </cellStyleXfs>
  <cellXfs count="199">
    <xf numFmtId="0" fontId="0" fillId="0" borderId="0" xfId="0"/>
    <xf numFmtId="0" fontId="4" fillId="0" borderId="0" xfId="0" quotePrefix="1" applyFont="1" applyAlignment="1">
      <alignment horizontal="left"/>
    </xf>
    <xf numFmtId="0" fontId="5" fillId="0" borderId="0" xfId="0" applyFont="1"/>
    <xf numFmtId="0" fontId="5" fillId="0" borderId="0" xfId="0" applyFont="1" applyAlignment="1">
      <alignment horizontal="center"/>
    </xf>
    <xf numFmtId="41" fontId="5" fillId="0" borderId="0" xfId="0" applyNumberFormat="1" applyFont="1"/>
    <xf numFmtId="164" fontId="5" fillId="0" borderId="0" xfId="0" applyNumberFormat="1" applyFont="1" applyAlignment="1">
      <alignment horizontal="right"/>
    </xf>
    <xf numFmtId="0" fontId="4" fillId="0" borderId="0" xfId="0" applyFont="1"/>
    <xf numFmtId="164" fontId="5" fillId="0" borderId="0" xfId="0" applyNumberFormat="1" applyFont="1"/>
    <xf numFmtId="164" fontId="5" fillId="0" borderId="0" xfId="1" applyNumberFormat="1" applyFont="1" applyFill="1" applyAlignment="1">
      <alignment horizontal="center"/>
    </xf>
    <xf numFmtId="41" fontId="5" fillId="0" borderId="0" xfId="0" applyNumberFormat="1" applyFont="1" applyAlignment="1">
      <alignment horizontal="center"/>
    </xf>
    <xf numFmtId="164" fontId="5" fillId="0" borderId="0" xfId="0" applyNumberFormat="1" applyFont="1" applyAlignment="1">
      <alignment horizontal="center"/>
    </xf>
    <xf numFmtId="0" fontId="6" fillId="0" borderId="0" xfId="0" applyFont="1" applyAlignment="1">
      <alignment horizontal="center"/>
    </xf>
    <xf numFmtId="41" fontId="6" fillId="0" borderId="0" xfId="0" applyNumberFormat="1" applyFont="1" applyAlignment="1">
      <alignment horizontal="center"/>
    </xf>
    <xf numFmtId="0" fontId="6" fillId="0" borderId="0" xfId="0" quotePrefix="1" applyFont="1" applyAlignment="1">
      <alignment horizontal="center"/>
    </xf>
    <xf numFmtId="164" fontId="6" fillId="0" borderId="0" xfId="0" applyNumberFormat="1" applyFont="1" applyAlignment="1">
      <alignment horizontal="center"/>
    </xf>
    <xf numFmtId="0" fontId="4" fillId="0" borderId="0" xfId="2" applyFont="1" applyAlignment="1">
      <alignment horizontal="left"/>
    </xf>
    <xf numFmtId="0" fontId="5" fillId="0" borderId="0" xfId="2" applyFont="1"/>
    <xf numFmtId="0" fontId="5" fillId="0" borderId="0" xfId="2" applyFont="1" applyAlignment="1">
      <alignment horizontal="center"/>
    </xf>
    <xf numFmtId="165" fontId="5" fillId="0" borderId="0" xfId="3" applyNumberFormat="1" applyFont="1" applyFill="1" applyAlignment="1" applyProtection="1">
      <alignment horizontal="center"/>
      <protection locked="0"/>
    </xf>
    <xf numFmtId="164" fontId="5" fillId="0" borderId="0" xfId="1" applyNumberFormat="1" applyFont="1" applyFill="1" applyBorder="1" applyAlignment="1" applyProtection="1">
      <alignment horizontal="center"/>
      <protection locked="0"/>
    </xf>
    <xf numFmtId="0" fontId="5" fillId="0" borderId="0" xfId="0" applyFont="1" applyAlignment="1" applyProtection="1">
      <alignment horizontal="center"/>
      <protection locked="0"/>
    </xf>
    <xf numFmtId="0" fontId="4" fillId="0" borderId="0" xfId="4" applyFont="1"/>
    <xf numFmtId="0" fontId="5" fillId="0" borderId="0" xfId="0" applyFont="1" applyProtection="1">
      <protection locked="0"/>
    </xf>
    <xf numFmtId="164" fontId="5" fillId="0" borderId="0" xfId="1" applyNumberFormat="1" applyFont="1" applyFill="1" applyBorder="1"/>
    <xf numFmtId="0" fontId="5" fillId="0" borderId="0" xfId="5" applyFont="1" applyAlignment="1">
      <alignment horizontal="center"/>
    </xf>
    <xf numFmtId="165" fontId="5" fillId="0" borderId="0" xfId="3" applyNumberFormat="1" applyFont="1" applyFill="1" applyAlignment="1">
      <alignment horizontal="center"/>
    </xf>
    <xf numFmtId="164" fontId="5" fillId="0" borderId="0" xfId="1" applyNumberFormat="1" applyFont="1" applyFill="1" applyBorder="1" applyAlignment="1">
      <alignment horizontal="center"/>
    </xf>
    <xf numFmtId="0" fontId="5" fillId="0" borderId="0" xfId="1" applyNumberFormat="1" applyFont="1" applyFill="1" applyBorder="1" applyAlignment="1" applyProtection="1">
      <alignment horizontal="center"/>
      <protection locked="0"/>
    </xf>
    <xf numFmtId="0" fontId="5" fillId="0" borderId="0" xfId="0" applyFont="1" applyAlignment="1" applyProtection="1">
      <alignment horizontal="left" indent="1"/>
      <protection locked="0"/>
    </xf>
    <xf numFmtId="0" fontId="5" fillId="0" borderId="0" xfId="4" applyFont="1" applyAlignment="1">
      <alignment horizontal="center"/>
    </xf>
    <xf numFmtId="0" fontId="5" fillId="0" borderId="0" xfId="0" quotePrefix="1" applyFont="1" applyAlignment="1" applyProtection="1">
      <alignment horizontal="left" indent="1"/>
      <protection locked="0"/>
    </xf>
    <xf numFmtId="164" fontId="5" fillId="0" borderId="1" xfId="1" applyNumberFormat="1" applyFont="1" applyFill="1" applyBorder="1" applyProtection="1">
      <protection locked="0"/>
    </xf>
    <xf numFmtId="0" fontId="0" fillId="0" borderId="2" xfId="0" applyBorder="1"/>
    <xf numFmtId="0" fontId="0" fillId="0" borderId="5" xfId="0" applyBorder="1"/>
    <xf numFmtId="0" fontId="0" fillId="0" borderId="7" xfId="0" applyBorder="1"/>
    <xf numFmtId="0" fontId="0" fillId="0" borderId="0" xfId="0" applyAlignment="1">
      <alignment horizontal="right"/>
    </xf>
    <xf numFmtId="43" fontId="0" fillId="0" borderId="0" xfId="0" applyNumberFormat="1"/>
    <xf numFmtId="0" fontId="4" fillId="0" borderId="0" xfId="6" applyFont="1"/>
    <xf numFmtId="0" fontId="2" fillId="0" borderId="0" xfId="6" applyFont="1"/>
    <xf numFmtId="166" fontId="5" fillId="0" borderId="0" xfId="3" applyNumberFormat="1" applyFont="1" applyAlignment="1">
      <alignment wrapText="1"/>
    </xf>
    <xf numFmtId="0" fontId="4" fillId="0" borderId="0" xfId="6" applyFont="1" applyAlignment="1">
      <alignment horizontal="left" wrapText="1"/>
    </xf>
    <xf numFmtId="0" fontId="4" fillId="0" borderId="0" xfId="6" applyFont="1" applyAlignment="1">
      <alignment horizontal="centerContinuous" wrapText="1"/>
    </xf>
    <xf numFmtId="0" fontId="4" fillId="0" borderId="10" xfId="6" applyFont="1" applyBorder="1" applyAlignment="1">
      <alignment horizontal="center" wrapText="1"/>
    </xf>
    <xf numFmtId="43" fontId="4" fillId="0" borderId="11" xfId="1" applyFont="1" applyFill="1" applyBorder="1" applyAlignment="1">
      <alignment horizontal="center" vertical="center" wrapText="1"/>
    </xf>
    <xf numFmtId="43" fontId="4" fillId="0" borderId="12" xfId="1" applyFont="1" applyFill="1" applyBorder="1" applyAlignment="1">
      <alignment horizontal="center" vertical="center" wrapText="1"/>
    </xf>
    <xf numFmtId="164" fontId="5" fillId="0" borderId="0" xfId="1" applyNumberFormat="1" applyFont="1" applyFill="1" applyAlignment="1">
      <alignment wrapText="1"/>
    </xf>
    <xf numFmtId="164" fontId="5" fillId="0" borderId="13" xfId="1" applyNumberFormat="1" applyFont="1" applyFill="1" applyBorder="1" applyAlignment="1">
      <alignment wrapText="1"/>
    </xf>
    <xf numFmtId="0" fontId="4" fillId="0" borderId="1" xfId="6" applyFont="1" applyBorder="1" applyAlignment="1">
      <alignment wrapText="1"/>
    </xf>
    <xf numFmtId="164" fontId="4" fillId="0" borderId="1" xfId="1" applyNumberFormat="1" applyFont="1" applyFill="1" applyBorder="1" applyAlignment="1">
      <alignment wrapText="1"/>
    </xf>
    <xf numFmtId="0" fontId="4" fillId="0" borderId="0" xfId="6" applyFont="1" applyAlignment="1">
      <alignment wrapText="1"/>
    </xf>
    <xf numFmtId="164" fontId="4" fillId="0" borderId="14" xfId="1" applyNumberFormat="1" applyFont="1" applyFill="1" applyBorder="1" applyAlignment="1">
      <alignment wrapText="1"/>
    </xf>
    <xf numFmtId="164" fontId="8" fillId="0" borderId="0" xfId="6" applyNumberFormat="1" applyFont="1" applyAlignment="1">
      <alignment wrapText="1"/>
    </xf>
    <xf numFmtId="0" fontId="4" fillId="0" borderId="0" xfId="6" applyFont="1" applyAlignment="1">
      <alignment horizontal="center" wrapText="1"/>
    </xf>
    <xf numFmtId="0" fontId="4" fillId="0" borderId="1" xfId="6" applyFont="1" applyBorder="1" applyAlignment="1">
      <alignment horizontal="left"/>
    </xf>
    <xf numFmtId="164" fontId="4" fillId="0" borderId="15" xfId="1" applyNumberFormat="1" applyFont="1" applyFill="1" applyBorder="1" applyAlignment="1">
      <alignment wrapText="1"/>
    </xf>
    <xf numFmtId="43" fontId="4" fillId="0" borderId="0" xfId="1" applyFont="1" applyAlignment="1">
      <alignment horizontal="right" wrapText="1"/>
    </xf>
    <xf numFmtId="0" fontId="4" fillId="0" borderId="0" xfId="6" applyFont="1" applyAlignment="1">
      <alignment horizontal="right" wrapText="1"/>
    </xf>
    <xf numFmtId="0" fontId="9" fillId="0" borderId="0" xfId="6" applyFont="1" applyAlignment="1">
      <alignment horizontal="center" wrapText="1"/>
    </xf>
    <xf numFmtId="0" fontId="5" fillId="0" borderId="0" xfId="7" applyFont="1"/>
    <xf numFmtId="0" fontId="11" fillId="0" borderId="0" xfId="8" applyFont="1"/>
    <xf numFmtId="0" fontId="5" fillId="0" borderId="0" xfId="8" applyFont="1"/>
    <xf numFmtId="17" fontId="5" fillId="0" borderId="0" xfId="8" quotePrefix="1" applyNumberFormat="1" applyFont="1" applyAlignment="1">
      <alignment horizontal="center"/>
    </xf>
    <xf numFmtId="164" fontId="4" fillId="0" borderId="0" xfId="1" applyNumberFormat="1" applyFont="1" applyFill="1" applyBorder="1"/>
    <xf numFmtId="0" fontId="3" fillId="0" borderId="0" xfId="7" applyFont="1"/>
    <xf numFmtId="10" fontId="5" fillId="0" borderId="0" xfId="3" applyNumberFormat="1" applyFont="1" applyFill="1" applyBorder="1"/>
    <xf numFmtId="0" fontId="5" fillId="0" borderId="0" xfId="8" applyFont="1" applyAlignment="1">
      <alignment horizontal="left"/>
    </xf>
    <xf numFmtId="0" fontId="3" fillId="0" borderId="0" xfId="8" applyFont="1"/>
    <xf numFmtId="0" fontId="1" fillId="0" borderId="0" xfId="8" applyFont="1"/>
    <xf numFmtId="0" fontId="1" fillId="0" borderId="0" xfId="8" applyFont="1" applyAlignment="1">
      <alignment horizontal="center"/>
    </xf>
    <xf numFmtId="17" fontId="3" fillId="0" borderId="16" xfId="9" applyNumberFormat="1" applyFont="1" applyBorder="1" applyAlignment="1">
      <alignment horizontal="center" wrapText="1"/>
    </xf>
    <xf numFmtId="17" fontId="3" fillId="0" borderId="16" xfId="9" applyNumberFormat="1" applyFont="1" applyBorder="1" applyAlignment="1">
      <alignment horizontal="center"/>
    </xf>
    <xf numFmtId="17" fontId="3" fillId="0" borderId="16" xfId="8" quotePrefix="1" applyNumberFormat="1" applyFont="1" applyBorder="1" applyAlignment="1">
      <alignment horizontal="center"/>
    </xf>
    <xf numFmtId="17" fontId="3" fillId="0" borderId="16" xfId="9" quotePrefix="1" applyNumberFormat="1" applyFont="1" applyBorder="1" applyAlignment="1">
      <alignment horizontal="center"/>
    </xf>
    <xf numFmtId="0" fontId="1" fillId="0" borderId="16" xfId="9" applyFont="1" applyBorder="1" applyAlignment="1">
      <alignment horizontal="center"/>
    </xf>
    <xf numFmtId="0" fontId="1" fillId="0" borderId="1" xfId="9" applyFont="1" applyBorder="1"/>
    <xf numFmtId="164" fontId="1" fillId="0" borderId="16" xfId="3" applyNumberFormat="1" applyFont="1" applyFill="1" applyBorder="1" applyAlignment="1">
      <alignment horizontal="center"/>
    </xf>
    <xf numFmtId="0" fontId="1" fillId="0" borderId="16" xfId="8" applyFont="1" applyBorder="1" applyAlignment="1">
      <alignment horizontal="center"/>
    </xf>
    <xf numFmtId="0" fontId="1" fillId="0" borderId="16" xfId="8" applyFont="1" applyBorder="1"/>
    <xf numFmtId="0" fontId="3" fillId="0" borderId="16" xfId="9" applyFont="1" applyBorder="1" applyAlignment="1">
      <alignment vertical="top"/>
    </xf>
    <xf numFmtId="0" fontId="1" fillId="0" borderId="16" xfId="9" applyFont="1" applyBorder="1" applyAlignment="1">
      <alignment vertical="top"/>
    </xf>
    <xf numFmtId="164" fontId="3" fillId="0" borderId="16" xfId="1" applyNumberFormat="1" applyFont="1" applyFill="1" applyBorder="1" applyAlignment="1">
      <alignment horizontal="center"/>
    </xf>
    <xf numFmtId="0" fontId="3" fillId="0" borderId="0" xfId="8" applyFont="1" applyAlignment="1">
      <alignment horizontal="center"/>
    </xf>
    <xf numFmtId="164" fontId="1" fillId="0" borderId="0" xfId="8" applyNumberFormat="1" applyFont="1"/>
    <xf numFmtId="167" fontId="1" fillId="0" borderId="0" xfId="3" applyNumberFormat="1" applyFont="1" applyFill="1"/>
    <xf numFmtId="167" fontId="3" fillId="0" borderId="0" xfId="9" quotePrefix="1" applyNumberFormat="1" applyFont="1" applyAlignment="1">
      <alignment horizontal="center"/>
    </xf>
    <xf numFmtId="0" fontId="1" fillId="0" borderId="16" xfId="9" applyFont="1" applyBorder="1"/>
    <xf numFmtId="10" fontId="1" fillId="0" borderId="16" xfId="3" applyNumberFormat="1" applyFont="1" applyFill="1" applyBorder="1" applyAlignment="1">
      <alignment horizontal="center"/>
    </xf>
    <xf numFmtId="14" fontId="1" fillId="0" borderId="16" xfId="9" applyNumberFormat="1" applyFont="1" applyBorder="1"/>
    <xf numFmtId="0" fontId="1" fillId="0" borderId="0" xfId="9" quotePrefix="1" applyFont="1" applyAlignment="1">
      <alignment horizontal="center"/>
    </xf>
    <xf numFmtId="0" fontId="3" fillId="0" borderId="0" xfId="8" applyFont="1" applyAlignment="1">
      <alignment horizontal="left"/>
    </xf>
    <xf numFmtId="165" fontId="1" fillId="0" borderId="0" xfId="8" applyNumberFormat="1" applyFont="1"/>
    <xf numFmtId="167" fontId="1" fillId="0" borderId="0" xfId="8" applyNumberFormat="1" applyFont="1"/>
    <xf numFmtId="43" fontId="1" fillId="0" borderId="0" xfId="8" applyNumberFormat="1" applyFont="1"/>
    <xf numFmtId="167" fontId="3" fillId="0" borderId="16" xfId="9" applyNumberFormat="1" applyFont="1" applyBorder="1" applyAlignment="1">
      <alignment horizontal="center"/>
    </xf>
    <xf numFmtId="164" fontId="1" fillId="0" borderId="16" xfId="1" applyNumberFormat="1" applyFont="1" applyFill="1" applyBorder="1" applyAlignment="1">
      <alignment horizontal="center"/>
    </xf>
    <xf numFmtId="167" fontId="1" fillId="0" borderId="0" xfId="1" applyNumberFormat="1" applyFont="1" applyFill="1"/>
    <xf numFmtId="0" fontId="1" fillId="0" borderId="0" xfId="9" applyFont="1"/>
    <xf numFmtId="10" fontId="1" fillId="0" borderId="0" xfId="3" applyNumberFormat="1" applyFont="1" applyFill="1" applyBorder="1" applyAlignment="1">
      <alignment horizontal="center"/>
    </xf>
    <xf numFmtId="168" fontId="1" fillId="0" borderId="0" xfId="10" applyNumberFormat="1" applyFont="1" applyFill="1"/>
    <xf numFmtId="164" fontId="1" fillId="0" borderId="0" xfId="1" applyNumberFormat="1" applyFont="1" applyFill="1"/>
    <xf numFmtId="43" fontId="1" fillId="0" borderId="0" xfId="1" applyFont="1" applyFill="1" applyAlignment="1">
      <alignment horizontal="center"/>
    </xf>
    <xf numFmtId="0" fontId="4" fillId="0" borderId="0" xfId="11" applyFont="1"/>
    <xf numFmtId="169" fontId="2" fillId="0" borderId="0" xfId="12" applyFont="1" applyAlignment="1">
      <alignment horizontal="center"/>
    </xf>
    <xf numFmtId="169" fontId="4" fillId="0" borderId="17" xfId="12" applyFont="1" applyBorder="1" applyAlignment="1">
      <alignment horizontal="center" wrapText="1"/>
    </xf>
    <xf numFmtId="169" fontId="4" fillId="0" borderId="16" xfId="12" applyFont="1" applyBorder="1" applyAlignment="1">
      <alignment horizontal="center" wrapText="1"/>
    </xf>
    <xf numFmtId="169" fontId="4" fillId="0" borderId="18" xfId="12" applyFont="1" applyBorder="1" applyAlignment="1">
      <alignment horizontal="center" wrapText="1"/>
    </xf>
    <xf numFmtId="169" fontId="4" fillId="0" borderId="0" xfId="12" applyFont="1" applyAlignment="1">
      <alignment horizontal="center" wrapText="1"/>
    </xf>
    <xf numFmtId="169" fontId="4" fillId="0" borderId="0" xfId="12" applyFont="1"/>
    <xf numFmtId="164" fontId="5" fillId="0" borderId="0" xfId="1" applyNumberFormat="1" applyFont="1" applyFill="1"/>
    <xf numFmtId="164" fontId="5" fillId="0" borderId="0" xfId="1" applyNumberFormat="1" applyFont="1"/>
    <xf numFmtId="164" fontId="5" fillId="0" borderId="11" xfId="1" applyNumberFormat="1" applyFont="1" applyFill="1" applyBorder="1"/>
    <xf numFmtId="164" fontId="4" fillId="0" borderId="1" xfId="12" applyNumberFormat="1" applyFont="1" applyBorder="1"/>
    <xf numFmtId="164" fontId="4" fillId="0" borderId="0" xfId="12" applyNumberFormat="1" applyFont="1"/>
    <xf numFmtId="169" fontId="4" fillId="0" borderId="0" xfId="12" applyFont="1" applyAlignment="1">
      <alignment horizontal="center"/>
    </xf>
    <xf numFmtId="0" fontId="4" fillId="0" borderId="0" xfId="13" applyFont="1"/>
    <xf numFmtId="0" fontId="4" fillId="0" borderId="0" xfId="13" applyFont="1" applyAlignment="1">
      <alignment horizontal="center"/>
    </xf>
    <xf numFmtId="0" fontId="6" fillId="0" borderId="0" xfId="13" applyFont="1" applyAlignment="1">
      <alignment horizontal="center"/>
    </xf>
    <xf numFmtId="10" fontId="5" fillId="0" borderId="11" xfId="3" applyNumberFormat="1" applyFont="1" applyFill="1" applyBorder="1"/>
    <xf numFmtId="164" fontId="4" fillId="0" borderId="0" xfId="13" applyNumberFormat="1" applyFont="1"/>
    <xf numFmtId="0" fontId="2" fillId="0" borderId="0" xfId="13" applyFont="1" applyAlignment="1">
      <alignment horizontal="center"/>
    </xf>
    <xf numFmtId="0" fontId="4" fillId="0" borderId="0" xfId="14" applyFont="1"/>
    <xf numFmtId="0" fontId="5" fillId="0" borderId="0" xfId="14" applyFont="1"/>
    <xf numFmtId="0" fontId="4" fillId="0" borderId="1" xfId="14" applyFont="1" applyBorder="1" applyAlignment="1">
      <alignment horizontal="centerContinuous"/>
    </xf>
    <xf numFmtId="0" fontId="4" fillId="0" borderId="11" xfId="14" applyFont="1" applyBorder="1" applyAlignment="1">
      <alignment wrapText="1"/>
    </xf>
    <xf numFmtId="17" fontId="4" fillId="0" borderId="11" xfId="14" applyNumberFormat="1" applyFont="1" applyBorder="1" applyAlignment="1">
      <alignment horizontal="center" wrapText="1"/>
    </xf>
    <xf numFmtId="0" fontId="4" fillId="0" borderId="11" xfId="11" applyFont="1" applyBorder="1" applyAlignment="1">
      <alignment horizontal="center"/>
    </xf>
    <xf numFmtId="0" fontId="12" fillId="0" borderId="0" xfId="11" applyFont="1"/>
    <xf numFmtId="164" fontId="4" fillId="0" borderId="11" xfId="15" applyNumberFormat="1" applyFont="1" applyFill="1" applyBorder="1" applyAlignment="1">
      <alignment horizontal="center" wrapText="1"/>
    </xf>
    <xf numFmtId="17" fontId="4" fillId="0" borderId="11" xfId="11" applyNumberFormat="1" applyFont="1" applyBorder="1" applyAlignment="1">
      <alignment horizontal="center" wrapText="1"/>
    </xf>
    <xf numFmtId="164" fontId="5" fillId="0" borderId="0" xfId="15" applyNumberFormat="1" applyFont="1"/>
    <xf numFmtId="10" fontId="5" fillId="0" borderId="0" xfId="16" applyNumberFormat="1" applyFont="1" applyFill="1"/>
    <xf numFmtId="0" fontId="4" fillId="0" borderId="1" xfId="14" applyFont="1" applyBorder="1"/>
    <xf numFmtId="164" fontId="4" fillId="0" borderId="1" xfId="14" applyNumberFormat="1" applyFont="1" applyBorder="1"/>
    <xf numFmtId="170" fontId="4" fillId="0" borderId="1" xfId="16" applyNumberFormat="1" applyFont="1" applyBorder="1"/>
    <xf numFmtId="170" fontId="5" fillId="0" borderId="0" xfId="14" applyNumberFormat="1" applyFont="1"/>
    <xf numFmtId="164" fontId="5" fillId="0" borderId="0" xfId="15" applyNumberFormat="1" applyFont="1" applyFill="1"/>
    <xf numFmtId="164" fontId="5" fillId="0" borderId="0" xfId="14" applyNumberFormat="1" applyFont="1"/>
    <xf numFmtId="164" fontId="4" fillId="0" borderId="1" xfId="15" applyNumberFormat="1" applyFont="1" applyFill="1" applyBorder="1"/>
    <xf numFmtId="0" fontId="4" fillId="0" borderId="1" xfId="17" applyFont="1" applyBorder="1" applyAlignment="1">
      <alignment horizontal="center"/>
    </xf>
    <xf numFmtId="0" fontId="4" fillId="0" borderId="11" xfId="14" applyFont="1" applyBorder="1" applyAlignment="1">
      <alignment horizontal="center"/>
    </xf>
    <xf numFmtId="0" fontId="12" fillId="0" borderId="0" xfId="14" applyFont="1"/>
    <xf numFmtId="170" fontId="5" fillId="0" borderId="0" xfId="16" applyNumberFormat="1" applyFont="1" applyFill="1" applyAlignment="1">
      <alignment horizontal="center"/>
    </xf>
    <xf numFmtId="10" fontId="5" fillId="0" borderId="0" xfId="16" applyNumberFormat="1" applyFont="1"/>
    <xf numFmtId="0" fontId="13" fillId="0" borderId="0" xfId="11" applyFont="1"/>
    <xf numFmtId="10" fontId="4" fillId="0" borderId="1" xfId="16" applyNumberFormat="1" applyFont="1" applyFill="1" applyBorder="1" applyAlignment="1">
      <alignment horizontal="center"/>
    </xf>
    <xf numFmtId="10" fontId="5" fillId="0" borderId="0" xfId="16" applyNumberFormat="1" applyFont="1" applyFill="1" applyAlignment="1">
      <alignment horizontal="center"/>
    </xf>
    <xf numFmtId="10" fontId="14" fillId="0" borderId="0" xfId="16" applyNumberFormat="1" applyFont="1" applyFill="1" applyAlignment="1">
      <alignment horizontal="center"/>
    </xf>
    <xf numFmtId="165" fontId="5" fillId="0" borderId="0" xfId="16" applyNumberFormat="1" applyFont="1" applyFill="1" applyAlignment="1">
      <alignment horizontal="center"/>
    </xf>
    <xf numFmtId="165" fontId="5" fillId="0" borderId="0" xfId="16" applyNumberFormat="1" applyFont="1" applyFill="1"/>
    <xf numFmtId="165" fontId="4" fillId="0" borderId="1" xfId="3" applyNumberFormat="1" applyFont="1" applyFill="1" applyBorder="1"/>
    <xf numFmtId="165" fontId="4" fillId="0" borderId="1" xfId="16" applyNumberFormat="1" applyFont="1" applyBorder="1"/>
    <xf numFmtId="165" fontId="5" fillId="0" borderId="0" xfId="14" applyNumberFormat="1" applyFont="1"/>
    <xf numFmtId="165" fontId="5" fillId="0" borderId="0" xfId="16" applyNumberFormat="1" applyFont="1"/>
    <xf numFmtId="0" fontId="5" fillId="0" borderId="0" xfId="13" applyFont="1" applyAlignment="1">
      <alignment horizontal="center"/>
    </xf>
    <xf numFmtId="0" fontId="6" fillId="0" borderId="0" xfId="13" applyFont="1" applyBorder="1" applyAlignment="1">
      <alignment horizontal="center" wrapText="1"/>
    </xf>
    <xf numFmtId="0" fontId="5" fillId="0" borderId="0" xfId="14" applyFont="1" applyAlignment="1">
      <alignment horizontal="right"/>
    </xf>
    <xf numFmtId="164" fontId="1" fillId="2" borderId="16" xfId="3" applyNumberFormat="1" applyFont="1" applyFill="1" applyBorder="1" applyAlignment="1">
      <alignment horizontal="center"/>
    </xf>
    <xf numFmtId="14" fontId="1" fillId="2" borderId="16" xfId="9" applyNumberFormat="1" applyFont="1" applyFill="1" applyBorder="1"/>
    <xf numFmtId="10" fontId="1" fillId="2" borderId="16" xfId="3" applyNumberFormat="1" applyFont="1" applyFill="1" applyBorder="1" applyAlignment="1">
      <alignment horizontal="center"/>
    </xf>
    <xf numFmtId="14" fontId="1" fillId="2" borderId="16" xfId="8" applyNumberFormat="1" applyFont="1" applyFill="1" applyBorder="1"/>
    <xf numFmtId="164" fontId="1" fillId="2" borderId="16" xfId="1" applyNumberFormat="1" applyFont="1" applyFill="1" applyBorder="1" applyAlignment="1">
      <alignment horizontal="center"/>
    </xf>
    <xf numFmtId="0" fontId="5" fillId="0" borderId="0" xfId="6" applyFont="1"/>
    <xf numFmtId="0" fontId="1" fillId="0" borderId="0" xfId="0" applyFont="1"/>
    <xf numFmtId="0" fontId="5" fillId="0" borderId="0" xfId="6" applyFont="1" applyAlignment="1">
      <alignment wrapText="1"/>
    </xf>
    <xf numFmtId="0" fontId="5" fillId="0" borderId="0" xfId="6" applyFont="1" applyAlignment="1">
      <alignment horizontal="center" wrapText="1"/>
    </xf>
    <xf numFmtId="164" fontId="5" fillId="0" borderId="0" xfId="6" applyNumberFormat="1" applyFont="1" applyAlignment="1">
      <alignment wrapText="1"/>
    </xf>
    <xf numFmtId="0" fontId="5" fillId="0" borderId="0" xfId="6" applyFont="1" applyAlignment="1">
      <alignment horizontal="left" wrapText="1"/>
    </xf>
    <xf numFmtId="0" fontId="5" fillId="0" borderId="13" xfId="6" applyFont="1" applyBorder="1" applyAlignment="1">
      <alignment wrapText="1"/>
    </xf>
    <xf numFmtId="164" fontId="5" fillId="0" borderId="13" xfId="6" applyNumberFormat="1" applyFont="1" applyBorder="1" applyAlignment="1">
      <alignment wrapText="1"/>
    </xf>
    <xf numFmtId="0" fontId="5" fillId="0" borderId="0" xfId="6" applyFont="1" applyAlignment="1">
      <alignment horizontal="left"/>
    </xf>
    <xf numFmtId="0" fontId="1" fillId="0" borderId="0" xfId="7" applyFont="1"/>
    <xf numFmtId="0" fontId="0" fillId="0" borderId="0" xfId="7" applyFont="1" applyAlignment="1">
      <alignment horizontal="center"/>
    </xf>
    <xf numFmtId="0" fontId="5" fillId="0" borderId="0" xfId="7" applyFont="1" applyAlignment="1">
      <alignment horizontal="right"/>
    </xf>
    <xf numFmtId="169" fontId="4" fillId="0" borderId="0" xfId="12" applyFont="1" applyFill="1" applyAlignment="1">
      <alignment horizontal="center"/>
    </xf>
    <xf numFmtId="169" fontId="5" fillId="0" borderId="0" xfId="12" applyFont="1"/>
    <xf numFmtId="169" fontId="5" fillId="0" borderId="0" xfId="12" applyFont="1" applyAlignment="1">
      <alignment horizontal="right" indent="1"/>
    </xf>
    <xf numFmtId="169" fontId="5" fillId="0" borderId="0" xfId="12" applyFont="1" applyAlignment="1">
      <alignment horizontal="center"/>
    </xf>
    <xf numFmtId="169" fontId="5" fillId="0" borderId="0" xfId="12" applyFont="1" applyAlignment="1">
      <alignment horizontal="left" indent="1"/>
    </xf>
    <xf numFmtId="0" fontId="5" fillId="0" borderId="0" xfId="13" applyFont="1"/>
    <xf numFmtId="164" fontId="5" fillId="0" borderId="0" xfId="13" applyNumberFormat="1" applyFont="1"/>
    <xf numFmtId="164" fontId="5" fillId="0" borderId="11" xfId="13" applyNumberFormat="1" applyFont="1" applyBorder="1"/>
    <xf numFmtId="10" fontId="5" fillId="0" borderId="11" xfId="13" applyNumberFormat="1" applyFont="1" applyBorder="1"/>
    <xf numFmtId="10" fontId="5" fillId="0" borderId="0" xfId="13" applyNumberFormat="1" applyFont="1"/>
    <xf numFmtId="164" fontId="5" fillId="0" borderId="1" xfId="13" applyNumberFormat="1" applyFont="1" applyBorder="1"/>
    <xf numFmtId="0" fontId="5" fillId="0" borderId="0" xfId="13" applyFont="1" applyAlignment="1">
      <alignment horizontal="right"/>
    </xf>
    <xf numFmtId="0" fontId="5" fillId="0" borderId="0" xfId="11" applyFont="1" applyAlignment="1">
      <alignment horizontal="right"/>
    </xf>
    <xf numFmtId="0" fontId="5" fillId="0" borderId="0" xfId="11" applyFont="1"/>
    <xf numFmtId="164" fontId="5" fillId="0" borderId="0" xfId="11" applyNumberFormat="1" applyFont="1"/>
    <xf numFmtId="0" fontId="15" fillId="0" borderId="0" xfId="0" applyFont="1"/>
    <xf numFmtId="0" fontId="5" fillId="0" borderId="3" xfId="0" applyFont="1" applyBorder="1" applyAlignment="1">
      <alignment vertical="top" wrapText="1"/>
    </xf>
    <xf numFmtId="0" fontId="5" fillId="0" borderId="4" xfId="0" applyFont="1" applyBorder="1" applyAlignment="1">
      <alignment vertical="top" wrapText="1"/>
    </xf>
    <xf numFmtId="0" fontId="5" fillId="0" borderId="0" xfId="0" applyFont="1" applyAlignment="1">
      <alignment vertical="top" wrapText="1"/>
    </xf>
    <xf numFmtId="0" fontId="5" fillId="0" borderId="6"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5" fillId="0" borderId="0" xfId="6" applyFont="1" applyAlignment="1">
      <alignment wrapText="1"/>
    </xf>
    <xf numFmtId="0" fontId="5" fillId="0" borderId="0" xfId="6" applyFont="1" applyAlignment="1">
      <alignment vertical="top" wrapText="1"/>
    </xf>
    <xf numFmtId="0" fontId="0" fillId="0" borderId="0" xfId="0" applyFont="1"/>
    <xf numFmtId="0" fontId="3" fillId="0" borderId="0" xfId="8" applyFont="1" applyAlignment="1">
      <alignment horizontal="right"/>
    </xf>
  </cellXfs>
  <cellStyles count="18">
    <cellStyle name="Comma 2" xfId="1" xr:uid="{D6FDA7DD-0C1C-47E5-8171-58F2A8B2DD4F}"/>
    <cellStyle name="Comma 6 2" xfId="15" xr:uid="{90B17398-E92A-4F39-BD1E-473F52582B3F}"/>
    <cellStyle name="Currency 2" xfId="10" xr:uid="{C63F17C5-6228-4247-9668-7BD73FDA6904}"/>
    <cellStyle name="Normal" xfId="0" builtinId="0"/>
    <cellStyle name="Normal 10 2" xfId="17" xr:uid="{C50AEACF-69E4-4220-ADD2-BCBB6B202B44}"/>
    <cellStyle name="Normal 19" xfId="12" xr:uid="{8FE37E9D-4E62-484E-B146-662C202FE192}"/>
    <cellStyle name="Normal 2" xfId="6" xr:uid="{BAE5647F-01C7-4EC5-AD42-33AB504319B4}"/>
    <cellStyle name="Normal 3 2" xfId="11" xr:uid="{B5615B1A-7F76-48F1-89DB-92075DA66653}"/>
    <cellStyle name="Normal 4" xfId="7" xr:uid="{D94235BB-7257-4128-9AC3-0FC5B2CDD679}"/>
    <cellStyle name="Normal 4 3" xfId="14" xr:uid="{753DBB60-CA67-4991-8CC1-978D82E9F1FE}"/>
    <cellStyle name="Normal 6" xfId="13" xr:uid="{725DB0BC-97C5-4186-981B-3AFCF1277DFD}"/>
    <cellStyle name="Normal_Adjustment Template" xfId="5" xr:uid="{C22B5352-406C-427B-B796-4FB2152DC376}"/>
    <cellStyle name="Normal_Contract Expiration Dates Summary-8-2-05" xfId="9" xr:uid="{C56B0C78-E879-4BCB-8B77-186D1C5AC50F}"/>
    <cellStyle name="Normal_Extract for Adjustment-Wy Case - Sept 06" xfId="8" xr:uid="{74165FF6-C0EA-4904-8B07-080E971B0256}"/>
    <cellStyle name="Normal_Remove Idaho Tax Payment Surcharge" xfId="2" xr:uid="{FFDD1301-2052-4752-A858-CDCAEAFACF98}"/>
    <cellStyle name="Normal_Trapper Mine Adj Dec 2006" xfId="4" xr:uid="{7C10EC23-9882-401C-9526-31F5E106BA71}"/>
    <cellStyle name="Percent 2" xfId="3" xr:uid="{80B0FF5F-10CC-4018-A554-A02889D77B0F}"/>
    <cellStyle name="Percent 5" xfId="16" xr:uid="{BA75F736-3C69-42F1-AFB9-39CDEBB49FBA}"/>
  </cellStyles>
  <dxfs count="4">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5AE5D-DC88-47EF-B9FE-3A1F3371299C}">
  <sheetPr>
    <pageSetUpPr fitToPage="1"/>
  </sheetPr>
  <dimension ref="A2:J63"/>
  <sheetViews>
    <sheetView tabSelected="1" view="pageBreakPreview" zoomScale="85" zoomScaleNormal="100" zoomScaleSheetLayoutView="85" workbookViewId="0">
      <selection activeCell="N10" sqref="N10"/>
    </sheetView>
  </sheetViews>
  <sheetFormatPr defaultRowHeight="12.75" x14ac:dyDescent="0.2"/>
  <cols>
    <col min="1" max="1" width="2.42578125" customWidth="1"/>
    <col min="2" max="2" width="3.42578125" customWidth="1"/>
    <col min="3" max="3" width="32.7109375" customWidth="1"/>
    <col min="4" max="4" width="9.85546875" bestFit="1" customWidth="1"/>
    <col min="5" max="5" width="5.140625" bestFit="1" customWidth="1"/>
    <col min="6" max="6" width="11.5703125" bestFit="1" customWidth="1"/>
    <col min="7" max="7" width="8.42578125" bestFit="1" customWidth="1"/>
    <col min="8" max="8" width="10.7109375" bestFit="1" customWidth="1"/>
    <col min="9" max="9" width="14.85546875" bestFit="1" customWidth="1"/>
    <col min="10" max="10" width="7.5703125" bestFit="1" customWidth="1"/>
  </cols>
  <sheetData>
    <row r="2" spans="2:10" x14ac:dyDescent="0.2">
      <c r="B2" s="1" t="s">
        <v>0</v>
      </c>
      <c r="C2" s="2"/>
      <c r="D2" s="3"/>
      <c r="E2" s="3"/>
      <c r="F2" s="4"/>
      <c r="G2" s="3"/>
      <c r="H2" s="3"/>
      <c r="I2" s="5" t="s">
        <v>1</v>
      </c>
      <c r="J2" s="3">
        <v>13.2</v>
      </c>
    </row>
    <row r="3" spans="2:10" x14ac:dyDescent="0.2">
      <c r="B3" s="6" t="s">
        <v>2</v>
      </c>
      <c r="C3" s="2"/>
      <c r="D3" s="3"/>
      <c r="E3" s="3"/>
      <c r="F3" s="4"/>
      <c r="G3" s="3"/>
      <c r="H3" s="3"/>
      <c r="I3" s="7"/>
      <c r="J3" s="8"/>
    </row>
    <row r="4" spans="2:10" x14ac:dyDescent="0.2">
      <c r="B4" s="6" t="s">
        <v>3</v>
      </c>
      <c r="C4" s="2"/>
      <c r="D4" s="3"/>
      <c r="E4" s="3"/>
      <c r="F4" s="4"/>
      <c r="G4" s="3"/>
      <c r="H4" s="3"/>
      <c r="I4" s="7"/>
      <c r="J4" s="8"/>
    </row>
    <row r="5" spans="2:10" x14ac:dyDescent="0.2">
      <c r="B5" s="2"/>
      <c r="C5" s="2"/>
      <c r="D5" s="3"/>
      <c r="E5" s="3"/>
      <c r="F5" s="4"/>
      <c r="G5" s="3"/>
      <c r="H5" s="3"/>
      <c r="I5" s="7"/>
      <c r="J5" s="8"/>
    </row>
    <row r="6" spans="2:10" x14ac:dyDescent="0.2">
      <c r="B6" s="2"/>
      <c r="C6" s="2"/>
      <c r="D6" s="3"/>
      <c r="E6" s="3"/>
      <c r="F6" s="4"/>
      <c r="G6" s="3"/>
      <c r="H6" s="3"/>
      <c r="I6" s="7"/>
      <c r="J6" s="8"/>
    </row>
    <row r="7" spans="2:10" x14ac:dyDescent="0.2">
      <c r="B7" s="2"/>
      <c r="C7" s="2"/>
      <c r="D7" s="3"/>
      <c r="E7" s="3"/>
      <c r="F7" s="9" t="s">
        <v>4</v>
      </c>
      <c r="G7" s="3"/>
      <c r="H7" s="3"/>
      <c r="I7" s="10" t="s">
        <v>5</v>
      </c>
      <c r="J7" s="3"/>
    </row>
    <row r="8" spans="2:10" x14ac:dyDescent="0.2">
      <c r="B8" s="2"/>
      <c r="C8" s="2"/>
      <c r="D8" s="11" t="s">
        <v>6</v>
      </c>
      <c r="E8" s="11" t="s">
        <v>7</v>
      </c>
      <c r="F8" s="12" t="s">
        <v>8</v>
      </c>
      <c r="G8" s="11" t="s">
        <v>9</v>
      </c>
      <c r="H8" s="13" t="s">
        <v>10</v>
      </c>
      <c r="I8" s="14" t="s">
        <v>11</v>
      </c>
      <c r="J8" s="11" t="s">
        <v>12</v>
      </c>
    </row>
    <row r="9" spans="2:10" x14ac:dyDescent="0.2">
      <c r="B9" s="15" t="s">
        <v>13</v>
      </c>
      <c r="C9" s="16"/>
      <c r="D9" s="17"/>
      <c r="E9" s="17"/>
      <c r="F9" s="17"/>
      <c r="G9" s="17"/>
      <c r="H9" s="18"/>
      <c r="I9" s="19"/>
      <c r="J9" s="20"/>
    </row>
    <row r="10" spans="2:10" x14ac:dyDescent="0.2">
      <c r="B10" s="21"/>
      <c r="C10" s="22" t="s">
        <v>14</v>
      </c>
      <c r="D10" s="17">
        <v>500</v>
      </c>
      <c r="E10" s="17" t="s">
        <v>15</v>
      </c>
      <c r="F10" s="23">
        <f>IF(H10="Situs",SUMIFS('13.2.7'!H:H,'13.2.7'!K:K,D10,'13.2.7'!M:M,H10),SUMIFS('13.2.7'!H:H,'13.2.7'!K:K,D10,'13.2.7'!L:L,G10))</f>
        <v>990322.07052309427</v>
      </c>
      <c r="G10" s="24" t="s">
        <v>16</v>
      </c>
      <c r="H10" s="25">
        <v>0</v>
      </c>
      <c r="I10" s="26">
        <f>IF(H10="Situs",SUMIFS('13.2.7'!H:H,'13.2.7'!K:K,'13.2'!D10,'13.2.7'!L:L,'13.2'!G10),H10*F10)</f>
        <v>0</v>
      </c>
      <c r="J10" s="27"/>
    </row>
    <row r="11" spans="2:10" x14ac:dyDescent="0.2">
      <c r="B11" s="28"/>
      <c r="C11" s="22" t="s">
        <v>14</v>
      </c>
      <c r="D11" s="17">
        <v>500</v>
      </c>
      <c r="E11" s="17" t="s">
        <v>15</v>
      </c>
      <c r="F11" s="23">
        <f>IF(H11="Situs",SUMIFS('13.2.7'!H:H,'13.2.7'!K:K,D11,'13.2.7'!M:M,H11),SUMIFS('13.2.7'!H:H,'13.2.7'!K:K,D11,'13.2.7'!L:L,G11))</f>
        <v>13.572953365861029</v>
      </c>
      <c r="G11" s="24" t="s">
        <v>17</v>
      </c>
      <c r="H11" s="25">
        <v>0.22162982918040364</v>
      </c>
      <c r="I11" s="26">
        <f>IF(H11="Situs",SUMIFS('13.2.7'!H:H,'13.2.7'!K:K,'13.2'!D11,'13.2.7'!L:L,'13.2'!G11),H11*F11)</f>
        <v>3.0081713359493643</v>
      </c>
      <c r="J11" s="27"/>
    </row>
    <row r="12" spans="2:10" x14ac:dyDescent="0.2">
      <c r="B12" s="28"/>
      <c r="C12" s="22" t="s">
        <v>14</v>
      </c>
      <c r="D12" s="17">
        <v>500</v>
      </c>
      <c r="E12" s="17" t="s">
        <v>15</v>
      </c>
      <c r="F12" s="23">
        <f>IF(H12="Situs",SUMIFS('13.2.7'!H:H,'13.2.7'!K:K,D12,'13.2.7'!M:M,H12),SUMIFS('13.2.7'!H:H,'13.2.7'!K:K,D12,'13.2.7'!L:L,G12))</f>
        <v>142078.62377023837</v>
      </c>
      <c r="G12" s="24" t="s">
        <v>18</v>
      </c>
      <c r="H12" s="25">
        <v>0.22162982918040364</v>
      </c>
      <c r="I12" s="26">
        <f>IF(H12="Situs",SUMIFS('13.2.7'!H:H,'13.2.7'!K:K,'13.2'!D12,'13.2.7'!L:L,'13.2'!G12),H12*F12)</f>
        <v>31488.861116384764</v>
      </c>
      <c r="J12" s="27"/>
    </row>
    <row r="13" spans="2:10" x14ac:dyDescent="0.2">
      <c r="B13" s="28"/>
      <c r="C13" s="22" t="s">
        <v>14</v>
      </c>
      <c r="D13" s="17">
        <v>500</v>
      </c>
      <c r="E13" s="17" t="s">
        <v>15</v>
      </c>
      <c r="F13" s="23">
        <f>IF(H13="Situs",SUMIFS('13.2.7'!H:H,'13.2.7'!K:K,D13,'13.2.7'!M:M,H13),SUMIFS('13.2.7'!H:H,'13.2.7'!K:K,D13,'13.2.7'!L:L,G13))</f>
        <v>47592.020761007865</v>
      </c>
      <c r="G13" s="24" t="s">
        <v>19</v>
      </c>
      <c r="H13" s="25">
        <v>7.9787774498314715E-2</v>
      </c>
      <c r="I13" s="26">
        <f>IF(H13="Situs",SUMIFS('13.2.7'!H:H,'13.2.7'!K:K,'13.2'!D13,'13.2.7'!L:L,'13.2'!G13),H13*F13)</f>
        <v>3797.2614203984076</v>
      </c>
      <c r="J13" s="27"/>
    </row>
    <row r="14" spans="2:10" x14ac:dyDescent="0.2">
      <c r="B14" s="28"/>
      <c r="C14" s="22" t="s">
        <v>20</v>
      </c>
      <c r="D14" s="17">
        <v>501</v>
      </c>
      <c r="E14" s="17" t="s">
        <v>15</v>
      </c>
      <c r="F14" s="23">
        <f>IF(H14="Situs",SUMIFS('13.2.7'!H:H,'13.2.7'!K:K,D14,'13.2.7'!M:M,H14),SUMIFS('13.2.7'!H:H,'13.2.7'!K:K,D14,'13.2.7'!L:L,G14))</f>
        <v>1781.4968711860708</v>
      </c>
      <c r="G14" s="24" t="s">
        <v>21</v>
      </c>
      <c r="H14" s="25">
        <v>7.6163640476536676E-2</v>
      </c>
      <c r="I14" s="26">
        <f>IF(H14="Situs",SUMIFS('13.2.7'!H:H,'13.2.7'!K:K,'13.2'!D14,'13.2.7'!L:L,'13.2'!G14),H14*F14)</f>
        <v>135.68528720709088</v>
      </c>
      <c r="J14" s="27"/>
    </row>
    <row r="15" spans="2:10" x14ac:dyDescent="0.2">
      <c r="B15" s="28"/>
      <c r="C15" s="22" t="s">
        <v>22</v>
      </c>
      <c r="D15" s="17">
        <v>512</v>
      </c>
      <c r="E15" s="17" t="s">
        <v>15</v>
      </c>
      <c r="F15" s="23">
        <f>IF(H15="Situs",SUMIFS('13.2.7'!H:H,'13.2.7'!K:K,D15,'13.2.7'!M:M,H15),SUMIFS('13.2.7'!H:H,'13.2.7'!K:K,D15,'13.2.7'!L:L,G15))</f>
        <v>599313.7717032294</v>
      </c>
      <c r="G15" s="24" t="s">
        <v>16</v>
      </c>
      <c r="H15" s="25">
        <v>0</v>
      </c>
      <c r="I15" s="26">
        <f>IF(H15="Situs",SUMIFS('13.2.7'!H:H,'13.2.7'!K:K,'13.2'!D15,'13.2.7'!L:L,'13.2'!G15),H15*F15)</f>
        <v>0</v>
      </c>
      <c r="J15" s="27"/>
    </row>
    <row r="16" spans="2:10" x14ac:dyDescent="0.2">
      <c r="B16" s="28"/>
      <c r="C16" s="22" t="s">
        <v>22</v>
      </c>
      <c r="D16" s="17">
        <v>512</v>
      </c>
      <c r="E16" s="17" t="s">
        <v>15</v>
      </c>
      <c r="F16" s="23">
        <f>IF(H16="Situs",SUMIFS('13.2.7'!H:H,'13.2.7'!K:K,D16,'13.2.7'!M:M,H16),SUMIFS('13.2.7'!H:H,'13.2.7'!K:K,D16,'13.2.7'!L:L,G16))</f>
        <v>304753.07601449551</v>
      </c>
      <c r="G16" s="24" t="s">
        <v>18</v>
      </c>
      <c r="H16" s="25">
        <v>0.22162982918040364</v>
      </c>
      <c r="I16" s="26">
        <f>IF(H16="Situs",SUMIFS('13.2.7'!H:H,'13.2.7'!K:K,'13.2'!D16,'13.2.7'!L:L,'13.2'!G16),H16*F16)</f>
        <v>67542.372179295198</v>
      </c>
      <c r="J16" s="27"/>
    </row>
    <row r="17" spans="2:10" x14ac:dyDescent="0.2">
      <c r="B17" s="28"/>
      <c r="C17" s="22" t="s">
        <v>22</v>
      </c>
      <c r="D17" s="17">
        <v>512</v>
      </c>
      <c r="E17" s="17" t="s">
        <v>15</v>
      </c>
      <c r="F17" s="23">
        <f>IF(H17="Situs",SUMIFS('13.2.7'!H:H,'13.2.7'!K:K,D17,'13.2.7'!M:M,H17),SUMIFS('13.2.7'!H:H,'13.2.7'!K:K,D17,'13.2.7'!L:L,G17))</f>
        <v>4065.6580055515915</v>
      </c>
      <c r="G17" s="24" t="s">
        <v>19</v>
      </c>
      <c r="H17" s="25">
        <v>7.9787774498314715E-2</v>
      </c>
      <c r="I17" s="26">
        <f>IF(H17="Situs",SUMIFS('13.2.7'!H:H,'13.2.7'!K:K,'13.2'!D17,'13.2.7'!L:L,'13.2'!G17),H17*F17)</f>
        <v>324.38980413421831</v>
      </c>
      <c r="J17" s="27"/>
    </row>
    <row r="18" spans="2:10" x14ac:dyDescent="0.2">
      <c r="B18" s="28"/>
      <c r="C18" s="22" t="s">
        <v>23</v>
      </c>
      <c r="D18" s="17">
        <v>535</v>
      </c>
      <c r="E18" s="17" t="s">
        <v>15</v>
      </c>
      <c r="F18" s="23">
        <f>IF(H18="Situs",SUMIFS('13.2.7'!H:H,'13.2.7'!K:K,D18,'13.2.7'!M:M,H18),SUMIFS('13.2.7'!H:H,'13.2.7'!K:K,D18,'13.2.7'!L:L,G18))</f>
        <v>246699.13437143157</v>
      </c>
      <c r="G18" s="24" t="s">
        <v>24</v>
      </c>
      <c r="H18" s="25">
        <v>7.9787774498314715E-2</v>
      </c>
      <c r="I18" s="26">
        <f>IF(H18="Situs",SUMIFS('13.2.7'!H:H,'13.2.7'!K:K,'13.2'!D18,'13.2.7'!L:L,'13.2'!G18),H18*F18)</f>
        <v>19683.574902157223</v>
      </c>
      <c r="J18" s="27"/>
    </row>
    <row r="19" spans="2:10" x14ac:dyDescent="0.2">
      <c r="B19" s="28"/>
      <c r="C19" s="22" t="s">
        <v>23</v>
      </c>
      <c r="D19" s="17">
        <v>535</v>
      </c>
      <c r="E19" s="17" t="s">
        <v>15</v>
      </c>
      <c r="F19" s="23">
        <f>IF(H19="Situs",SUMIFS('13.2.7'!H:H,'13.2.7'!K:K,D19,'13.2.7'!M:M,H19),SUMIFS('13.2.7'!H:H,'13.2.7'!K:K,D19,'13.2.7'!L:L,G19))</f>
        <v>165498.46739265535</v>
      </c>
      <c r="G19" s="24" t="s">
        <v>25</v>
      </c>
      <c r="H19" s="25">
        <v>7.9787774498314715E-2</v>
      </c>
      <c r="I19" s="26">
        <f>IF(H19="Situs",SUMIFS('13.2.7'!H:H,'13.2.7'!K:K,'13.2'!D19,'13.2.7'!L:L,'13.2'!G19),H19*F19)</f>
        <v>13204.754396141876</v>
      </c>
      <c r="J19" s="27"/>
    </row>
    <row r="20" spans="2:10" x14ac:dyDescent="0.2">
      <c r="B20" s="28"/>
      <c r="C20" s="22" t="s">
        <v>26</v>
      </c>
      <c r="D20" s="17">
        <v>545</v>
      </c>
      <c r="E20" s="17" t="s">
        <v>15</v>
      </c>
      <c r="F20" s="23">
        <f>IF(H20="Situs",SUMIFS('13.2.7'!H:H,'13.2.7'!K:K,D20,'13.2.7'!M:M,H20),SUMIFS('13.2.7'!H:H,'13.2.7'!K:K,D20,'13.2.7'!L:L,G20))</f>
        <v>42608.509910258814</v>
      </c>
      <c r="G20" s="24" t="s">
        <v>24</v>
      </c>
      <c r="H20" s="25">
        <v>7.9787774498314715E-2</v>
      </c>
      <c r="I20" s="26">
        <f>IF(H20="Situs",SUMIFS('13.2.7'!H:H,'13.2.7'!K:K,'13.2'!D20,'13.2.7'!L:L,'13.2'!G20),H20*F20)</f>
        <v>3399.6381804289381</v>
      </c>
      <c r="J20" s="27"/>
    </row>
    <row r="21" spans="2:10" x14ac:dyDescent="0.2">
      <c r="B21" s="28"/>
      <c r="C21" s="22" t="s">
        <v>26</v>
      </c>
      <c r="D21" s="20">
        <v>545</v>
      </c>
      <c r="E21" s="17" t="s">
        <v>15</v>
      </c>
      <c r="F21" s="23">
        <f>IF(H21="Situs",SUMIFS('13.2.7'!H:H,'13.2.7'!K:K,D21,'13.2.7'!M:M,H21),SUMIFS('13.2.7'!H:H,'13.2.7'!K:K,D21,'13.2.7'!L:L,G21))</f>
        <v>8340.0916182743113</v>
      </c>
      <c r="G21" s="24" t="s">
        <v>25</v>
      </c>
      <c r="H21" s="25">
        <v>7.9787774498314715E-2</v>
      </c>
      <c r="I21" s="26">
        <f>IF(H21="Situs",SUMIFS('13.2.7'!H:H,'13.2.7'!K:K,'13.2'!D21,'13.2.7'!L:L,'13.2'!G21),H21*F21)</f>
        <v>665.43734933415544</v>
      </c>
      <c r="J21" s="27"/>
    </row>
    <row r="22" spans="2:10" x14ac:dyDescent="0.2">
      <c r="B22" s="28"/>
      <c r="C22" s="22" t="s">
        <v>27</v>
      </c>
      <c r="D22" s="20">
        <v>548</v>
      </c>
      <c r="E22" s="17" t="s">
        <v>15</v>
      </c>
      <c r="F22" s="23">
        <f>IF(H22="Situs",SUMIFS('13.2.7'!H:H,'13.2.7'!K:K,D22,'13.2.7'!M:M,H22),SUMIFS('13.2.7'!H:H,'13.2.7'!K:K,D22,'13.2.7'!L:L,G22))</f>
        <v>109896.0560438565</v>
      </c>
      <c r="G22" s="24" t="s">
        <v>16</v>
      </c>
      <c r="H22" s="25">
        <v>0</v>
      </c>
      <c r="I22" s="26">
        <f>IF(H22="Situs",SUMIFS('13.2.7'!H:H,'13.2.7'!K:K,'13.2'!D22,'13.2.7'!L:L,'13.2'!G22),H22*F22)</f>
        <v>0</v>
      </c>
      <c r="J22" s="27"/>
    </row>
    <row r="23" spans="2:10" x14ac:dyDescent="0.2">
      <c r="B23" s="28"/>
      <c r="C23" s="22" t="s">
        <v>27</v>
      </c>
      <c r="D23" s="20">
        <v>548</v>
      </c>
      <c r="E23" s="17" t="s">
        <v>15</v>
      </c>
      <c r="F23" s="23">
        <f>IF(H23="Situs",SUMIFS('13.2.7'!H:H,'13.2.7'!K:K,D23,'13.2.7'!M:M,H23),SUMIFS('13.2.7'!H:H,'13.2.7'!K:K,D23,'13.2.7'!L:L,G23))</f>
        <v>41445.53343936638</v>
      </c>
      <c r="G23" s="24" t="s">
        <v>17</v>
      </c>
      <c r="H23" s="25">
        <v>0.22162982918040364</v>
      </c>
      <c r="I23" s="26">
        <f>IF(H23="Situs",SUMIFS('13.2.7'!H:H,'13.2.7'!K:K,'13.2'!D23,'13.2.7'!L:L,'13.2'!G23),H23*F23)</f>
        <v>9185.5664964574771</v>
      </c>
      <c r="J23" s="27"/>
    </row>
    <row r="24" spans="2:10" x14ac:dyDescent="0.2">
      <c r="B24" s="28"/>
      <c r="C24" s="22" t="s">
        <v>27</v>
      </c>
      <c r="D24" s="20">
        <v>548</v>
      </c>
      <c r="E24" s="17" t="s">
        <v>15</v>
      </c>
      <c r="F24" s="23">
        <f>IF(H24="Situs",SUMIFS('13.2.7'!H:H,'13.2.7'!K:K,D24,'13.2.7'!M:M,H24),SUMIFS('13.2.7'!H:H,'13.2.7'!K:K,D24,'13.2.7'!L:L,G24))</f>
        <v>59432.399557259851</v>
      </c>
      <c r="G24" s="24" t="s">
        <v>19</v>
      </c>
      <c r="H24" s="25">
        <v>7.9787774498314715E-2</v>
      </c>
      <c r="I24" s="26">
        <f>IF(H24="Situs",SUMIFS('13.2.7'!H:H,'13.2.7'!K:K,'13.2'!D24,'13.2.7'!L:L,'13.2'!G24),H24*F24)</f>
        <v>4741.9788937683879</v>
      </c>
      <c r="J24" s="27"/>
    </row>
    <row r="25" spans="2:10" x14ac:dyDescent="0.2">
      <c r="B25" s="28"/>
      <c r="C25" s="22" t="s">
        <v>27</v>
      </c>
      <c r="D25" s="20">
        <v>549</v>
      </c>
      <c r="E25" s="17" t="s">
        <v>15</v>
      </c>
      <c r="F25" s="23">
        <f>IF(H25="Situs",SUMIFS('13.2.7'!H:H,'13.2.7'!K:K,D25,'13.2.7'!M:M,H25),SUMIFS('13.2.7'!H:H,'13.2.7'!K:K,D25,'13.2.7'!L:L,G25))</f>
        <v>466.81034107881743</v>
      </c>
      <c r="G25" s="24" t="s">
        <v>28</v>
      </c>
      <c r="H25" s="25" t="s">
        <v>29</v>
      </c>
      <c r="I25" s="26">
        <f>IF(H25="Situs",SUMIFS('13.2.7'!H:H,'13.2.7'!K:K,'13.2'!D25,'13.2.7'!L:L,'13.2'!G25),H25*F25)</f>
        <v>0</v>
      </c>
      <c r="J25" s="27"/>
    </row>
    <row r="26" spans="2:10" x14ac:dyDescent="0.2">
      <c r="B26" s="28"/>
      <c r="C26" s="22" t="s">
        <v>30</v>
      </c>
      <c r="D26" s="20">
        <v>553</v>
      </c>
      <c r="E26" s="17" t="s">
        <v>15</v>
      </c>
      <c r="F26" s="23">
        <f>IF(H26="Situs",SUMIFS('13.2.7'!H:H,'13.2.7'!K:K,D26,'13.2.7'!M:M,H26),SUMIFS('13.2.7'!H:H,'13.2.7'!K:K,D26,'13.2.7'!L:L,G26))</f>
        <v>40211.812457893291</v>
      </c>
      <c r="G26" s="24" t="s">
        <v>16</v>
      </c>
      <c r="H26" s="25">
        <v>0</v>
      </c>
      <c r="I26" s="26">
        <f>IF(H26="Situs",SUMIFS('13.2.7'!H:H,'13.2.7'!K:K,'13.2'!D26,'13.2.7'!L:L,'13.2'!G26),H26*F26)</f>
        <v>0</v>
      </c>
      <c r="J26" s="27"/>
    </row>
    <row r="27" spans="2:10" x14ac:dyDescent="0.2">
      <c r="B27" s="28"/>
      <c r="C27" s="22" t="s">
        <v>30</v>
      </c>
      <c r="D27" s="20">
        <v>553</v>
      </c>
      <c r="E27" s="17" t="s">
        <v>15</v>
      </c>
      <c r="F27" s="23">
        <f>IF(H27="Situs",SUMIFS('13.2.7'!H:H,'13.2.7'!K:K,D27,'13.2.7'!M:M,H27),SUMIFS('13.2.7'!H:H,'13.2.7'!K:K,D27,'13.2.7'!L:L,G27))</f>
        <v>14021.841294598633</v>
      </c>
      <c r="G27" s="24" t="s">
        <v>17</v>
      </c>
      <c r="H27" s="25">
        <v>0.22162982918040364</v>
      </c>
      <c r="I27" s="26">
        <f>IF(H27="Situs",SUMIFS('13.2.7'!H:H,'13.2.7'!K:K,'13.2'!D27,'13.2.7'!L:L,'13.2'!G27),H27*F27)</f>
        <v>3107.658290916625</v>
      </c>
      <c r="J27" s="27"/>
    </row>
    <row r="28" spans="2:10" x14ac:dyDescent="0.2">
      <c r="B28" s="28"/>
      <c r="C28" s="22" t="s">
        <v>30</v>
      </c>
      <c r="D28" s="20">
        <v>553</v>
      </c>
      <c r="E28" s="17" t="s">
        <v>15</v>
      </c>
      <c r="F28" s="23">
        <f>IF(H28="Situs",SUMIFS('13.2.7'!H:H,'13.2.7'!K:K,D28,'13.2.7'!M:M,H28),SUMIFS('13.2.7'!H:H,'13.2.7'!K:K,D28,'13.2.7'!L:L,G28))</f>
        <v>7159.3966641909028</v>
      </c>
      <c r="G28" s="24" t="s">
        <v>19</v>
      </c>
      <c r="H28" s="25">
        <v>7.9787774498314715E-2</v>
      </c>
      <c r="I28" s="26">
        <f>IF(H28="Situs",SUMIFS('13.2.7'!H:H,'13.2.7'!K:K,'13.2'!D28,'13.2.7'!L:L,'13.2'!G28),H28*F28)</f>
        <v>571.23232658645031</v>
      </c>
      <c r="J28" s="27"/>
    </row>
    <row r="29" spans="2:10" x14ac:dyDescent="0.2">
      <c r="B29" s="28"/>
      <c r="C29" s="22" t="s">
        <v>31</v>
      </c>
      <c r="D29" s="20">
        <v>557</v>
      </c>
      <c r="E29" s="17" t="s">
        <v>15</v>
      </c>
      <c r="F29" s="23">
        <f>IF(H29="Situs",SUMIFS('13.2.7'!H:H,'13.2.7'!K:K,D29,'13.2.7'!M:M,H29),SUMIFS('13.2.7'!H:H,'13.2.7'!K:K,D29,'13.2.7'!L:L,G29))</f>
        <v>4868.5285363176617</v>
      </c>
      <c r="G29" s="24" t="s">
        <v>16</v>
      </c>
      <c r="H29" s="25">
        <v>0</v>
      </c>
      <c r="I29" s="26">
        <f>IF(H29="Situs",SUMIFS('13.2.7'!H:H,'13.2.7'!K:K,'13.2'!D29,'13.2.7'!L:L,'13.2'!G29),H29*F29)</f>
        <v>0</v>
      </c>
      <c r="J29" s="27"/>
    </row>
    <row r="30" spans="2:10" x14ac:dyDescent="0.2">
      <c r="B30" s="28"/>
      <c r="C30" s="22" t="s">
        <v>31</v>
      </c>
      <c r="D30" s="20">
        <v>557</v>
      </c>
      <c r="E30" s="17" t="s">
        <v>15</v>
      </c>
      <c r="F30" s="23">
        <f>IF(H30="Situs",SUMIFS('13.2.7'!H:H,'13.2.7'!K:K,D30,'13.2.7'!M:M,H30),SUMIFS('13.2.7'!H:H,'13.2.7'!K:K,D30,'13.2.7'!L:L,G30))</f>
        <v>551246.58706645062</v>
      </c>
      <c r="G30" s="24" t="s">
        <v>19</v>
      </c>
      <c r="H30" s="25">
        <v>7.9787774498314715E-2</v>
      </c>
      <c r="I30" s="26">
        <f>IF(H30="Situs",SUMIFS('13.2.7'!H:H,'13.2.7'!K:K,'13.2'!D30,'13.2.7'!L:L,'13.2'!G30),H30*F30)</f>
        <v>43982.738381823568</v>
      </c>
      <c r="J30" s="27"/>
    </row>
    <row r="31" spans="2:10" x14ac:dyDescent="0.2">
      <c r="B31" s="28"/>
      <c r="C31" s="22" t="s">
        <v>31</v>
      </c>
      <c r="D31" s="20">
        <v>557</v>
      </c>
      <c r="E31" s="17" t="s">
        <v>15</v>
      </c>
      <c r="F31" s="23">
        <f>IF(H31="Situs",SUMIFS('13.2.7'!H:H,'13.2.7'!K:K,D31,'13.2.7'!M:M,H31),SUMIFS('13.2.7'!H:H,'13.2.7'!K:K,D31,'13.2.7'!L:L,G31))</f>
        <v>1333.6262404424635</v>
      </c>
      <c r="G31" s="24" t="s">
        <v>28</v>
      </c>
      <c r="H31" s="25" t="s">
        <v>29</v>
      </c>
      <c r="I31" s="26">
        <f>IF(H31="Situs",SUMIFS('13.2.7'!H:H,'13.2.7'!K:K,'13.2'!D31,'13.2.7'!L:L,'13.2'!G31),H31*F31)</f>
        <v>0</v>
      </c>
      <c r="J31" s="27"/>
    </row>
    <row r="32" spans="2:10" x14ac:dyDescent="0.2">
      <c r="B32" s="28"/>
      <c r="C32" s="22" t="s">
        <v>32</v>
      </c>
      <c r="D32" s="20">
        <v>560</v>
      </c>
      <c r="E32" s="17" t="s">
        <v>15</v>
      </c>
      <c r="F32" s="23">
        <f>IF(H32="Situs",SUMIFS('13.2.7'!H:H,'13.2.7'!K:K,D32,'13.2.7'!M:M,H32),SUMIFS('13.2.7'!H:H,'13.2.7'!K:K,D32,'13.2.7'!L:L,G32))</f>
        <v>448607.88038146496</v>
      </c>
      <c r="G32" s="24" t="s">
        <v>19</v>
      </c>
      <c r="H32" s="25">
        <v>7.9787774498314715E-2</v>
      </c>
      <c r="I32" s="26">
        <f>IF(H32="Situs",SUMIFS('13.2.7'!H:H,'13.2.7'!K:K,'13.2'!D32,'13.2.7'!L:L,'13.2'!G32),H32*F32)</f>
        <v>35793.424398043266</v>
      </c>
      <c r="J32" s="27"/>
    </row>
    <row r="33" spans="2:10" x14ac:dyDescent="0.2">
      <c r="B33" s="28"/>
      <c r="C33" s="22" t="s">
        <v>33</v>
      </c>
      <c r="D33" s="20">
        <v>571</v>
      </c>
      <c r="E33" s="17" t="s">
        <v>15</v>
      </c>
      <c r="F33" s="23">
        <f>IF(H33="Situs",SUMIFS('13.2.7'!H:H,'13.2.7'!K:K,D33,'13.2.7'!M:M,H33),SUMIFS('13.2.7'!H:H,'13.2.7'!K:K,D33,'13.2.7'!L:L,G33))</f>
        <v>299642.14623731258</v>
      </c>
      <c r="G33" s="24" t="s">
        <v>19</v>
      </c>
      <c r="H33" s="25">
        <v>7.9787774498314715E-2</v>
      </c>
      <c r="I33" s="26">
        <f>IF(H33="Situs",SUMIFS('13.2.7'!H:H,'13.2.7'!K:K,'13.2'!D33,'13.2.7'!L:L,'13.2'!G33),H33*F33)</f>
        <v>23907.779994173736</v>
      </c>
      <c r="J33" s="27"/>
    </row>
    <row r="34" spans="2:10" x14ac:dyDescent="0.2">
      <c r="B34" s="28"/>
      <c r="C34" s="22" t="s">
        <v>34</v>
      </c>
      <c r="D34" s="29">
        <v>580</v>
      </c>
      <c r="E34" s="17" t="s">
        <v>15</v>
      </c>
      <c r="F34" s="23">
        <f>IF(H34="Situs",SUMIFS('13.2.7'!H:H,'13.2.7'!K:K,D34,'13.2.7'!M:M,H34),SUMIFS('13.2.7'!H:H,'13.2.7'!K:K,D34,'13.2.7'!L:L,G34))</f>
        <v>528891.25260131632</v>
      </c>
      <c r="G34" s="24" t="s">
        <v>28</v>
      </c>
      <c r="H34" s="25" t="s">
        <v>29</v>
      </c>
      <c r="I34" s="26">
        <f>IF(H34="Situs",SUMIFS('13.2.7'!H:H,'13.2.7'!K:K,'13.2'!D34,'13.2.7'!L:L,'13.2'!G34),H34*F34)</f>
        <v>36105.147251640228</v>
      </c>
      <c r="J34" s="27"/>
    </row>
    <row r="35" spans="2:10" x14ac:dyDescent="0.2">
      <c r="B35" s="28"/>
      <c r="C35" s="22" t="s">
        <v>34</v>
      </c>
      <c r="D35" s="29">
        <v>580</v>
      </c>
      <c r="E35" s="17" t="s">
        <v>15</v>
      </c>
      <c r="F35" s="23">
        <f>IF(H35="Situs",SUMIFS('13.2.7'!H:H,'13.2.7'!K:K,D35,'13.2.7'!M:M,H35),SUMIFS('13.2.7'!H:H,'13.2.7'!K:K,D35,'13.2.7'!L:L,G35))</f>
        <v>767148.30200627493</v>
      </c>
      <c r="G35" s="24" t="s">
        <v>35</v>
      </c>
      <c r="H35" s="25">
        <v>6.264027551852748E-2</v>
      </c>
      <c r="I35" s="26">
        <f>IF(H35="Situs",SUMIFS('13.2.7'!H:H,'13.2.7'!K:K,'13.2'!D35,'13.2.7'!L:L,'13.2'!G35),H35*F35)</f>
        <v>48054.381001243586</v>
      </c>
      <c r="J35" s="27"/>
    </row>
    <row r="36" spans="2:10" x14ac:dyDescent="0.2">
      <c r="B36" s="30"/>
      <c r="C36" s="22" t="s">
        <v>36</v>
      </c>
      <c r="D36" s="29">
        <v>593</v>
      </c>
      <c r="E36" s="17" t="s">
        <v>15</v>
      </c>
      <c r="F36" s="23">
        <f>IF(H36="Situs",SUMIFS('13.2.7'!H:H,'13.2.7'!K:K,D36,'13.2.7'!M:M,H36),SUMIFS('13.2.7'!H:H,'13.2.7'!K:K,D36,'13.2.7'!L:L,G36))</f>
        <v>1598671.6819000058</v>
      </c>
      <c r="G36" s="24" t="s">
        <v>28</v>
      </c>
      <c r="H36" s="25" t="s">
        <v>29</v>
      </c>
      <c r="I36" s="26">
        <f>IF(H36="Situs",SUMIFS('13.2.7'!H:H,'13.2.7'!K:K,'13.2'!D36,'13.2.7'!L:L,'13.2'!G36),H36*F36)</f>
        <v>133860.5293164785</v>
      </c>
      <c r="J36" s="27"/>
    </row>
    <row r="37" spans="2:10" x14ac:dyDescent="0.2">
      <c r="B37" s="28"/>
      <c r="C37" s="22" t="s">
        <v>36</v>
      </c>
      <c r="D37" s="29">
        <v>593</v>
      </c>
      <c r="E37" s="17" t="s">
        <v>15</v>
      </c>
      <c r="F37" s="23">
        <f>IF(H37="Situs",SUMIFS('13.2.7'!H:H,'13.2.7'!K:K,D37,'13.2.7'!M:M,H37),SUMIFS('13.2.7'!H:H,'13.2.7'!K:K,D37,'13.2.7'!L:L,G37))</f>
        <v>356683.54776984052</v>
      </c>
      <c r="G37" s="24" t="s">
        <v>35</v>
      </c>
      <c r="H37" s="25">
        <v>6.264027551852748E-2</v>
      </c>
      <c r="I37" s="26">
        <f>IF(H37="Situs",SUMIFS('13.2.7'!H:H,'13.2.7'!K:K,'13.2'!D37,'13.2.7'!L:L,'13.2'!G37),H37*F37)</f>
        <v>22342.755705228668</v>
      </c>
      <c r="J37" s="27"/>
    </row>
    <row r="38" spans="2:10" x14ac:dyDescent="0.2">
      <c r="B38" s="30"/>
      <c r="C38" s="22" t="s">
        <v>37</v>
      </c>
      <c r="D38" s="20">
        <v>903</v>
      </c>
      <c r="E38" s="17" t="s">
        <v>15</v>
      </c>
      <c r="F38" s="23">
        <f>IF(H38="Situs",SUMIFS('13.2.7'!H:H,'13.2.7'!K:K,D38,'13.2.7'!M:M,H38),SUMIFS('13.2.7'!H:H,'13.2.7'!K:K,D38,'13.2.7'!L:L,G38))</f>
        <v>489973.74524841999</v>
      </c>
      <c r="G38" s="24" t="s">
        <v>38</v>
      </c>
      <c r="H38" s="25">
        <v>6.742981175467383E-2</v>
      </c>
      <c r="I38" s="26">
        <f>IF(H38="Situs",SUMIFS('13.2.7'!H:H,'13.2.7'!K:K,'13.2'!D38,'13.2.7'!L:L,'13.2'!G38),H38*F38)</f>
        <v>33038.837406833474</v>
      </c>
      <c r="J38" s="27"/>
    </row>
    <row r="39" spans="2:10" x14ac:dyDescent="0.2">
      <c r="B39" s="28"/>
      <c r="C39" s="22" t="s">
        <v>37</v>
      </c>
      <c r="D39" s="20">
        <v>903</v>
      </c>
      <c r="E39" s="17" t="s">
        <v>15</v>
      </c>
      <c r="F39" s="23">
        <f>IF(H39="Situs",SUMIFS('13.2.7'!H:H,'13.2.7'!K:K,D39,'13.2.7'!M:M,H39),SUMIFS('13.2.7'!H:H,'13.2.7'!K:K,D39,'13.2.7'!L:L,G39))</f>
        <v>233399.55932019887</v>
      </c>
      <c r="G39" s="24" t="s">
        <v>28</v>
      </c>
      <c r="H39" s="25" t="s">
        <v>29</v>
      </c>
      <c r="I39" s="26">
        <f>IF(H39="Situs",SUMIFS('13.2.7'!H:H,'13.2.7'!K:K,'13.2'!D39,'13.2.7'!L:L,'13.2'!G39),H39*F39)</f>
        <v>17939.492449402183</v>
      </c>
      <c r="J39" s="3"/>
    </row>
    <row r="40" spans="2:10" x14ac:dyDescent="0.2">
      <c r="B40" s="28"/>
      <c r="C40" s="22" t="s">
        <v>39</v>
      </c>
      <c r="D40" s="20">
        <v>908</v>
      </c>
      <c r="E40" s="17" t="s">
        <v>15</v>
      </c>
      <c r="F40" s="23">
        <f>IF(H40="Situs",SUMIFS('13.2.7'!H:H,'13.2.7'!K:K,D40,'13.2.7'!M:M,H40),SUMIFS('13.2.7'!H:H,'13.2.7'!K:K,D40,'13.2.7'!L:L,G40))</f>
        <v>67617.944520496894</v>
      </c>
      <c r="G40" s="24" t="s">
        <v>38</v>
      </c>
      <c r="H40" s="25">
        <v>6.742981175467383E-2</v>
      </c>
      <c r="I40" s="26">
        <f>IF(H40="Situs",SUMIFS('13.2.7'!H:H,'13.2.7'!K:K,'13.2'!D40,'13.2.7'!L:L,'13.2'!G40),H40*F40)</f>
        <v>4559.4652702550848</v>
      </c>
      <c r="J40" s="27"/>
    </row>
    <row r="41" spans="2:10" x14ac:dyDescent="0.2">
      <c r="B41" s="28"/>
      <c r="C41" s="22" t="s">
        <v>39</v>
      </c>
      <c r="D41" s="20">
        <v>908</v>
      </c>
      <c r="E41" s="17" t="s">
        <v>15</v>
      </c>
      <c r="F41" s="23">
        <f>IF(H41="Situs",SUMIFS('13.2.7'!H:H,'13.2.7'!K:K,D41,'13.2.7'!M:M,H41),SUMIFS('13.2.7'!H:H,'13.2.7'!K:K,D41,'13.2.7'!L:L,G41))</f>
        <v>121328.79012724047</v>
      </c>
      <c r="G41" s="24" t="s">
        <v>28</v>
      </c>
      <c r="H41" s="25" t="s">
        <v>29</v>
      </c>
      <c r="I41" s="26">
        <f>IF(H41="Situs",SUMIFS('13.2.7'!H:H,'13.2.7'!K:K,'13.2'!D41,'13.2.7'!L:L,'13.2'!G41),H41*F41)</f>
        <v>3116.5335990738695</v>
      </c>
      <c r="J41" s="27"/>
    </row>
    <row r="42" spans="2:10" x14ac:dyDescent="0.2">
      <c r="B42" s="28"/>
      <c r="C42" s="22" t="s">
        <v>40</v>
      </c>
      <c r="D42" s="20">
        <v>920</v>
      </c>
      <c r="E42" s="17" t="s">
        <v>15</v>
      </c>
      <c r="F42" s="23">
        <f>IF(H42="Situs",SUMIFS('13.2.7'!H:H,'13.2.7'!K:K,D42,'13.2.7'!M:M,H42),SUMIFS('13.2.7'!H:H,'13.2.7'!K:K,D42,'13.2.7'!L:L,G42))</f>
        <v>13177.306908004035</v>
      </c>
      <c r="G42" s="24" t="s">
        <v>28</v>
      </c>
      <c r="H42" s="25" t="s">
        <v>29</v>
      </c>
      <c r="I42" s="26">
        <f>IF(H42="Situs",SUMIFS('13.2.7'!H:H,'13.2.7'!K:K,'13.2'!D42,'13.2.7'!L:L,'13.2'!G42),H42*F42)</f>
        <v>-151.39100258853688</v>
      </c>
      <c r="J42" s="27"/>
    </row>
    <row r="43" spans="2:10" x14ac:dyDescent="0.2">
      <c r="B43" s="28"/>
      <c r="C43" s="22" t="s">
        <v>40</v>
      </c>
      <c r="D43" s="20">
        <v>920</v>
      </c>
      <c r="E43" s="17" t="s">
        <v>15</v>
      </c>
      <c r="F43" s="23">
        <f>IF(H43="Situs",SUMIFS('13.2.7'!H:H,'13.2.7'!K:K,D43,'13.2.7'!M:M,H43),SUMIFS('13.2.7'!H:H,'13.2.7'!K:K,D43,'13.2.7'!L:L,G43))</f>
        <v>591114.72809722042</v>
      </c>
      <c r="G43" s="24" t="s">
        <v>41</v>
      </c>
      <c r="H43" s="25">
        <v>7.0845810240555085E-2</v>
      </c>
      <c r="I43" s="26">
        <f>IF(H43="Situs",SUMIFS('13.2.7'!H:H,'13.2.7'!K:K,'13.2'!D43,'13.2.7'!L:L,'13.2'!G43),H43*F43)</f>
        <v>41878.001857172996</v>
      </c>
      <c r="J43" s="27"/>
    </row>
    <row r="44" spans="2:10" x14ac:dyDescent="0.2">
      <c r="B44" s="28"/>
      <c r="C44" s="22" t="s">
        <v>40</v>
      </c>
      <c r="D44" s="20">
        <v>935</v>
      </c>
      <c r="E44" s="17" t="s">
        <v>15</v>
      </c>
      <c r="F44" s="23">
        <f>IF(H44="Situs",SUMIFS('13.2.7'!H:H,'13.2.7'!K:K,D44,'13.2.7'!M:M,H44),SUMIFS('13.2.7'!H:H,'13.2.7'!K:K,D44,'13.2.7'!L:L,G44))</f>
        <v>323.60578805438013</v>
      </c>
      <c r="G44" s="24" t="s">
        <v>28</v>
      </c>
      <c r="H44" s="25" t="s">
        <v>29</v>
      </c>
      <c r="I44" s="26">
        <f>IF(H44="Situs",SUMIFS('13.2.7'!H:H,'13.2.7'!K:K,'13.2'!D44,'13.2.7'!L:L,'13.2'!G44),H44*F44)</f>
        <v>9.8614599040819559</v>
      </c>
      <c r="J44" s="27"/>
    </row>
    <row r="45" spans="2:10" x14ac:dyDescent="0.2">
      <c r="B45" s="28"/>
      <c r="C45" s="22" t="s">
        <v>40</v>
      </c>
      <c r="D45" s="20">
        <v>935</v>
      </c>
      <c r="E45" s="17" t="s">
        <v>15</v>
      </c>
      <c r="F45" s="23">
        <f>IF(H45="Situs",SUMIFS('13.2.7'!H:H,'13.2.7'!K:K,D45,'13.2.7'!M:M,H45),SUMIFS('13.2.7'!H:H,'13.2.7'!K:K,D45,'13.2.7'!L:L,G45))</f>
        <v>43584.264056432788</v>
      </c>
      <c r="G45" s="24" t="s">
        <v>41</v>
      </c>
      <c r="H45" s="25">
        <v>7.0845810240555085E-2</v>
      </c>
      <c r="I45" s="26">
        <f>IF(H45="Situs",SUMIFS('13.2.7'!H:H,'13.2.7'!K:K,'13.2'!D45,'13.2.7'!L:L,'13.2'!G45),H45*F45)</f>
        <v>3087.7625008162831</v>
      </c>
      <c r="J45" s="19"/>
    </row>
    <row r="46" spans="2:10" x14ac:dyDescent="0.2">
      <c r="B46" s="28"/>
      <c r="C46" s="22"/>
      <c r="D46" s="20"/>
      <c r="E46" s="17"/>
      <c r="F46" s="31">
        <f>SUM(F10:F45)</f>
        <v>8943313.8404985294</v>
      </c>
      <c r="G46" s="24"/>
      <c r="H46" s="25"/>
      <c r="I46" s="31">
        <f>SUM(I10:I45)</f>
        <v>605376.73840404779</v>
      </c>
      <c r="J46" s="19" t="s">
        <v>42</v>
      </c>
    </row>
    <row r="47" spans="2:10" x14ac:dyDescent="0.2">
      <c r="B47" s="28"/>
      <c r="C47" s="22"/>
      <c r="D47" s="20"/>
      <c r="E47" s="17"/>
      <c r="F47" s="23"/>
      <c r="G47" s="24"/>
      <c r="H47" s="25"/>
      <c r="I47" s="26"/>
      <c r="J47" s="19"/>
    </row>
    <row r="48" spans="2:10" x14ac:dyDescent="0.2">
      <c r="B48" s="28"/>
      <c r="C48" s="22"/>
      <c r="D48" s="20"/>
      <c r="E48" s="17"/>
      <c r="F48" s="23"/>
      <c r="G48" s="24"/>
      <c r="H48" s="25"/>
      <c r="I48" s="26"/>
      <c r="J48" s="19"/>
    </row>
    <row r="49" spans="1:10" x14ac:dyDescent="0.2">
      <c r="B49" s="28"/>
      <c r="C49" s="22"/>
      <c r="D49" s="20"/>
      <c r="E49" s="17"/>
      <c r="F49" s="23"/>
      <c r="G49" s="24"/>
      <c r="H49" s="25"/>
      <c r="I49" s="26"/>
      <c r="J49" s="19"/>
    </row>
    <row r="50" spans="1:10" x14ac:dyDescent="0.2">
      <c r="B50" s="28"/>
      <c r="C50" s="22"/>
      <c r="D50" s="20"/>
      <c r="E50" s="17"/>
      <c r="F50" s="23"/>
      <c r="G50" s="24"/>
      <c r="H50" s="25"/>
      <c r="I50" s="26"/>
      <c r="J50" s="19"/>
    </row>
    <row r="51" spans="1:10" x14ac:dyDescent="0.2">
      <c r="B51" s="28"/>
      <c r="C51" s="22"/>
      <c r="D51" s="20"/>
      <c r="E51" s="17"/>
      <c r="F51" s="23"/>
      <c r="G51" s="24"/>
      <c r="H51" s="25"/>
      <c r="I51" s="26"/>
      <c r="J51" s="19"/>
    </row>
    <row r="52" spans="1:10" x14ac:dyDescent="0.2">
      <c r="B52" s="28"/>
      <c r="C52" s="22"/>
      <c r="D52" s="20"/>
      <c r="E52" s="17"/>
      <c r="F52" s="23"/>
      <c r="G52" s="24"/>
      <c r="H52" s="25"/>
      <c r="I52" s="26"/>
      <c r="J52" s="19"/>
    </row>
    <row r="53" spans="1:10" x14ac:dyDescent="0.2">
      <c r="B53" s="28"/>
      <c r="C53" s="22"/>
      <c r="D53" s="20"/>
      <c r="E53" s="17"/>
    </row>
    <row r="56" spans="1:10" ht="13.5" thickBot="1" x14ac:dyDescent="0.25">
      <c r="C56" s="6" t="s">
        <v>43</v>
      </c>
    </row>
    <row r="57" spans="1:10" x14ac:dyDescent="0.2">
      <c r="A57" s="32"/>
      <c r="B57" s="189" t="s">
        <v>44</v>
      </c>
      <c r="C57" s="189"/>
      <c r="D57" s="189"/>
      <c r="E57" s="189"/>
      <c r="F57" s="189"/>
      <c r="G57" s="189"/>
      <c r="H57" s="189"/>
      <c r="I57" s="189"/>
      <c r="J57" s="190"/>
    </row>
    <row r="58" spans="1:10" x14ac:dyDescent="0.2">
      <c r="A58" s="33"/>
      <c r="B58" s="191"/>
      <c r="C58" s="191"/>
      <c r="D58" s="191"/>
      <c r="E58" s="191"/>
      <c r="F58" s="191"/>
      <c r="G58" s="191"/>
      <c r="H58" s="191"/>
      <c r="I58" s="191"/>
      <c r="J58" s="192"/>
    </row>
    <row r="59" spans="1:10" x14ac:dyDescent="0.2">
      <c r="A59" s="33"/>
      <c r="B59" s="191"/>
      <c r="C59" s="191"/>
      <c r="D59" s="191"/>
      <c r="E59" s="191"/>
      <c r="F59" s="191"/>
      <c r="G59" s="191"/>
      <c r="H59" s="191"/>
      <c r="I59" s="191"/>
      <c r="J59" s="192"/>
    </row>
    <row r="60" spans="1:10" x14ac:dyDescent="0.2">
      <c r="A60" s="33"/>
      <c r="B60" s="191"/>
      <c r="C60" s="191"/>
      <c r="D60" s="191"/>
      <c r="E60" s="191"/>
      <c r="F60" s="191"/>
      <c r="G60" s="191"/>
      <c r="H60" s="191"/>
      <c r="I60" s="191"/>
      <c r="J60" s="192"/>
    </row>
    <row r="61" spans="1:10" ht="13.5" thickBot="1" x14ac:dyDescent="0.25">
      <c r="A61" s="34"/>
      <c r="B61" s="193"/>
      <c r="C61" s="193"/>
      <c r="D61" s="193"/>
      <c r="E61" s="193"/>
      <c r="F61" s="193"/>
      <c r="G61" s="193"/>
      <c r="H61" s="193"/>
      <c r="I61" s="193"/>
      <c r="J61" s="194"/>
    </row>
    <row r="63" spans="1:10" x14ac:dyDescent="0.2">
      <c r="E63" s="35"/>
      <c r="F63" s="36"/>
    </row>
  </sheetData>
  <mergeCells count="1">
    <mergeCell ref="B57:J61"/>
  </mergeCells>
  <conditionalFormatting sqref="B9">
    <cfRule type="cellIs" dxfId="3" priority="4" stopIfTrue="1" operator="equal">
      <formula>"Adjustment to Income/Expense/Rate Base:"</formula>
    </cfRule>
  </conditionalFormatting>
  <conditionalFormatting sqref="B10">
    <cfRule type="cellIs" dxfId="2" priority="3" stopIfTrue="1" operator="equal">
      <formula>"Title"</formula>
    </cfRule>
  </conditionalFormatting>
  <conditionalFormatting sqref="B10">
    <cfRule type="cellIs" dxfId="1" priority="2" stopIfTrue="1" operator="equal">
      <formula>"Title"</formula>
    </cfRule>
  </conditionalFormatting>
  <conditionalFormatting sqref="B10">
    <cfRule type="cellIs" dxfId="0" priority="1" stopIfTrue="1" operator="equal">
      <formula>"Adjustment to Income/Expense/Rate Base:"</formula>
    </cfRule>
  </conditionalFormatting>
  <pageMargins left="0.7" right="0.7" top="0.75" bottom="0.75" header="0.3" footer="0.3"/>
  <pageSetup scale="84" fitToHeight="0" orientation="portrait" r:id="rId1"/>
  <customProperties>
    <customPr name="_pios_id" r:id="rId2"/>
  </customProperties>
  <ignoredErrors>
    <ignoredError sqref="F46 I46"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59B9C-A112-49A9-B90F-8CEDC35F6D04}">
  <sheetPr>
    <pageSetUpPr fitToPage="1"/>
  </sheetPr>
  <dimension ref="A1:K22"/>
  <sheetViews>
    <sheetView view="pageBreakPreview" zoomScaleNormal="100" zoomScaleSheetLayoutView="100" workbookViewId="0">
      <selection activeCell="M20" sqref="M20"/>
    </sheetView>
  </sheetViews>
  <sheetFormatPr defaultRowHeight="12.75" x14ac:dyDescent="0.2"/>
  <cols>
    <col min="1" max="1" width="1.85546875" style="162" customWidth="1"/>
    <col min="2" max="9" width="9.140625" style="161"/>
    <col min="10" max="10" width="9.85546875" style="161" customWidth="1"/>
    <col min="11" max="11" width="9.7109375" style="161" customWidth="1"/>
    <col min="12" max="16384" width="9.140625" style="162"/>
  </cols>
  <sheetData>
    <row r="1" spans="1:11" x14ac:dyDescent="0.2">
      <c r="A1" s="37" t="s">
        <v>0</v>
      </c>
      <c r="B1" s="37"/>
      <c r="J1" s="3" t="s">
        <v>1</v>
      </c>
      <c r="K1" s="3" t="s">
        <v>45</v>
      </c>
    </row>
    <row r="2" spans="1:11" x14ac:dyDescent="0.2">
      <c r="A2" s="37" t="s">
        <v>2</v>
      </c>
      <c r="B2" s="37"/>
    </row>
    <row r="3" spans="1:11" x14ac:dyDescent="0.2">
      <c r="A3" s="37" t="s">
        <v>3</v>
      </c>
      <c r="B3" s="37"/>
    </row>
    <row r="6" spans="1:11" x14ac:dyDescent="0.2">
      <c r="B6" s="195" t="s">
        <v>276</v>
      </c>
      <c r="C6" s="195"/>
      <c r="D6" s="195"/>
      <c r="E6" s="195"/>
      <c r="F6" s="195"/>
      <c r="G6" s="195"/>
      <c r="H6" s="195"/>
      <c r="I6" s="195"/>
      <c r="J6" s="195"/>
      <c r="K6" s="195"/>
    </row>
    <row r="7" spans="1:11" x14ac:dyDescent="0.2">
      <c r="B7" s="195"/>
      <c r="C7" s="195"/>
      <c r="D7" s="195"/>
      <c r="E7" s="195"/>
      <c r="F7" s="195"/>
      <c r="G7" s="195"/>
      <c r="H7" s="195"/>
      <c r="I7" s="195"/>
      <c r="J7" s="195"/>
      <c r="K7" s="195"/>
    </row>
    <row r="8" spans="1:11" x14ac:dyDescent="0.2">
      <c r="B8" s="195"/>
      <c r="C8" s="195"/>
      <c r="D8" s="195"/>
      <c r="E8" s="195"/>
      <c r="F8" s="195"/>
      <c r="G8" s="195"/>
      <c r="H8" s="195"/>
      <c r="I8" s="195"/>
      <c r="J8" s="195"/>
      <c r="K8" s="195"/>
    </row>
    <row r="9" spans="1:11" x14ac:dyDescent="0.2">
      <c r="B9" s="195"/>
      <c r="C9" s="195"/>
      <c r="D9" s="195"/>
      <c r="E9" s="195"/>
      <c r="F9" s="195"/>
      <c r="G9" s="195"/>
      <c r="H9" s="195"/>
      <c r="I9" s="195"/>
      <c r="J9" s="195"/>
      <c r="K9" s="195"/>
    </row>
    <row r="11" spans="1:11" x14ac:dyDescent="0.2">
      <c r="B11" s="196" t="s">
        <v>46</v>
      </c>
      <c r="C11" s="196"/>
      <c r="D11" s="196"/>
      <c r="E11" s="196"/>
      <c r="F11" s="196"/>
      <c r="G11" s="196"/>
      <c r="H11" s="196"/>
      <c r="I11" s="196"/>
      <c r="J11" s="196"/>
      <c r="K11" s="196"/>
    </row>
    <row r="12" spans="1:11" x14ac:dyDescent="0.2">
      <c r="B12" s="196"/>
      <c r="C12" s="196"/>
      <c r="D12" s="196"/>
      <c r="E12" s="196"/>
      <c r="F12" s="196"/>
      <c r="G12" s="196"/>
      <c r="H12" s="196"/>
      <c r="I12" s="196"/>
      <c r="J12" s="196"/>
      <c r="K12" s="196"/>
    </row>
    <row r="13" spans="1:11" x14ac:dyDescent="0.2">
      <c r="B13" s="196"/>
      <c r="C13" s="196"/>
      <c r="D13" s="196"/>
      <c r="E13" s="196"/>
      <c r="F13" s="196"/>
      <c r="G13" s="196"/>
      <c r="H13" s="196"/>
      <c r="I13" s="196"/>
      <c r="J13" s="196"/>
      <c r="K13" s="196"/>
    </row>
    <row r="15" spans="1:11" x14ac:dyDescent="0.2">
      <c r="B15" s="196" t="s">
        <v>47</v>
      </c>
      <c r="C15" s="196"/>
      <c r="D15" s="196"/>
      <c r="E15" s="196"/>
      <c r="F15" s="196"/>
      <c r="G15" s="196"/>
      <c r="H15" s="196"/>
      <c r="I15" s="196"/>
      <c r="J15" s="196"/>
      <c r="K15" s="196"/>
    </row>
    <row r="16" spans="1:11" x14ac:dyDescent="0.2">
      <c r="B16" s="196"/>
      <c r="C16" s="196"/>
      <c r="D16" s="196"/>
      <c r="E16" s="196"/>
      <c r="F16" s="196"/>
      <c r="G16" s="196"/>
      <c r="H16" s="196"/>
      <c r="I16" s="196"/>
      <c r="J16" s="196"/>
      <c r="K16" s="196"/>
    </row>
    <row r="17" spans="2:11" x14ac:dyDescent="0.2">
      <c r="B17" s="196"/>
      <c r="C17" s="196"/>
      <c r="D17" s="196"/>
      <c r="E17" s="196"/>
      <c r="F17" s="196"/>
      <c r="G17" s="196"/>
      <c r="H17" s="196"/>
      <c r="I17" s="196"/>
      <c r="J17" s="196"/>
      <c r="K17" s="196"/>
    </row>
    <row r="18" spans="2:11" x14ac:dyDescent="0.2">
      <c r="B18" s="196"/>
      <c r="C18" s="196"/>
      <c r="D18" s="196"/>
      <c r="E18" s="196"/>
      <c r="F18" s="196"/>
      <c r="G18" s="196"/>
      <c r="H18" s="196"/>
      <c r="I18" s="196"/>
      <c r="J18" s="196"/>
      <c r="K18" s="196"/>
    </row>
    <row r="19" spans="2:11" x14ac:dyDescent="0.2">
      <c r="B19" s="196"/>
      <c r="C19" s="196"/>
      <c r="D19" s="196"/>
      <c r="E19" s="196"/>
      <c r="F19" s="196"/>
      <c r="G19" s="196"/>
      <c r="H19" s="196"/>
      <c r="I19" s="196"/>
      <c r="J19" s="196"/>
      <c r="K19" s="196"/>
    </row>
    <row r="20" spans="2:11" x14ac:dyDescent="0.2">
      <c r="G20" s="38"/>
      <c r="H20" s="38"/>
      <c r="I20" s="38"/>
      <c r="J20" s="38"/>
      <c r="K20" s="38"/>
    </row>
    <row r="21" spans="2:11" x14ac:dyDescent="0.2">
      <c r="B21" s="195" t="s">
        <v>48</v>
      </c>
      <c r="C21" s="195"/>
      <c r="D21" s="195"/>
      <c r="E21" s="195"/>
      <c r="F21" s="195"/>
      <c r="G21" s="195"/>
      <c r="H21" s="195"/>
      <c r="I21" s="195"/>
      <c r="J21" s="195"/>
      <c r="K21" s="195"/>
    </row>
    <row r="22" spans="2:11" x14ac:dyDescent="0.2">
      <c r="B22" s="195"/>
      <c r="C22" s="195"/>
      <c r="D22" s="195"/>
      <c r="E22" s="195"/>
      <c r="F22" s="195"/>
      <c r="G22" s="195"/>
      <c r="H22" s="195"/>
      <c r="I22" s="195"/>
      <c r="J22" s="195"/>
      <c r="K22" s="195"/>
    </row>
  </sheetData>
  <mergeCells count="4">
    <mergeCell ref="B6:K9"/>
    <mergeCell ref="B11:K13"/>
    <mergeCell ref="B15:K19"/>
    <mergeCell ref="B21:K22"/>
  </mergeCells>
  <pageMargins left="0.7" right="0.7" top="0.75" bottom="0.75" header="0.3" footer="0.3"/>
  <pageSetup scale="96" fitToHeight="0"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F9EA4-605F-4937-90E6-C6B4B4C4E9A0}">
  <sheetPr>
    <pageSetUpPr fitToPage="1"/>
  </sheetPr>
  <dimension ref="A1:I35"/>
  <sheetViews>
    <sheetView view="pageBreakPreview" zoomScale="85" zoomScaleNormal="100" zoomScaleSheetLayoutView="85" workbookViewId="0">
      <selection activeCell="B44" sqref="B44"/>
    </sheetView>
  </sheetViews>
  <sheetFormatPr defaultRowHeight="12.75" x14ac:dyDescent="0.2"/>
  <cols>
    <col min="1" max="1" width="31.7109375" style="163" customWidth="1"/>
    <col min="2" max="2" width="18.28515625" style="163" customWidth="1"/>
    <col min="3" max="3" width="2.7109375" style="163" customWidth="1"/>
    <col min="4" max="4" width="17.7109375" style="163" bestFit="1" customWidth="1"/>
    <col min="5" max="5" width="13.140625" style="163" customWidth="1"/>
    <col min="6" max="6" width="2.7109375" style="163" customWidth="1"/>
    <col min="7" max="7" width="17.7109375" style="163" bestFit="1" customWidth="1"/>
    <col min="8" max="8" width="13.85546875" style="163" customWidth="1"/>
    <col min="9" max="9" width="8.85546875" style="164" bestFit="1" customWidth="1"/>
    <col min="10" max="16384" width="9.140625" style="162"/>
  </cols>
  <sheetData>
    <row r="1" spans="1:9" x14ac:dyDescent="0.2">
      <c r="A1" s="37" t="str">
        <f>+'13.2.1'!A1</f>
        <v>PacifiCorp</v>
      </c>
      <c r="E1" s="39" t="s">
        <v>49</v>
      </c>
      <c r="H1" s="164" t="s">
        <v>1</v>
      </c>
      <c r="I1" s="164" t="s">
        <v>42</v>
      </c>
    </row>
    <row r="2" spans="1:9" x14ac:dyDescent="0.2">
      <c r="A2" s="37" t="s">
        <v>2</v>
      </c>
      <c r="B2" s="165"/>
      <c r="D2" s="40"/>
      <c r="E2" s="40"/>
      <c r="F2" s="166"/>
      <c r="G2" s="40"/>
      <c r="H2" s="40"/>
    </row>
    <row r="3" spans="1:9" x14ac:dyDescent="0.2">
      <c r="A3" s="37" t="s">
        <v>3</v>
      </c>
      <c r="E3" s="166"/>
      <c r="F3" s="166"/>
      <c r="H3" s="166"/>
    </row>
    <row r="4" spans="1:9" x14ac:dyDescent="0.2">
      <c r="A4" s="37"/>
      <c r="E4" s="166"/>
      <c r="F4" s="166"/>
      <c r="H4" s="166"/>
    </row>
    <row r="5" spans="1:9" ht="13.5" thickBot="1" x14ac:dyDescent="0.25">
      <c r="A5" s="37"/>
      <c r="E5" s="166"/>
      <c r="F5" s="166"/>
      <c r="H5" s="166"/>
    </row>
    <row r="6" spans="1:9" x14ac:dyDescent="0.2">
      <c r="B6" s="41" t="s">
        <v>50</v>
      </c>
      <c r="D6" s="42" t="s">
        <v>51</v>
      </c>
      <c r="E6" s="41"/>
      <c r="G6" s="42" t="s">
        <v>51</v>
      </c>
      <c r="H6" s="41"/>
    </row>
    <row r="7" spans="1:9" ht="25.5" x14ac:dyDescent="0.2">
      <c r="A7" s="43" t="s">
        <v>52</v>
      </c>
      <c r="B7" s="43" t="s">
        <v>53</v>
      </c>
      <c r="C7" s="43"/>
      <c r="D7" s="44" t="s">
        <v>54</v>
      </c>
      <c r="E7" s="43" t="s">
        <v>55</v>
      </c>
      <c r="F7" s="43"/>
      <c r="G7" s="44" t="s">
        <v>56</v>
      </c>
      <c r="H7" s="43" t="s">
        <v>55</v>
      </c>
      <c r="I7" s="43" t="s">
        <v>57</v>
      </c>
    </row>
    <row r="8" spans="1:9" x14ac:dyDescent="0.2">
      <c r="A8" s="163" t="s">
        <v>58</v>
      </c>
      <c r="B8" s="45">
        <v>430865222.13999999</v>
      </c>
      <c r="D8" s="46">
        <v>465794593.79437757</v>
      </c>
      <c r="E8" s="45">
        <v>28283657.876155734</v>
      </c>
      <c r="G8" s="46">
        <f>('13.2.4_REDACTED'!$O$67*($B8/$B$11))*1000</f>
        <v>477431957.07402492</v>
      </c>
      <c r="H8" s="45">
        <f>G8-D8</f>
        <v>11637363.27964735</v>
      </c>
    </row>
    <row r="9" spans="1:9" x14ac:dyDescent="0.2">
      <c r="A9" s="163" t="s">
        <v>59</v>
      </c>
      <c r="B9" s="45">
        <v>76879724.969999999</v>
      </c>
      <c r="D9" s="46">
        <v>83112208.698498547</v>
      </c>
      <c r="E9" s="45">
        <v>5046682.1802523881</v>
      </c>
      <c r="G9" s="46">
        <f>('13.2.4_REDACTED'!$O$67*($B9/$B$11))*1000</f>
        <v>85188675.403960705</v>
      </c>
      <c r="H9" s="45">
        <f>G9-D9</f>
        <v>2076466.7054621577</v>
      </c>
    </row>
    <row r="10" spans="1:9" x14ac:dyDescent="0.2">
      <c r="A10" s="163" t="s">
        <v>60</v>
      </c>
      <c r="B10" s="45">
        <v>13956954.479999999</v>
      </c>
      <c r="D10" s="46">
        <v>15088416.536217535</v>
      </c>
      <c r="E10" s="45">
        <v>916188.4162865486</v>
      </c>
      <c r="G10" s="46">
        <f>('13.2.4_REDACTED'!$O$67*($B10/$B$11))*1000</f>
        <v>15465383.952512011</v>
      </c>
      <c r="H10" s="45">
        <f>G10-D10</f>
        <v>376967.41629447602</v>
      </c>
    </row>
    <row r="11" spans="1:9" x14ac:dyDescent="0.2">
      <c r="A11" s="47" t="s">
        <v>61</v>
      </c>
      <c r="B11" s="48">
        <f>SUBTOTAL(9,B8:B10)</f>
        <v>521701901.59000003</v>
      </c>
      <c r="C11" s="49"/>
      <c r="D11" s="50">
        <f>SUBTOTAL(9,D8:D10)</f>
        <v>563995219.02909362</v>
      </c>
      <c r="E11" s="48">
        <f>SUBTOTAL(9,E8:E10)</f>
        <v>34246528.472694673</v>
      </c>
      <c r="F11" s="49"/>
      <c r="G11" s="50">
        <f>SUBTOTAL(9,G8:G10)</f>
        <v>578086016.43049765</v>
      </c>
      <c r="H11" s="48">
        <f>SUBTOTAL(9,H8:H10)</f>
        <v>14090797.401403984</v>
      </c>
      <c r="I11" s="164" t="s">
        <v>62</v>
      </c>
    </row>
    <row r="12" spans="1:9" x14ac:dyDescent="0.2">
      <c r="D12" s="167"/>
      <c r="G12" s="167"/>
    </row>
    <row r="13" spans="1:9" x14ac:dyDescent="0.2">
      <c r="A13" s="47" t="s">
        <v>63</v>
      </c>
      <c r="B13" s="48">
        <v>32713507.879999995</v>
      </c>
      <c r="C13" s="49"/>
      <c r="D13" s="50">
        <v>35365525.764348164</v>
      </c>
      <c r="E13" s="48">
        <f>D13-B13</f>
        <v>2652017.884348169</v>
      </c>
      <c r="F13" s="49"/>
      <c r="G13" s="50">
        <f>B13*(1+'13.2.3'!D15)</f>
        <v>36249094.350970991</v>
      </c>
      <c r="H13" s="48">
        <f>G13-D13</f>
        <v>883568.58662282676</v>
      </c>
    </row>
    <row r="14" spans="1:9" x14ac:dyDescent="0.2">
      <c r="D14" s="167"/>
      <c r="E14" s="51"/>
      <c r="G14" s="167"/>
      <c r="H14" s="51" t="s">
        <v>49</v>
      </c>
    </row>
    <row r="15" spans="1:9" x14ac:dyDescent="0.2">
      <c r="A15" s="163" t="s">
        <v>64</v>
      </c>
      <c r="B15" s="45">
        <v>38800778.980000004</v>
      </c>
      <c r="D15" s="46">
        <v>42009990.947920814</v>
      </c>
      <c r="E15" s="45">
        <v>2642483.8358754274</v>
      </c>
      <c r="G15" s="46">
        <f>D15+H15</f>
        <v>43087271.227664948</v>
      </c>
      <c r="H15" s="45">
        <v>1077280.2797441354</v>
      </c>
      <c r="I15" s="164" t="s">
        <v>65</v>
      </c>
    </row>
    <row r="16" spans="1:9" ht="25.5" x14ac:dyDescent="0.2">
      <c r="A16" s="163" t="s">
        <v>66</v>
      </c>
      <c r="B16" s="45">
        <v>3153346.21</v>
      </c>
      <c r="D16" s="46">
        <v>3153346.21</v>
      </c>
      <c r="E16" s="45">
        <v>0</v>
      </c>
      <c r="G16" s="46">
        <f>D16</f>
        <v>3153346.21</v>
      </c>
      <c r="H16" s="45">
        <f>G16-D16</f>
        <v>0</v>
      </c>
    </row>
    <row r="17" spans="1:9" x14ac:dyDescent="0.2">
      <c r="A17" s="47" t="s">
        <v>67</v>
      </c>
      <c r="B17" s="48">
        <f>SUBTOTAL(9,B15:B16)</f>
        <v>41954125.190000005</v>
      </c>
      <c r="C17" s="49"/>
      <c r="D17" s="50">
        <f>SUBTOTAL(9,D15:D16)</f>
        <v>45163337.157920815</v>
      </c>
      <c r="E17" s="48">
        <f>SUBTOTAL(9,E15:E16)</f>
        <v>2642483.8358754274</v>
      </c>
      <c r="F17" s="49"/>
      <c r="G17" s="50">
        <f>SUBTOTAL(9,G15:G16)</f>
        <v>46240617.437664948</v>
      </c>
      <c r="H17" s="48">
        <f>SUBTOTAL(9,H15:H16)</f>
        <v>1077280.2797441354</v>
      </c>
      <c r="I17" s="52"/>
    </row>
    <row r="18" spans="1:9" x14ac:dyDescent="0.2">
      <c r="D18" s="167"/>
      <c r="G18" s="167"/>
    </row>
    <row r="19" spans="1:9" x14ac:dyDescent="0.2">
      <c r="A19" s="163" t="s">
        <v>68</v>
      </c>
      <c r="B19" s="45">
        <v>0</v>
      </c>
      <c r="D19" s="168">
        <v>0</v>
      </c>
      <c r="E19" s="45">
        <v>0</v>
      </c>
      <c r="G19" s="46">
        <f>D19</f>
        <v>0</v>
      </c>
      <c r="H19" s="45">
        <f t="shared" ref="H19:H26" si="0">G19-D19</f>
        <v>0</v>
      </c>
    </row>
    <row r="20" spans="1:9" x14ac:dyDescent="0.2">
      <c r="A20" s="163" t="s">
        <v>69</v>
      </c>
      <c r="B20" s="45">
        <v>58024606.640000008</v>
      </c>
      <c r="D20" s="168">
        <v>58024606.640000008</v>
      </c>
      <c r="E20" s="45">
        <v>0</v>
      </c>
      <c r="G20" s="46">
        <f>D20</f>
        <v>58024606.640000008</v>
      </c>
      <c r="H20" s="45">
        <f t="shared" si="0"/>
        <v>0</v>
      </c>
    </row>
    <row r="21" spans="1:9" x14ac:dyDescent="0.2">
      <c r="A21" s="163" t="s">
        <v>70</v>
      </c>
      <c r="B21" s="45">
        <v>5707720.1600000001</v>
      </c>
      <c r="D21" s="168">
        <v>9202624.0969941374</v>
      </c>
      <c r="E21" s="45">
        <v>3494903.9369941372</v>
      </c>
      <c r="G21" s="46">
        <f>'13.2.5'!E10</f>
        <v>6286939.2865135558</v>
      </c>
      <c r="H21" s="45">
        <f t="shared" si="0"/>
        <v>-2915684.8104805816</v>
      </c>
      <c r="I21" s="164" t="s">
        <v>71</v>
      </c>
    </row>
    <row r="22" spans="1:9" x14ac:dyDescent="0.2">
      <c r="A22" s="163" t="s">
        <v>72</v>
      </c>
      <c r="B22" s="45">
        <v>836131.40000000014</v>
      </c>
      <c r="D22" s="168">
        <v>836131.4</v>
      </c>
      <c r="E22" s="45">
        <v>0</v>
      </c>
      <c r="G22" s="46">
        <f>'13.2.5'!E11</f>
        <v>836131.4</v>
      </c>
      <c r="H22" s="45">
        <f t="shared" si="0"/>
        <v>0</v>
      </c>
      <c r="I22" s="164" t="s">
        <v>71</v>
      </c>
    </row>
    <row r="23" spans="1:9" x14ac:dyDescent="0.2">
      <c r="A23" s="163" t="s">
        <v>73</v>
      </c>
      <c r="B23" s="45">
        <v>856324.24</v>
      </c>
      <c r="D23" s="168">
        <v>-35544.213289603606</v>
      </c>
      <c r="E23" s="45">
        <v>-891868.45328960358</v>
      </c>
      <c r="G23" s="46">
        <f>'13.2.5'!E12</f>
        <v>694127.76213420858</v>
      </c>
      <c r="H23" s="45">
        <f t="shared" si="0"/>
        <v>729671.97542381217</v>
      </c>
      <c r="I23" s="164" t="s">
        <v>71</v>
      </c>
    </row>
    <row r="24" spans="1:9" x14ac:dyDescent="0.2">
      <c r="A24" s="163" t="s">
        <v>74</v>
      </c>
      <c r="B24" s="45">
        <v>5454165.0199999996</v>
      </c>
      <c r="D24" s="168">
        <v>4699390.5257755518</v>
      </c>
      <c r="E24" s="45">
        <v>-754774.49422444776</v>
      </c>
      <c r="G24" s="46">
        <f>'13.2.5'!E13</f>
        <v>4699390.5257755518</v>
      </c>
      <c r="H24" s="45">
        <f t="shared" si="0"/>
        <v>0</v>
      </c>
      <c r="I24" s="164" t="s">
        <v>71</v>
      </c>
    </row>
    <row r="25" spans="1:9" x14ac:dyDescent="0.2">
      <c r="A25" s="163" t="s">
        <v>75</v>
      </c>
      <c r="B25" s="45">
        <v>40696820.050000004</v>
      </c>
      <c r="D25" s="168">
        <v>40696820.050000004</v>
      </c>
      <c r="E25" s="45">
        <v>0</v>
      </c>
      <c r="G25" s="46">
        <f>D25</f>
        <v>40696820.050000004</v>
      </c>
      <c r="H25" s="45">
        <f t="shared" si="0"/>
        <v>0</v>
      </c>
    </row>
    <row r="26" spans="1:9" x14ac:dyDescent="0.2">
      <c r="A26" s="163" t="s">
        <v>76</v>
      </c>
      <c r="B26" s="45">
        <v>25769675.300000001</v>
      </c>
      <c r="D26" s="168">
        <v>25769675.300000001</v>
      </c>
      <c r="E26" s="45">
        <v>0</v>
      </c>
      <c r="G26" s="46">
        <f>D26</f>
        <v>25769675.300000001</v>
      </c>
      <c r="H26" s="45">
        <f t="shared" si="0"/>
        <v>0</v>
      </c>
    </row>
    <row r="27" spans="1:9" x14ac:dyDescent="0.2">
      <c r="A27" s="47" t="s">
        <v>77</v>
      </c>
      <c r="B27" s="48">
        <f>SUBTOTAL(9,B21:B25)</f>
        <v>53551160.870000005</v>
      </c>
      <c r="C27" s="49"/>
      <c r="D27" s="50">
        <f>SUBTOTAL(9,D21:D25)</f>
        <v>55399421.85948009</v>
      </c>
      <c r="E27" s="48">
        <f>SUBTOTAL(9,E21:E25)</f>
        <v>1848260.9894800857</v>
      </c>
      <c r="F27" s="49"/>
      <c r="G27" s="50">
        <f>SUBTOTAL(9,G21:G25)</f>
        <v>53213409.024423316</v>
      </c>
      <c r="H27" s="48">
        <f>SUBTOTAL(9,H21:H25)</f>
        <v>-2186012.8350567697</v>
      </c>
      <c r="I27" s="52"/>
    </row>
    <row r="28" spans="1:9" x14ac:dyDescent="0.2">
      <c r="D28" s="167"/>
      <c r="G28" s="167"/>
    </row>
    <row r="29" spans="1:9" x14ac:dyDescent="0.2">
      <c r="A29" s="53" t="s">
        <v>78</v>
      </c>
      <c r="B29" s="48">
        <f>SUBTOTAL(9,B8:B28)</f>
        <v>733714977.46999991</v>
      </c>
      <c r="C29" s="49"/>
      <c r="D29" s="50">
        <f>SUBTOTAL(9,D8:D28)</f>
        <v>783717785.75084257</v>
      </c>
      <c r="E29" s="48">
        <f>SUBTOTAL(9,E8:E28)</f>
        <v>41389291.182398349</v>
      </c>
      <c r="F29" s="49"/>
      <c r="G29" s="50">
        <f>SUBTOTAL(9,G8:G28)</f>
        <v>797583419.1835568</v>
      </c>
      <c r="H29" s="48">
        <f>SUBTOTAL(9,H8:H28)</f>
        <v>13865633.432714177</v>
      </c>
      <c r="I29" s="164" t="s">
        <v>65</v>
      </c>
    </row>
    <row r="30" spans="1:9" x14ac:dyDescent="0.2">
      <c r="B30" s="45"/>
      <c r="D30" s="167"/>
      <c r="G30" s="167"/>
    </row>
    <row r="31" spans="1:9" x14ac:dyDescent="0.2">
      <c r="A31" s="169" t="s">
        <v>79</v>
      </c>
      <c r="B31" s="45">
        <v>260469860.6975711</v>
      </c>
      <c r="D31" s="46">
        <v>278220928.76532227</v>
      </c>
      <c r="E31" s="45">
        <v>14693257.245237738</v>
      </c>
      <c r="G31" s="46">
        <v>283143248.35753793</v>
      </c>
      <c r="H31" s="45">
        <f>G31-D31</f>
        <v>4922319.5922156572</v>
      </c>
      <c r="I31" s="164" t="s">
        <v>65</v>
      </c>
    </row>
    <row r="32" spans="1:9" x14ac:dyDescent="0.2">
      <c r="B32" s="45"/>
      <c r="D32" s="167"/>
      <c r="G32" s="167"/>
    </row>
    <row r="33" spans="1:9" ht="13.5" thickBot="1" x14ac:dyDescent="0.25">
      <c r="A33" s="53" t="s">
        <v>80</v>
      </c>
      <c r="B33" s="48">
        <f>B29-B31</f>
        <v>473245116.77242881</v>
      </c>
      <c r="C33" s="49"/>
      <c r="D33" s="54">
        <f>D29-D31</f>
        <v>505496856.9855203</v>
      </c>
      <c r="E33" s="48">
        <f>E29-E31</f>
        <v>26696033.937160611</v>
      </c>
      <c r="F33" s="49"/>
      <c r="G33" s="54">
        <f>G29-G31</f>
        <v>514440170.82601887</v>
      </c>
      <c r="H33" s="48">
        <f>H29-H31</f>
        <v>8943313.8404985201</v>
      </c>
      <c r="I33" s="164" t="s">
        <v>65</v>
      </c>
    </row>
    <row r="34" spans="1:9" x14ac:dyDescent="0.2">
      <c r="B34" s="55" t="s">
        <v>81</v>
      </c>
      <c r="E34" s="56" t="s">
        <v>82</v>
      </c>
      <c r="H34" s="56" t="s">
        <v>83</v>
      </c>
      <c r="I34" s="57"/>
    </row>
    <row r="35" spans="1:9" x14ac:dyDescent="0.2">
      <c r="B35" s="56" t="s">
        <v>275</v>
      </c>
      <c r="E35" s="56" t="s">
        <v>275</v>
      </c>
    </row>
  </sheetData>
  <pageMargins left="0.7" right="0.7" top="0.75" bottom="0.75" header="0.3" footer="0.3"/>
  <pageSetup scale="72" fitToHeight="0" orientation="portrait" r:id="rId1"/>
  <customProperties>
    <customPr name="_pios_id" r:id="rId2"/>
  </customProperties>
  <ignoredErrors>
    <ignoredError sqref="B27:E27"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05B1B-6BA4-4100-BFE4-6E3DE797A086}">
  <sheetPr>
    <pageSetUpPr fitToPage="1"/>
  </sheetPr>
  <dimension ref="A1:E15"/>
  <sheetViews>
    <sheetView view="pageBreakPreview" zoomScaleNormal="100" zoomScaleSheetLayoutView="100" workbookViewId="0"/>
  </sheetViews>
  <sheetFormatPr defaultRowHeight="12.75" x14ac:dyDescent="0.2"/>
  <cols>
    <col min="1" max="1" width="3" style="170" customWidth="1"/>
    <col min="2" max="2" width="44.140625" style="170" customWidth="1"/>
    <col min="3" max="3" width="21.5703125" style="170" bestFit="1" customWidth="1"/>
    <col min="4" max="4" width="13.28515625" style="58" bestFit="1" customWidth="1"/>
    <col min="5" max="5" width="10.28515625" style="170" customWidth="1"/>
    <col min="6" max="16384" width="9.140625" style="162"/>
  </cols>
  <sheetData>
    <row r="1" spans="2:5" x14ac:dyDescent="0.2">
      <c r="B1" s="37" t="s">
        <v>0</v>
      </c>
      <c r="D1" s="172" t="s">
        <v>1</v>
      </c>
      <c r="E1" s="171" t="s">
        <v>270</v>
      </c>
    </row>
    <row r="2" spans="2:5" x14ac:dyDescent="0.2">
      <c r="B2" s="37" t="s">
        <v>2</v>
      </c>
    </row>
    <row r="3" spans="2:5" x14ac:dyDescent="0.2">
      <c r="B3" s="37" t="s">
        <v>3</v>
      </c>
    </row>
    <row r="4" spans="2:5" x14ac:dyDescent="0.2">
      <c r="B4" s="37"/>
    </row>
    <row r="6" spans="2:5" x14ac:dyDescent="0.2">
      <c r="B6" s="59" t="s">
        <v>84</v>
      </c>
      <c r="C6" s="60"/>
      <c r="D6" s="60"/>
    </row>
    <row r="7" spans="2:5" x14ac:dyDescent="0.2">
      <c r="B7" s="60"/>
      <c r="C7" s="60"/>
      <c r="D7" s="61"/>
    </row>
    <row r="8" spans="2:5" x14ac:dyDescent="0.2">
      <c r="B8" s="60" t="s">
        <v>85</v>
      </c>
      <c r="C8" s="60"/>
      <c r="D8" s="62">
        <f>+'13.2.2'!B11</f>
        <v>521701901.59000003</v>
      </c>
      <c r="E8" s="63" t="s">
        <v>86</v>
      </c>
    </row>
    <row r="9" spans="2:5" x14ac:dyDescent="0.2">
      <c r="B9" s="60"/>
      <c r="C9" s="60"/>
      <c r="D9" s="23"/>
      <c r="E9" s="63"/>
    </row>
    <row r="10" spans="2:5" x14ac:dyDescent="0.2">
      <c r="B10" s="60" t="s">
        <v>87</v>
      </c>
      <c r="C10" s="60"/>
      <c r="D10" s="62">
        <f>+'13.2.2'!D11</f>
        <v>563995219.02909362</v>
      </c>
      <c r="E10" s="63" t="s">
        <v>86</v>
      </c>
    </row>
    <row r="11" spans="2:5" x14ac:dyDescent="0.2">
      <c r="B11" s="60"/>
      <c r="C11" s="60" t="s">
        <v>88</v>
      </c>
      <c r="D11" s="64">
        <f>D10/D8-1</f>
        <v>8.1067976386889784E-2</v>
      </c>
      <c r="E11" s="63"/>
    </row>
    <row r="12" spans="2:5" x14ac:dyDescent="0.2">
      <c r="B12" s="60"/>
      <c r="C12" s="60"/>
      <c r="D12" s="23"/>
      <c r="E12" s="63"/>
    </row>
    <row r="13" spans="2:5" x14ac:dyDescent="0.2">
      <c r="B13" s="60" t="s">
        <v>89</v>
      </c>
      <c r="C13" s="60"/>
      <c r="D13" s="62">
        <f>+'13.2.2'!G11</f>
        <v>578086016.43049765</v>
      </c>
      <c r="E13" s="63" t="s">
        <v>86</v>
      </c>
    </row>
    <row r="14" spans="2:5" x14ac:dyDescent="0.2">
      <c r="B14" s="60"/>
      <c r="C14" s="60" t="s">
        <v>88</v>
      </c>
      <c r="D14" s="64">
        <f>D13/D10-1</f>
        <v>2.4983895121772459E-2</v>
      </c>
    </row>
    <row r="15" spans="2:5" x14ac:dyDescent="0.2">
      <c r="B15" s="60"/>
      <c r="C15" s="65" t="s">
        <v>90</v>
      </c>
      <c r="D15" s="64">
        <f>D13/D8-1</f>
        <v>0.10807726532844675</v>
      </c>
    </row>
  </sheetData>
  <pageMargins left="0.7" right="0.7" top="0.75" bottom="0.75" header="0.3" footer="0.3"/>
  <pageSetup fitToHeight="0" orientation="portrait"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F3B39-DBE5-4C54-BA78-803D609F0301}">
  <sheetPr>
    <pageSetUpPr fitToPage="1"/>
  </sheetPr>
  <dimension ref="A1:P71"/>
  <sheetViews>
    <sheetView view="pageBreakPreview" topLeftCell="A19" zoomScale="80" zoomScaleNormal="100" zoomScaleSheetLayoutView="80" workbookViewId="0">
      <selection activeCell="M26" sqref="M26"/>
    </sheetView>
  </sheetViews>
  <sheetFormatPr defaultRowHeight="12.75" x14ac:dyDescent="0.2"/>
  <cols>
    <col min="1" max="1" width="8.85546875" style="67" customWidth="1"/>
    <col min="2" max="2" width="28.85546875" style="67" customWidth="1"/>
    <col min="3" max="3" width="13.7109375" style="68" customWidth="1"/>
    <col min="4" max="15" width="13.7109375" style="67" customWidth="1"/>
    <col min="16" max="16" width="10.28515625" style="68" bestFit="1" customWidth="1"/>
    <col min="17" max="16384" width="9.140625" style="162"/>
  </cols>
  <sheetData>
    <row r="1" spans="1:15" x14ac:dyDescent="0.2">
      <c r="A1" s="37" t="s">
        <v>0</v>
      </c>
    </row>
    <row r="2" spans="1:15" x14ac:dyDescent="0.2">
      <c r="A2" s="37" t="s">
        <v>2</v>
      </c>
    </row>
    <row r="3" spans="1:15" x14ac:dyDescent="0.2">
      <c r="A3" s="37" t="s">
        <v>3</v>
      </c>
    </row>
    <row r="4" spans="1:15" x14ac:dyDescent="0.2">
      <c r="A4" s="37" t="s">
        <v>271</v>
      </c>
    </row>
    <row r="5" spans="1:15" x14ac:dyDescent="0.2">
      <c r="A5" s="66" t="s">
        <v>269</v>
      </c>
    </row>
    <row r="6" spans="1:15" x14ac:dyDescent="0.2">
      <c r="A6" s="66"/>
      <c r="C6" s="67"/>
    </row>
    <row r="7" spans="1:15" x14ac:dyDescent="0.2">
      <c r="A7" s="66" t="s">
        <v>91</v>
      </c>
      <c r="C7" s="67"/>
    </row>
    <row r="8" spans="1:15" ht="25.5" x14ac:dyDescent="0.2">
      <c r="A8" s="69" t="s">
        <v>92</v>
      </c>
      <c r="B8" s="70" t="s">
        <v>93</v>
      </c>
      <c r="C8" s="71" t="s">
        <v>94</v>
      </c>
      <c r="D8" s="71" t="s">
        <v>95</v>
      </c>
      <c r="E8" s="71" t="s">
        <v>96</v>
      </c>
      <c r="F8" s="71" t="s">
        <v>97</v>
      </c>
      <c r="G8" s="71" t="s">
        <v>98</v>
      </c>
      <c r="H8" s="71" t="s">
        <v>99</v>
      </c>
      <c r="I8" s="71" t="s">
        <v>100</v>
      </c>
      <c r="J8" s="71" t="s">
        <v>101</v>
      </c>
      <c r="K8" s="71" t="s">
        <v>102</v>
      </c>
      <c r="L8" s="71" t="s">
        <v>103</v>
      </c>
      <c r="M8" s="71" t="s">
        <v>104</v>
      </c>
      <c r="N8" s="71" t="s">
        <v>105</v>
      </c>
      <c r="O8" s="72" t="s">
        <v>106</v>
      </c>
    </row>
    <row r="9" spans="1:15" x14ac:dyDescent="0.2">
      <c r="A9" s="73">
        <v>2</v>
      </c>
      <c r="B9" s="74" t="s">
        <v>107</v>
      </c>
      <c r="C9" s="75">
        <v>18519.227608635083</v>
      </c>
      <c r="D9" s="75">
        <v>16694.36548577376</v>
      </c>
      <c r="E9" s="75">
        <v>17928.557863349542</v>
      </c>
      <c r="F9" s="75">
        <v>16697.210263900604</v>
      </c>
      <c r="G9" s="75">
        <v>16861.407077783857</v>
      </c>
      <c r="H9" s="75">
        <v>18917.49400809472</v>
      </c>
      <c r="I9" s="75">
        <v>16189.662820000001</v>
      </c>
      <c r="J9" s="75">
        <v>15086.437650800002</v>
      </c>
      <c r="K9" s="75">
        <v>19761.773097400001</v>
      </c>
      <c r="L9" s="75">
        <v>16894.5638507</v>
      </c>
      <c r="M9" s="75">
        <v>17138.191112799999</v>
      </c>
      <c r="N9" s="75">
        <v>18307.84524972325</v>
      </c>
      <c r="O9" s="75">
        <v>208996.73608896084</v>
      </c>
    </row>
    <row r="10" spans="1:15" x14ac:dyDescent="0.2">
      <c r="A10" s="73">
        <v>3</v>
      </c>
      <c r="B10" s="74" t="s">
        <v>108</v>
      </c>
      <c r="C10" s="75">
        <v>3817.7909525879409</v>
      </c>
      <c r="D10" s="75">
        <v>3945.3668175600005</v>
      </c>
      <c r="E10" s="75">
        <v>3929.1471717415275</v>
      </c>
      <c r="F10" s="75">
        <v>3650.5422740032609</v>
      </c>
      <c r="G10" s="75">
        <v>3780.5332290597698</v>
      </c>
      <c r="H10" s="75">
        <v>4007.4534435670471</v>
      </c>
      <c r="I10" s="75">
        <v>4005.6072801524997</v>
      </c>
      <c r="J10" s="75">
        <v>3314.3396697000003</v>
      </c>
      <c r="K10" s="75">
        <v>4239.9426026000001</v>
      </c>
      <c r="L10" s="75">
        <v>4428.0603939999992</v>
      </c>
      <c r="M10" s="75">
        <v>3940.0142089000001</v>
      </c>
      <c r="N10" s="75">
        <v>4094.6735677704282</v>
      </c>
      <c r="O10" s="75">
        <v>47153.471611642475</v>
      </c>
    </row>
    <row r="11" spans="1:15" x14ac:dyDescent="0.2">
      <c r="A11" s="73">
        <v>4</v>
      </c>
      <c r="B11" s="74" t="s">
        <v>109</v>
      </c>
      <c r="C11" s="75">
        <v>4407.4126336426843</v>
      </c>
      <c r="D11" s="75">
        <v>4243.1067006000003</v>
      </c>
      <c r="E11" s="75">
        <v>4136.68288571837</v>
      </c>
      <c r="F11" s="75">
        <v>3844.9289435563928</v>
      </c>
      <c r="G11" s="75">
        <v>4022.7769013115862</v>
      </c>
      <c r="H11" s="75">
        <v>4418.3615691068444</v>
      </c>
      <c r="I11" s="75">
        <v>4827.5493205140001</v>
      </c>
      <c r="J11" s="75">
        <v>3622.8485615039995</v>
      </c>
      <c r="K11" s="75">
        <v>4404.9984278939992</v>
      </c>
      <c r="L11" s="75">
        <v>3900.7568358540002</v>
      </c>
      <c r="M11" s="75">
        <v>4026.3954916499997</v>
      </c>
      <c r="N11" s="75">
        <v>4326.974234032934</v>
      </c>
      <c r="O11" s="75">
        <v>50182.792505384816</v>
      </c>
    </row>
    <row r="12" spans="1:15" x14ac:dyDescent="0.2">
      <c r="A12" s="73">
        <v>5</v>
      </c>
      <c r="B12" s="74" t="s">
        <v>110</v>
      </c>
      <c r="C12" s="75">
        <v>174.42151122411684</v>
      </c>
      <c r="D12" s="75">
        <v>190.58603999999997</v>
      </c>
      <c r="E12" s="75">
        <v>228.45593691715413</v>
      </c>
      <c r="F12" s="75">
        <v>189.04875682673389</v>
      </c>
      <c r="G12" s="75">
        <v>186.74967208385672</v>
      </c>
      <c r="H12" s="75">
        <v>236.08612705322042</v>
      </c>
      <c r="I12" s="75">
        <v>297.74899121750002</v>
      </c>
      <c r="J12" s="75">
        <v>166.45145529250004</v>
      </c>
      <c r="K12" s="75">
        <v>244.90860716249998</v>
      </c>
      <c r="L12" s="75">
        <v>182.58404457999998</v>
      </c>
      <c r="M12" s="75">
        <v>187.02659496749996</v>
      </c>
      <c r="N12" s="75">
        <v>223.24251405073619</v>
      </c>
      <c r="O12" s="75">
        <v>2507.3102513758181</v>
      </c>
    </row>
    <row r="13" spans="1:15" x14ac:dyDescent="0.2">
      <c r="A13" s="73">
        <v>8</v>
      </c>
      <c r="B13" s="74" t="s">
        <v>111</v>
      </c>
      <c r="C13" s="75">
        <v>4385.3718657249929</v>
      </c>
      <c r="D13" s="75">
        <v>4099.1607000000004</v>
      </c>
      <c r="E13" s="75">
        <v>4083.2829329030042</v>
      </c>
      <c r="F13" s="75">
        <v>3895.7970482618821</v>
      </c>
      <c r="G13" s="75">
        <v>4038.1472609585708</v>
      </c>
      <c r="H13" s="75">
        <v>4468.0938438759304</v>
      </c>
      <c r="I13" s="75">
        <v>3787.67652</v>
      </c>
      <c r="J13" s="75">
        <v>3516.8135400000001</v>
      </c>
      <c r="K13" s="75">
        <v>4182.3205699999999</v>
      </c>
      <c r="L13" s="75">
        <v>4624.0487951000005</v>
      </c>
      <c r="M13" s="75">
        <v>4520.6445301000003</v>
      </c>
      <c r="N13" s="75">
        <v>4639.4834227599486</v>
      </c>
      <c r="O13" s="75">
        <v>50240.841029684336</v>
      </c>
    </row>
    <row r="14" spans="1:15" x14ac:dyDescent="0.2">
      <c r="A14" s="73">
        <v>9</v>
      </c>
      <c r="B14" s="74" t="s">
        <v>112</v>
      </c>
      <c r="C14" s="156"/>
      <c r="D14" s="156"/>
      <c r="E14" s="156"/>
      <c r="F14" s="156"/>
      <c r="G14" s="156"/>
      <c r="H14" s="156"/>
      <c r="I14" s="156"/>
      <c r="J14" s="156"/>
      <c r="K14" s="156"/>
      <c r="L14" s="156"/>
      <c r="M14" s="156"/>
      <c r="N14" s="156"/>
      <c r="O14" s="156"/>
    </row>
    <row r="15" spans="1:15" x14ac:dyDescent="0.2">
      <c r="A15" s="73">
        <v>11</v>
      </c>
      <c r="B15" s="74" t="s">
        <v>113</v>
      </c>
      <c r="C15" s="75">
        <v>11238.41378529075</v>
      </c>
      <c r="D15" s="75">
        <v>11707.110443612501</v>
      </c>
      <c r="E15" s="75">
        <v>10833.639107687786</v>
      </c>
      <c r="F15" s="75">
        <v>10477.492719492135</v>
      </c>
      <c r="G15" s="75">
        <v>10967.432851382586</v>
      </c>
      <c r="H15" s="75">
        <v>11612.637565813995</v>
      </c>
      <c r="I15" s="75">
        <v>9976.1078215137477</v>
      </c>
      <c r="J15" s="75">
        <v>9927.5148479500003</v>
      </c>
      <c r="K15" s="75">
        <v>11628.744308649999</v>
      </c>
      <c r="L15" s="75">
        <v>10663.591140999999</v>
      </c>
      <c r="M15" s="75">
        <v>10871.8923271</v>
      </c>
      <c r="N15" s="75">
        <v>11957.920266995467</v>
      </c>
      <c r="O15" s="75">
        <v>131862.49718648897</v>
      </c>
    </row>
    <row r="16" spans="1:15" x14ac:dyDescent="0.2">
      <c r="A16" s="73">
        <v>12</v>
      </c>
      <c r="B16" s="74" t="s">
        <v>114</v>
      </c>
      <c r="C16" s="75">
        <v>3696.2033249204455</v>
      </c>
      <c r="D16" s="75">
        <v>3999.5391189074999</v>
      </c>
      <c r="E16" s="75">
        <v>3820.2569596058838</v>
      </c>
      <c r="F16" s="75">
        <v>3398.7141542824024</v>
      </c>
      <c r="G16" s="75">
        <v>3851.6798783486761</v>
      </c>
      <c r="H16" s="75">
        <v>4281.927168479564</v>
      </c>
      <c r="I16" s="75">
        <v>3640.6909240099994</v>
      </c>
      <c r="J16" s="75">
        <v>3483.0450721500001</v>
      </c>
      <c r="K16" s="75">
        <v>4329.5034170500003</v>
      </c>
      <c r="L16" s="75">
        <v>3955.5315303000002</v>
      </c>
      <c r="M16" s="75">
        <v>3787.7476619499998</v>
      </c>
      <c r="N16" s="75">
        <v>3843.3133874296027</v>
      </c>
      <c r="O16" s="75">
        <v>46088.152597434077</v>
      </c>
    </row>
    <row r="17" spans="1:16" x14ac:dyDescent="0.2">
      <c r="A17" s="73">
        <v>13</v>
      </c>
      <c r="B17" s="74" t="s">
        <v>115</v>
      </c>
      <c r="C17" s="75">
        <v>512.79333677259672</v>
      </c>
      <c r="D17" s="75">
        <v>543.03745466838996</v>
      </c>
      <c r="E17" s="75">
        <v>538.88606712077831</v>
      </c>
      <c r="F17" s="75">
        <v>499.06939382393574</v>
      </c>
      <c r="G17" s="75">
        <v>496.95027365027551</v>
      </c>
      <c r="H17" s="75">
        <v>509.90851644815405</v>
      </c>
      <c r="I17" s="75">
        <v>448.08844750000003</v>
      </c>
      <c r="J17" s="75">
        <v>440.54197290000002</v>
      </c>
      <c r="K17" s="75">
        <v>456.39906260000004</v>
      </c>
      <c r="L17" s="75">
        <v>444.1208982</v>
      </c>
      <c r="M17" s="75">
        <v>479.93877370000001</v>
      </c>
      <c r="N17" s="75">
        <v>480.61217747717222</v>
      </c>
      <c r="O17" s="75">
        <v>5850.3463748613012</v>
      </c>
    </row>
    <row r="18" spans="1:16" x14ac:dyDescent="0.2">
      <c r="A18" s="73">
        <v>15</v>
      </c>
      <c r="B18" s="74" t="s">
        <v>116</v>
      </c>
      <c r="C18" s="75">
        <v>368.071080732273</v>
      </c>
      <c r="D18" s="75">
        <v>415.03541899749996</v>
      </c>
      <c r="E18" s="75">
        <v>443.3108243302828</v>
      </c>
      <c r="F18" s="75">
        <v>426.90602263852736</v>
      </c>
      <c r="G18" s="75">
        <v>382.48915150442713</v>
      </c>
      <c r="H18" s="75">
        <v>406.07979019931378</v>
      </c>
      <c r="I18" s="75">
        <v>382.50173685499999</v>
      </c>
      <c r="J18" s="75">
        <v>341.47135189999995</v>
      </c>
      <c r="K18" s="75">
        <v>387.56224954999999</v>
      </c>
      <c r="L18" s="75">
        <v>409.56553959999997</v>
      </c>
      <c r="M18" s="75">
        <v>398.13463059999992</v>
      </c>
      <c r="N18" s="75">
        <v>395.30550572545667</v>
      </c>
      <c r="O18" s="75">
        <v>4756.4333026327804</v>
      </c>
    </row>
    <row r="19" spans="1:16" x14ac:dyDescent="0.2">
      <c r="A19" s="76">
        <v>16</v>
      </c>
      <c r="B19" s="77" t="s">
        <v>117</v>
      </c>
      <c r="C19" s="156"/>
      <c r="D19" s="156"/>
      <c r="E19" s="156"/>
      <c r="F19" s="156"/>
      <c r="G19" s="156"/>
      <c r="H19" s="156"/>
      <c r="I19" s="156"/>
      <c r="J19" s="156"/>
      <c r="K19" s="156"/>
      <c r="L19" s="156"/>
      <c r="M19" s="156"/>
      <c r="N19" s="156"/>
      <c r="O19" s="156"/>
    </row>
    <row r="20" spans="1:16" x14ac:dyDescent="0.2">
      <c r="A20" s="73">
        <v>18</v>
      </c>
      <c r="B20" s="74" t="s">
        <v>118</v>
      </c>
      <c r="C20" s="75">
        <v>1224.6134975423688</v>
      </c>
      <c r="D20" s="75">
        <v>1144.8259693535997</v>
      </c>
      <c r="E20" s="75">
        <v>1211.1067505840128</v>
      </c>
      <c r="F20" s="75">
        <v>1115.6138128474406</v>
      </c>
      <c r="G20" s="75">
        <v>1131.9135190160885</v>
      </c>
      <c r="H20" s="75">
        <v>1290.272791519199</v>
      </c>
      <c r="I20" s="75">
        <v>1125.4670880000001</v>
      </c>
      <c r="J20" s="75">
        <v>1030.2028694000001</v>
      </c>
      <c r="K20" s="75">
        <v>1040.7802474000002</v>
      </c>
      <c r="L20" s="75">
        <v>1095.0531726000002</v>
      </c>
      <c r="M20" s="75">
        <v>1110.6397663</v>
      </c>
      <c r="N20" s="75">
        <v>1236.5441905636255</v>
      </c>
      <c r="O20" s="75">
        <v>13757.033675126337</v>
      </c>
    </row>
    <row r="21" spans="1:16" x14ac:dyDescent="0.2">
      <c r="A21" s="78" t="s">
        <v>119</v>
      </c>
      <c r="B21" s="79"/>
      <c r="C21" s="80">
        <v>48539.375773889333</v>
      </c>
      <c r="D21" s="80">
        <v>47191.350738808243</v>
      </c>
      <c r="E21" s="80">
        <v>47355.502921043742</v>
      </c>
      <c r="F21" s="80">
        <v>44395.041550561677</v>
      </c>
      <c r="G21" s="80">
        <v>45935.409523443675</v>
      </c>
      <c r="H21" s="80">
        <v>50361.897798929356</v>
      </c>
      <c r="I21" s="80">
        <v>44884.939396931499</v>
      </c>
      <c r="J21" s="80">
        <v>41113.962364596504</v>
      </c>
      <c r="K21" s="80">
        <v>50880.717746206494</v>
      </c>
      <c r="L21" s="80">
        <v>46806.471153134</v>
      </c>
      <c r="M21" s="80">
        <v>46737.764563167504</v>
      </c>
      <c r="N21" s="80">
        <v>49792.785498381665</v>
      </c>
      <c r="O21" s="80">
        <v>563995.21902909374</v>
      </c>
      <c r="P21" s="81" t="s">
        <v>120</v>
      </c>
    </row>
    <row r="22" spans="1:16" x14ac:dyDescent="0.2">
      <c r="C22" s="67"/>
      <c r="O22" s="82"/>
      <c r="P22" s="198" t="s">
        <v>275</v>
      </c>
    </row>
    <row r="23" spans="1:16" x14ac:dyDescent="0.2">
      <c r="C23" s="67"/>
      <c r="O23" s="82" t="s">
        <v>49</v>
      </c>
    </row>
    <row r="24" spans="1:16" x14ac:dyDescent="0.2">
      <c r="A24" s="66" t="s">
        <v>121</v>
      </c>
      <c r="C24" s="67"/>
      <c r="O24" s="83" t="s">
        <v>49</v>
      </c>
    </row>
    <row r="25" spans="1:16" x14ac:dyDescent="0.2">
      <c r="A25" s="66" t="s">
        <v>122</v>
      </c>
      <c r="C25" s="67"/>
      <c r="O25" s="83"/>
    </row>
    <row r="26" spans="1:16" ht="25.5" x14ac:dyDescent="0.2">
      <c r="A26" s="69" t="s">
        <v>92</v>
      </c>
      <c r="B26" s="70" t="s">
        <v>93</v>
      </c>
      <c r="C26" s="71" t="s">
        <v>94</v>
      </c>
      <c r="D26" s="71" t="s">
        <v>95</v>
      </c>
      <c r="E26" s="71" t="s">
        <v>96</v>
      </c>
      <c r="F26" s="71" t="s">
        <v>97</v>
      </c>
      <c r="G26" s="71" t="s">
        <v>98</v>
      </c>
      <c r="H26" s="71" t="s">
        <v>99</v>
      </c>
      <c r="I26" s="71" t="s">
        <v>100</v>
      </c>
      <c r="J26" s="71" t="s">
        <v>101</v>
      </c>
      <c r="K26" s="71" t="s">
        <v>102</v>
      </c>
      <c r="L26" s="71" t="s">
        <v>103</v>
      </c>
      <c r="M26" s="71" t="s">
        <v>104</v>
      </c>
      <c r="N26" s="71" t="s">
        <v>105</v>
      </c>
      <c r="O26" s="84"/>
    </row>
    <row r="27" spans="1:16" x14ac:dyDescent="0.2">
      <c r="A27" s="73">
        <v>2</v>
      </c>
      <c r="B27" s="85" t="s">
        <v>107</v>
      </c>
      <c r="C27" s="86"/>
      <c r="D27" s="86"/>
      <c r="E27" s="86"/>
      <c r="F27" s="86"/>
      <c r="G27" s="86"/>
      <c r="H27" s="86"/>
      <c r="I27" s="86"/>
      <c r="J27" s="86"/>
      <c r="K27" s="86"/>
      <c r="L27" s="86"/>
      <c r="M27" s="86"/>
      <c r="N27" s="86"/>
    </row>
    <row r="28" spans="1:16" x14ac:dyDescent="0.2">
      <c r="A28" s="73"/>
      <c r="B28" s="87">
        <v>45652</v>
      </c>
      <c r="C28" s="86">
        <v>3.5000000000000003E-2</v>
      </c>
      <c r="D28" s="86"/>
      <c r="E28" s="86"/>
      <c r="F28" s="86"/>
      <c r="G28" s="86"/>
      <c r="H28" s="86"/>
      <c r="I28" s="86"/>
      <c r="J28" s="86"/>
      <c r="K28" s="86"/>
      <c r="L28" s="86"/>
      <c r="M28" s="86"/>
      <c r="N28" s="86"/>
      <c r="O28" s="88" t="s">
        <v>123</v>
      </c>
    </row>
    <row r="29" spans="1:16" x14ac:dyDescent="0.2">
      <c r="A29" s="73">
        <v>3</v>
      </c>
      <c r="B29" s="85" t="s">
        <v>108</v>
      </c>
      <c r="C29" s="86"/>
      <c r="D29" s="86"/>
      <c r="E29" s="86"/>
      <c r="F29" s="86"/>
      <c r="G29" s="86"/>
      <c r="H29" s="86"/>
      <c r="I29" s="86"/>
      <c r="J29" s="86"/>
      <c r="K29" s="86"/>
      <c r="L29" s="86"/>
      <c r="M29" s="86"/>
      <c r="N29" s="86"/>
      <c r="O29" s="88"/>
    </row>
    <row r="30" spans="1:16" x14ac:dyDescent="0.2">
      <c r="A30" s="73"/>
      <c r="B30" s="87">
        <v>45683</v>
      </c>
      <c r="C30" s="86"/>
      <c r="D30" s="86">
        <v>2.5000000000000001E-2</v>
      </c>
      <c r="E30" s="86"/>
      <c r="F30" s="86"/>
      <c r="G30" s="86"/>
      <c r="H30" s="86"/>
      <c r="I30" s="86"/>
      <c r="J30" s="86"/>
      <c r="K30" s="86"/>
      <c r="L30" s="86"/>
      <c r="M30" s="86"/>
      <c r="N30" s="86"/>
      <c r="O30" s="88" t="s">
        <v>123</v>
      </c>
    </row>
    <row r="31" spans="1:16" x14ac:dyDescent="0.2">
      <c r="A31" s="73">
        <v>4</v>
      </c>
      <c r="B31" s="85" t="s">
        <v>109</v>
      </c>
      <c r="C31" s="86"/>
      <c r="D31" s="86"/>
      <c r="E31" s="86"/>
      <c r="F31" s="86"/>
      <c r="G31" s="86"/>
      <c r="H31" s="86"/>
      <c r="I31" s="86"/>
      <c r="J31" s="86"/>
      <c r="K31" s="86"/>
      <c r="L31" s="86"/>
      <c r="M31" s="86"/>
      <c r="N31" s="86"/>
      <c r="O31" s="88"/>
      <c r="P31" s="89"/>
    </row>
    <row r="32" spans="1:16" x14ac:dyDescent="0.2">
      <c r="A32" s="73"/>
      <c r="B32" s="87"/>
      <c r="C32" s="86"/>
      <c r="D32" s="86"/>
      <c r="E32" s="86"/>
      <c r="F32" s="86"/>
      <c r="G32" s="86"/>
      <c r="H32" s="86"/>
      <c r="I32" s="86"/>
      <c r="J32" s="86"/>
      <c r="K32" s="86"/>
      <c r="L32" s="86"/>
      <c r="M32" s="86"/>
      <c r="N32" s="86"/>
      <c r="O32" s="88"/>
      <c r="P32" s="89"/>
    </row>
    <row r="33" spans="1:16" x14ac:dyDescent="0.2">
      <c r="A33" s="73">
        <v>5</v>
      </c>
      <c r="B33" s="85" t="s">
        <v>110</v>
      </c>
      <c r="C33" s="86"/>
      <c r="D33" s="86"/>
      <c r="E33" s="86"/>
      <c r="F33" s="86"/>
      <c r="G33" s="86"/>
      <c r="H33" s="86"/>
      <c r="I33" s="86"/>
      <c r="J33" s="86"/>
      <c r="K33" s="86"/>
      <c r="L33" s="86"/>
      <c r="M33" s="86"/>
      <c r="N33" s="86"/>
      <c r="O33" s="88"/>
    </row>
    <row r="34" spans="1:16" x14ac:dyDescent="0.2">
      <c r="A34" s="73"/>
      <c r="B34" s="87">
        <v>45803</v>
      </c>
      <c r="C34" s="86"/>
      <c r="D34" s="86"/>
      <c r="E34" s="86"/>
      <c r="F34" s="86"/>
      <c r="G34" s="86"/>
      <c r="H34" s="86">
        <v>2.5000000000000001E-2</v>
      </c>
      <c r="I34" s="86"/>
      <c r="J34" s="86"/>
      <c r="K34" s="86"/>
      <c r="L34" s="86"/>
      <c r="M34" s="86"/>
      <c r="N34" s="86"/>
      <c r="O34" s="88" t="s">
        <v>123</v>
      </c>
    </row>
    <row r="35" spans="1:16" x14ac:dyDescent="0.2">
      <c r="A35" s="73">
        <v>8</v>
      </c>
      <c r="B35" s="85" t="s">
        <v>111</v>
      </c>
      <c r="C35" s="86"/>
      <c r="D35" s="86"/>
      <c r="E35" s="86"/>
      <c r="F35" s="86"/>
      <c r="G35" s="86"/>
      <c r="H35" s="86"/>
      <c r="I35" s="86"/>
      <c r="J35" s="86"/>
      <c r="K35" s="86"/>
      <c r="L35" s="86"/>
      <c r="M35" s="86"/>
      <c r="N35" s="86"/>
      <c r="O35" s="88"/>
      <c r="P35" s="89"/>
    </row>
    <row r="36" spans="1:16" x14ac:dyDescent="0.2">
      <c r="A36" s="73"/>
      <c r="B36" s="87">
        <v>45926</v>
      </c>
      <c r="C36" s="86"/>
      <c r="D36" s="86"/>
      <c r="E36" s="86"/>
      <c r="F36" s="86"/>
      <c r="G36" s="86"/>
      <c r="H36" s="86"/>
      <c r="I36" s="86"/>
      <c r="J36" s="86"/>
      <c r="K36" s="86"/>
      <c r="L36" s="86">
        <v>2.5000000000000001E-2</v>
      </c>
      <c r="M36" s="86"/>
      <c r="N36" s="86"/>
      <c r="O36" s="88" t="s">
        <v>123</v>
      </c>
      <c r="P36" s="89"/>
    </row>
    <row r="37" spans="1:16" x14ac:dyDescent="0.2">
      <c r="A37" s="73">
        <v>9</v>
      </c>
      <c r="B37" s="85" t="s">
        <v>124</v>
      </c>
      <c r="C37" s="86"/>
      <c r="D37" s="86"/>
      <c r="E37" s="86"/>
      <c r="F37" s="86"/>
      <c r="G37" s="86"/>
      <c r="H37" s="86"/>
      <c r="I37" s="86"/>
      <c r="J37" s="86"/>
      <c r="K37" s="86"/>
      <c r="L37" s="86"/>
      <c r="M37" s="86"/>
      <c r="N37" s="86"/>
      <c r="O37" s="88"/>
    </row>
    <row r="38" spans="1:16" x14ac:dyDescent="0.2">
      <c r="A38" s="73"/>
      <c r="B38" s="157"/>
      <c r="C38" s="158"/>
      <c r="D38" s="158"/>
      <c r="E38" s="158"/>
      <c r="F38" s="158"/>
      <c r="G38" s="158"/>
      <c r="H38" s="158"/>
      <c r="I38" s="158"/>
      <c r="J38" s="158"/>
      <c r="K38" s="158"/>
      <c r="L38" s="158"/>
      <c r="M38" s="158"/>
      <c r="N38" s="158"/>
      <c r="O38" s="88" t="s">
        <v>125</v>
      </c>
    </row>
    <row r="39" spans="1:16" x14ac:dyDescent="0.2">
      <c r="A39" s="73">
        <v>11</v>
      </c>
      <c r="B39" s="85" t="s">
        <v>113</v>
      </c>
      <c r="C39" s="86"/>
      <c r="D39" s="86"/>
      <c r="E39" s="86"/>
      <c r="F39" s="86"/>
      <c r="G39" s="86"/>
      <c r="H39" s="86"/>
      <c r="I39" s="86"/>
      <c r="J39" s="86"/>
      <c r="K39" s="86"/>
      <c r="L39" s="86"/>
      <c r="M39" s="86"/>
      <c r="N39" s="86"/>
      <c r="O39" s="88"/>
    </row>
    <row r="40" spans="1:16" x14ac:dyDescent="0.2">
      <c r="A40" s="73"/>
      <c r="B40" s="87">
        <v>45652</v>
      </c>
      <c r="C40" s="86">
        <v>2.5000000000000001E-2</v>
      </c>
      <c r="D40" s="86"/>
      <c r="E40" s="86"/>
      <c r="F40" s="86"/>
      <c r="G40" s="86"/>
      <c r="H40" s="86"/>
      <c r="I40" s="86"/>
      <c r="J40" s="86"/>
      <c r="K40" s="86"/>
      <c r="L40" s="86"/>
      <c r="M40" s="86"/>
      <c r="N40" s="86"/>
      <c r="O40" s="88" t="s">
        <v>126</v>
      </c>
    </row>
    <row r="41" spans="1:16" x14ac:dyDescent="0.2">
      <c r="A41" s="73">
        <v>12</v>
      </c>
      <c r="B41" s="85" t="s">
        <v>114</v>
      </c>
      <c r="C41" s="86"/>
      <c r="D41" s="86"/>
      <c r="E41" s="86"/>
      <c r="F41" s="86"/>
      <c r="G41" s="86"/>
      <c r="H41" s="86"/>
      <c r="I41" s="86"/>
      <c r="J41" s="86"/>
      <c r="K41" s="86"/>
      <c r="L41" s="86"/>
      <c r="M41" s="86"/>
      <c r="N41" s="86"/>
      <c r="O41" s="88"/>
    </row>
    <row r="42" spans="1:16" x14ac:dyDescent="0.2">
      <c r="A42" s="73"/>
      <c r="B42" s="87">
        <v>45652</v>
      </c>
      <c r="C42" s="86">
        <v>2.5000000000000001E-2</v>
      </c>
      <c r="D42" s="86"/>
      <c r="E42" s="86"/>
      <c r="F42" s="86"/>
      <c r="G42" s="86"/>
      <c r="H42" s="86"/>
      <c r="I42" s="86"/>
      <c r="J42" s="86"/>
      <c r="K42" s="86"/>
      <c r="L42" s="86"/>
      <c r="M42" s="86"/>
      <c r="N42" s="86"/>
      <c r="O42" s="88" t="s">
        <v>126</v>
      </c>
    </row>
    <row r="43" spans="1:16" x14ac:dyDescent="0.2">
      <c r="A43" s="73">
        <v>13</v>
      </c>
      <c r="B43" s="85" t="s">
        <v>115</v>
      </c>
      <c r="C43" s="86"/>
      <c r="D43" s="86"/>
      <c r="E43" s="86"/>
      <c r="F43" s="86"/>
      <c r="G43" s="86"/>
      <c r="H43" s="86"/>
      <c r="I43" s="86"/>
      <c r="J43" s="86"/>
      <c r="K43" s="86"/>
      <c r="L43" s="86"/>
      <c r="M43" s="86"/>
      <c r="N43" s="86"/>
      <c r="O43" s="88"/>
    </row>
    <row r="44" spans="1:16" x14ac:dyDescent="0.2">
      <c r="A44" s="73"/>
      <c r="B44" s="87">
        <v>45652</v>
      </c>
      <c r="C44" s="86">
        <v>3.5000000000000003E-2</v>
      </c>
      <c r="D44" s="86"/>
      <c r="E44" s="86"/>
      <c r="F44" s="86"/>
      <c r="G44" s="86"/>
      <c r="H44" s="86"/>
      <c r="I44" s="86"/>
      <c r="J44" s="86"/>
      <c r="K44" s="86"/>
      <c r="L44" s="86"/>
      <c r="M44" s="86"/>
      <c r="N44" s="86"/>
      <c r="O44" s="88" t="s">
        <v>123</v>
      </c>
    </row>
    <row r="45" spans="1:16" x14ac:dyDescent="0.2">
      <c r="A45" s="73">
        <v>15</v>
      </c>
      <c r="B45" s="85" t="s">
        <v>116</v>
      </c>
      <c r="C45" s="86"/>
      <c r="D45" s="86"/>
      <c r="E45" s="86"/>
      <c r="F45" s="86"/>
      <c r="G45" s="86"/>
      <c r="H45" s="86"/>
      <c r="I45" s="86"/>
      <c r="J45" s="86"/>
      <c r="K45" s="86"/>
      <c r="L45" s="86"/>
      <c r="M45" s="86"/>
      <c r="N45" s="86"/>
      <c r="O45" s="88"/>
    </row>
    <row r="46" spans="1:16" x14ac:dyDescent="0.2">
      <c r="A46" s="73"/>
      <c r="B46" s="87">
        <v>45652</v>
      </c>
      <c r="C46" s="86">
        <v>2.5000000000000001E-2</v>
      </c>
      <c r="D46" s="86"/>
      <c r="E46" s="86"/>
      <c r="F46" s="86"/>
      <c r="G46" s="86"/>
      <c r="H46" s="86"/>
      <c r="I46" s="86"/>
      <c r="J46" s="86"/>
      <c r="K46" s="86"/>
      <c r="L46" s="86"/>
      <c r="M46" s="86"/>
      <c r="N46" s="86"/>
      <c r="O46" s="88" t="s">
        <v>126</v>
      </c>
    </row>
    <row r="47" spans="1:16" x14ac:dyDescent="0.2">
      <c r="A47" s="76">
        <v>16</v>
      </c>
      <c r="B47" s="77" t="s">
        <v>117</v>
      </c>
      <c r="C47" s="86"/>
      <c r="D47" s="86"/>
      <c r="E47" s="86"/>
      <c r="F47" s="86"/>
      <c r="G47" s="86"/>
      <c r="H47" s="86"/>
      <c r="I47" s="86"/>
      <c r="J47" s="86"/>
      <c r="K47" s="86"/>
      <c r="L47" s="86"/>
      <c r="M47" s="86"/>
      <c r="N47" s="86"/>
      <c r="O47" s="88"/>
      <c r="P47" s="89"/>
    </row>
    <row r="48" spans="1:16" x14ac:dyDescent="0.2">
      <c r="A48" s="76"/>
      <c r="B48" s="159"/>
      <c r="C48" s="158"/>
      <c r="D48" s="158"/>
      <c r="E48" s="158"/>
      <c r="F48" s="158"/>
      <c r="G48" s="158"/>
      <c r="H48" s="158"/>
      <c r="I48" s="158"/>
      <c r="J48" s="158"/>
      <c r="K48" s="158"/>
      <c r="L48" s="158"/>
      <c r="M48" s="158"/>
      <c r="N48" s="158"/>
      <c r="O48" s="88" t="s">
        <v>125</v>
      </c>
      <c r="P48" s="89"/>
    </row>
    <row r="49" spans="1:15" x14ac:dyDescent="0.2">
      <c r="A49" s="73">
        <v>18</v>
      </c>
      <c r="B49" s="85" t="s">
        <v>118</v>
      </c>
      <c r="C49" s="86"/>
      <c r="D49" s="86"/>
      <c r="E49" s="86"/>
      <c r="F49" s="86"/>
      <c r="G49" s="86"/>
      <c r="H49" s="86"/>
      <c r="I49" s="86"/>
      <c r="J49" s="86"/>
      <c r="K49" s="86"/>
      <c r="L49" s="86"/>
      <c r="M49" s="86"/>
      <c r="N49" s="86"/>
      <c r="O49" s="88"/>
    </row>
    <row r="50" spans="1:15" x14ac:dyDescent="0.2">
      <c r="A50" s="76"/>
      <c r="B50" s="87">
        <v>45652</v>
      </c>
      <c r="C50" s="86">
        <v>3.5000000000000003E-2</v>
      </c>
      <c r="D50" s="86"/>
      <c r="E50" s="86"/>
      <c r="F50" s="86"/>
      <c r="G50" s="86"/>
      <c r="H50" s="86"/>
      <c r="I50" s="86"/>
      <c r="J50" s="86"/>
      <c r="K50" s="86"/>
      <c r="L50" s="86"/>
      <c r="M50" s="86"/>
      <c r="N50" s="86"/>
      <c r="O50" s="88" t="s">
        <v>123</v>
      </c>
    </row>
    <row r="51" spans="1:15" x14ac:dyDescent="0.2">
      <c r="C51" s="67"/>
      <c r="N51" s="90"/>
      <c r="O51" s="91"/>
    </row>
    <row r="52" spans="1:15" x14ac:dyDescent="0.2">
      <c r="C52" s="67"/>
      <c r="D52" s="92"/>
      <c r="J52" s="67" t="s">
        <v>49</v>
      </c>
      <c r="O52" s="91"/>
    </row>
    <row r="53" spans="1:15" x14ac:dyDescent="0.2">
      <c r="A53" s="66" t="s">
        <v>127</v>
      </c>
      <c r="C53" s="67"/>
      <c r="O53" s="91"/>
    </row>
    <row r="54" spans="1:15" ht="25.5" x14ac:dyDescent="0.2">
      <c r="A54" s="69" t="s">
        <v>92</v>
      </c>
      <c r="B54" s="70" t="s">
        <v>93</v>
      </c>
      <c r="C54" s="71" t="str">
        <f t="shared" ref="C54:N54" si="0">+C26</f>
        <v>Jan</v>
      </c>
      <c r="D54" s="71" t="str">
        <f t="shared" si="0"/>
        <v>Feb</v>
      </c>
      <c r="E54" s="71" t="str">
        <f t="shared" si="0"/>
        <v>Mar</v>
      </c>
      <c r="F54" s="71" t="str">
        <f t="shared" si="0"/>
        <v>Apr</v>
      </c>
      <c r="G54" s="71" t="str">
        <f t="shared" si="0"/>
        <v>May</v>
      </c>
      <c r="H54" s="71" t="str">
        <f t="shared" si="0"/>
        <v>Jun</v>
      </c>
      <c r="I54" s="71" t="str">
        <f t="shared" si="0"/>
        <v>Jul</v>
      </c>
      <c r="J54" s="71" t="str">
        <f t="shared" si="0"/>
        <v>Aug</v>
      </c>
      <c r="K54" s="71" t="str">
        <f t="shared" si="0"/>
        <v>Sep</v>
      </c>
      <c r="L54" s="71" t="str">
        <f t="shared" si="0"/>
        <v>Oct</v>
      </c>
      <c r="M54" s="71" t="str">
        <f t="shared" si="0"/>
        <v>Nov</v>
      </c>
      <c r="N54" s="71" t="str">
        <f t="shared" si="0"/>
        <v>Dec</v>
      </c>
      <c r="O54" s="93" t="s">
        <v>106</v>
      </c>
    </row>
    <row r="55" spans="1:15" x14ac:dyDescent="0.2">
      <c r="A55" s="73">
        <v>2</v>
      </c>
      <c r="B55" s="85" t="s">
        <v>107</v>
      </c>
      <c r="C55" s="75">
        <f>IF(OR(SUM($C28:$C28)&gt;0),1+SUM($C28:$C28),1)*C9</f>
        <v>19167.40057493731</v>
      </c>
      <c r="D55" s="75">
        <f>IF(OR(SUM($C28:$D28)&gt;0),1+SUM($C28:$D28),1)*D9</f>
        <v>17278.66827777584</v>
      </c>
      <c r="E55" s="75">
        <f>IF(OR(SUM($C28:$E28)&gt;0),1+SUM($C28:$E28),1)*E9</f>
        <v>18556.057388566776</v>
      </c>
      <c r="F55" s="75">
        <f>IF(OR(SUM($C28:$F28)&gt;0),1+SUM($C28:$F28),1)*F9</f>
        <v>17281.612623137124</v>
      </c>
      <c r="G55" s="75">
        <f>IF(OR(SUM($C28:$G28)&gt;0),1+SUM($C28:$G28),1)*G9</f>
        <v>17451.556325506292</v>
      </c>
      <c r="H55" s="75">
        <f>IF(OR(SUM($C28:$H28)&gt;0),1+SUM($C28:$H28),1)*H9</f>
        <v>19579.606298378032</v>
      </c>
      <c r="I55" s="75">
        <f>IF(OR(SUM($C28:$I28)&gt;0),1+SUM($C28:$I28),1)*I9</f>
        <v>16756.3010187</v>
      </c>
      <c r="J55" s="75">
        <f>IF(OR(SUM($C28:$J28)&gt;0),1+SUM($C28:$J28),1)*J9</f>
        <v>15614.462968578002</v>
      </c>
      <c r="K55" s="75">
        <f>IF(OR(SUM($C28:$K28)&gt;0),1+SUM($C28:$K28),1)*K9</f>
        <v>20453.435155808998</v>
      </c>
      <c r="L55" s="75">
        <f>IF(OR(SUM($C28:$L28)&gt;0),1+SUM($C28:$L28),1)*L9</f>
        <v>17485.873585474499</v>
      </c>
      <c r="M55" s="75">
        <f>IF(OR(SUM($C28:$M28)&gt;0),1+SUM($C28:$M28),1)*M9</f>
        <v>17738.027801747998</v>
      </c>
      <c r="N55" s="75">
        <f>IF(OR(SUM($C28:$N28)&gt;0),1+SUM($C28:$N28),1)*N9</f>
        <v>18948.619833463563</v>
      </c>
      <c r="O55" s="94">
        <f>SUM(C55:N55)</f>
        <v>216311.62185207443</v>
      </c>
    </row>
    <row r="56" spans="1:15" x14ac:dyDescent="0.2">
      <c r="A56" s="73">
        <v>3</v>
      </c>
      <c r="B56" s="85" t="s">
        <v>108</v>
      </c>
      <c r="C56" s="75">
        <f>IF(OR(SUM($C30:$C30)&gt;0),1+SUM($C30:$C30),1)*C10</f>
        <v>3817.7909525879409</v>
      </c>
      <c r="D56" s="75">
        <f>IF(OR(SUM($C30:$D30)&gt;0),1+SUM($C30:$D30),1)*D10</f>
        <v>4044.0009879990002</v>
      </c>
      <c r="E56" s="75">
        <f>IF(OR(SUM($C30:$E30)&gt;0),1+SUM($C30:$E30),1)*E10</f>
        <v>4027.3758510350654</v>
      </c>
      <c r="F56" s="75">
        <f>IF(OR(SUM($C30:$F30)&gt;0),1+SUM($C30:$F30),1)*F10</f>
        <v>3741.8058308533423</v>
      </c>
      <c r="G56" s="75">
        <f>IF(OR(SUM($C30:$G30)&gt;0),1+SUM($C30:$G30),1)*G10</f>
        <v>3875.046559786264</v>
      </c>
      <c r="H56" s="75">
        <f>IF(OR(SUM($C30:$H30)&gt;0),1+SUM($C30:$H30),1)*H10</f>
        <v>4107.6397796562233</v>
      </c>
      <c r="I56" s="75">
        <f>IF(OR(SUM($C30:$I30)&gt;0),1+SUM($C30:$I30),1)*I10</f>
        <v>4105.7474621563115</v>
      </c>
      <c r="J56" s="75">
        <f>IF(OR(SUM($C30:$J30)&gt;0),1+SUM($C30:$J30),1)*J10</f>
        <v>3397.1981614424999</v>
      </c>
      <c r="K56" s="75">
        <f>IF(OR(SUM($C30:$K30)&gt;0),1+SUM($C30:$K30),1)*K10</f>
        <v>4345.9411676649997</v>
      </c>
      <c r="L56" s="75">
        <f>IF(OR(SUM($C30:$L30)&gt;0),1+SUM($C30:$L30),1)*L10</f>
        <v>4538.7619038499988</v>
      </c>
      <c r="M56" s="75">
        <f>IF(OR(SUM($C30:$M30)&gt;0),1+SUM($C30:$M30),1)*M10</f>
        <v>4038.5145641224999</v>
      </c>
      <c r="N56" s="75">
        <f>IF(OR(SUM($C30:$N30)&gt;0),1+SUM($C30:$N30),1)*N10</f>
        <v>4197.0404069646884</v>
      </c>
      <c r="O56" s="94">
        <f t="shared" ref="O56:O66" si="1">SUM(C56:N56)</f>
        <v>48236.863628118837</v>
      </c>
    </row>
    <row r="57" spans="1:15" x14ac:dyDescent="0.2">
      <c r="A57" s="73">
        <v>4</v>
      </c>
      <c r="B57" s="85" t="s">
        <v>109</v>
      </c>
      <c r="C57" s="75">
        <f>IF(OR(SUM($C32:$C32)&gt;0),1+SUM($C32:$C32),1)*C11</f>
        <v>4407.4126336426843</v>
      </c>
      <c r="D57" s="75">
        <f>IF(OR(SUM($C32:$D32)&gt;0),1+SUM($C32:$D32),1)*D11</f>
        <v>4243.1067006000003</v>
      </c>
      <c r="E57" s="75">
        <f>IF(OR(SUM($C32:$E32)&gt;0),1+SUM($C32:$E32),1)*E11</f>
        <v>4136.68288571837</v>
      </c>
      <c r="F57" s="75">
        <f>IF(OR(SUM($C32:$F32)&gt;0),1+SUM($C32:$F32),1)*F11</f>
        <v>3844.9289435563928</v>
      </c>
      <c r="G57" s="75">
        <f>IF(OR(SUM($C32:$G32)&gt;0),1+SUM($C32:$G32),1)*G11</f>
        <v>4022.7769013115862</v>
      </c>
      <c r="H57" s="75">
        <f>IF(OR(SUM($C32:$H32)&gt;0),1+SUM($C32:$H32),1)*H11</f>
        <v>4418.3615691068444</v>
      </c>
      <c r="I57" s="75">
        <f>IF(OR(SUM($C32:$I32)&gt;0),1+SUM($C32:$I32),1)*I11</f>
        <v>4827.5493205140001</v>
      </c>
      <c r="J57" s="75">
        <f>IF(OR(SUM($C32:$J32)&gt;0),1+SUM($C32:$J32),1)*J11</f>
        <v>3622.8485615039995</v>
      </c>
      <c r="K57" s="75">
        <f>IF(OR(SUM($C32:$K32)&gt;0),1+SUM($C32:$K32),1)*K11</f>
        <v>4404.9984278939992</v>
      </c>
      <c r="L57" s="75">
        <f>IF(OR(SUM($C32:$L32)&gt;0),1+SUM($C32:$L32),1)*L11</f>
        <v>3900.7568358540002</v>
      </c>
      <c r="M57" s="75">
        <f>IF(OR(SUM($C32:$M32)&gt;0),1+SUM($C32:$M32),1)*M11</f>
        <v>4026.3954916499997</v>
      </c>
      <c r="N57" s="75">
        <f>IF(OR(SUM($C32:$N32)&gt;0),1+SUM($C32:$N32),1)*N11</f>
        <v>4326.974234032934</v>
      </c>
      <c r="O57" s="94">
        <f t="shared" si="1"/>
        <v>50182.792505384816</v>
      </c>
    </row>
    <row r="58" spans="1:15" x14ac:dyDescent="0.2">
      <c r="A58" s="73">
        <v>5</v>
      </c>
      <c r="B58" s="85" t="s">
        <v>110</v>
      </c>
      <c r="C58" s="75">
        <f>IF(OR(SUM($C34:$C34)&gt;0),1+SUM($C34:$C34),1)*C12</f>
        <v>174.42151122411684</v>
      </c>
      <c r="D58" s="75">
        <f>IF(OR(SUM($C34:$D34)&gt;0),1+SUM($C34:$D34),1)*D12</f>
        <v>190.58603999999997</v>
      </c>
      <c r="E58" s="75">
        <f>IF(OR(SUM($C34:$E34)&gt;0),1+SUM($C34:$E34),1)*E12</f>
        <v>228.45593691715413</v>
      </c>
      <c r="F58" s="75">
        <f>IF(OR(SUM($C34:$F34)&gt;0),1+SUM($C34:$F34),1)*F12</f>
        <v>189.04875682673389</v>
      </c>
      <c r="G58" s="75">
        <f>IF(OR(SUM($C34:$G34)&gt;0),1+SUM($C34:$G34),1)*G12</f>
        <v>186.74967208385672</v>
      </c>
      <c r="H58" s="75">
        <f>IF(OR(SUM($C34:$H34)&gt;0),1+SUM($C34:$H34),1)*H12</f>
        <v>241.98828022955092</v>
      </c>
      <c r="I58" s="75">
        <f>IF(OR(SUM($C34:$I34)&gt;0),1+SUM($C34:$I34),1)*I12</f>
        <v>305.19271599793751</v>
      </c>
      <c r="J58" s="75">
        <f>IF(OR(SUM($C34:$J34)&gt;0),1+SUM($C34:$J34),1)*J12</f>
        <v>170.61274167481253</v>
      </c>
      <c r="K58" s="75">
        <f>IF(OR(SUM($C34:$K34)&gt;0),1+SUM($C34:$K34),1)*K12</f>
        <v>251.03132234156246</v>
      </c>
      <c r="L58" s="75">
        <f>IF(OR(SUM($C34:$L34)&gt;0),1+SUM($C34:$L34),1)*L12</f>
        <v>187.14864569449998</v>
      </c>
      <c r="M58" s="75">
        <f>IF(OR(SUM($C34:$M34)&gt;0),1+SUM($C34:$M34),1)*M12</f>
        <v>191.70225984168744</v>
      </c>
      <c r="N58" s="75">
        <f>IF(OR(SUM($C34:$N34)&gt;0),1+SUM($C34:$N34),1)*N12</f>
        <v>228.82357690200459</v>
      </c>
      <c r="O58" s="94">
        <f t="shared" si="1"/>
        <v>2545.761459733917</v>
      </c>
    </row>
    <row r="59" spans="1:15" x14ac:dyDescent="0.2">
      <c r="A59" s="73">
        <v>8</v>
      </c>
      <c r="B59" s="85" t="s">
        <v>128</v>
      </c>
      <c r="C59" s="75">
        <f>IF(OR(SUM($C36:$C36)&gt;0),1+SUM($C36:$C36),1)*C13</f>
        <v>4385.3718657249929</v>
      </c>
      <c r="D59" s="75">
        <f>IF(OR(SUM($C36:$D36)&gt;0),1+SUM($C36:$D36),1)*D13</f>
        <v>4099.1607000000004</v>
      </c>
      <c r="E59" s="75">
        <f>IF(OR(SUM($C36:$E36)&gt;0),1+SUM($C36:$E36),1)*E13</f>
        <v>4083.2829329030042</v>
      </c>
      <c r="F59" s="75">
        <f>IF(OR(SUM($C36:$F36)&gt;0),1+SUM($C36:$F36),1)*F13</f>
        <v>3895.7970482618821</v>
      </c>
      <c r="G59" s="75">
        <f>IF(OR(SUM($C36:$G36)&gt;0),1+SUM($C36:$G36),1)*G13</f>
        <v>4038.1472609585708</v>
      </c>
      <c r="H59" s="75">
        <f>IF(OR(SUM($C36:$H36)&gt;0),1+SUM($C36:$H36),1)*H13</f>
        <v>4468.0938438759304</v>
      </c>
      <c r="I59" s="75">
        <f>IF(OR(SUM($C36:$I36)&gt;0),1+SUM($C36:$I36),1)*I13</f>
        <v>3787.67652</v>
      </c>
      <c r="J59" s="75">
        <f>IF(OR(SUM($C36:$J36)&gt;0),1+SUM($C36:$J36),1)*J13</f>
        <v>3516.8135400000001</v>
      </c>
      <c r="K59" s="75">
        <f>IF(OR(SUM($C36:$K36)&gt;0),1+SUM($C36:$K36),1)*K13</f>
        <v>4182.3205699999999</v>
      </c>
      <c r="L59" s="75">
        <f>IF(OR(SUM($C36:$L36)&gt;0),1+SUM($C36:$L36),1)*L13</f>
        <v>4739.6500149775002</v>
      </c>
      <c r="M59" s="75">
        <f>IF(OR(SUM($C36:$M36)&gt;0),1+SUM($C36:$M36),1)*M13</f>
        <v>4633.6606433525003</v>
      </c>
      <c r="N59" s="75">
        <f>IF(OR(SUM($C36:$N36)&gt;0),1+SUM($C36:$N36),1)*N13</f>
        <v>4755.4705083289473</v>
      </c>
      <c r="O59" s="94">
        <f t="shared" si="1"/>
        <v>50585.445448383332</v>
      </c>
    </row>
    <row r="60" spans="1:15" x14ac:dyDescent="0.2">
      <c r="A60" s="73">
        <v>9</v>
      </c>
      <c r="B60" s="85" t="s">
        <v>112</v>
      </c>
      <c r="C60" s="156"/>
      <c r="D60" s="156"/>
      <c r="E60" s="156"/>
      <c r="F60" s="156"/>
      <c r="G60" s="156"/>
      <c r="H60" s="156"/>
      <c r="I60" s="156"/>
      <c r="J60" s="156"/>
      <c r="K60" s="156"/>
      <c r="L60" s="156"/>
      <c r="M60" s="156"/>
      <c r="N60" s="156"/>
      <c r="O60" s="160"/>
    </row>
    <row r="61" spans="1:15" x14ac:dyDescent="0.2">
      <c r="A61" s="73">
        <v>11</v>
      </c>
      <c r="B61" s="85" t="s">
        <v>113</v>
      </c>
      <c r="C61" s="75">
        <f>IF(OR(SUM($C40:$C40)&gt;0),1+SUM($C40:$C40),1)*C15</f>
        <v>11519.374129923017</v>
      </c>
      <c r="D61" s="75">
        <f>IF(OR(SUM($C40:$D40)&gt;0),1+SUM($C40:$D40),1)*D15</f>
        <v>11999.788204702812</v>
      </c>
      <c r="E61" s="75">
        <f>IF(OR(SUM($C40:$E40)&gt;0),1+SUM($C40:$E40),1)*E15</f>
        <v>11104.480085379981</v>
      </c>
      <c r="F61" s="75">
        <f>IF(OR(SUM($C40:$F40)&gt;0),1+SUM($C40:$F40),1)*F15</f>
        <v>10739.430037479437</v>
      </c>
      <c r="G61" s="75">
        <f>IF(OR(SUM($C40:$G40)&gt;0),1+SUM($C40:$G40),1)*G15</f>
        <v>11241.618672667149</v>
      </c>
      <c r="H61" s="75">
        <f>IF(OR(SUM($C40:$H40)&gt;0),1+SUM($C40:$H40),1)*H15</f>
        <v>11902.953504959343</v>
      </c>
      <c r="I61" s="75">
        <f>IF(OR(SUM($C40:$I40)&gt;0),1+SUM($C40:$I40),1)*I15</f>
        <v>10225.510517051591</v>
      </c>
      <c r="J61" s="75">
        <f>IF(OR(SUM($C40:$J40)&gt;0),1+SUM($C40:$J40),1)*J15</f>
        <v>10175.702719148749</v>
      </c>
      <c r="K61" s="75">
        <f>IF(OR(SUM($C40:$K40)&gt;0),1+SUM($C40:$K40),1)*K15</f>
        <v>11919.462916366248</v>
      </c>
      <c r="L61" s="75">
        <f>IF(OR(SUM($C40:$L40)&gt;0),1+SUM($C40:$L40),1)*L15</f>
        <v>10930.180919524999</v>
      </c>
      <c r="M61" s="75">
        <f>IF(OR(SUM($C40:$M40)&gt;0),1+SUM($C40:$M40),1)*M15</f>
        <v>11143.6896352775</v>
      </c>
      <c r="N61" s="75">
        <f>IF(OR(SUM($C40:$N40)&gt;0),1+SUM($C40:$N40),1)*N15</f>
        <v>12256.868273670352</v>
      </c>
      <c r="O61" s="94">
        <f t="shared" si="1"/>
        <v>135159.05961615118</v>
      </c>
    </row>
    <row r="62" spans="1:15" x14ac:dyDescent="0.2">
      <c r="A62" s="73">
        <v>12</v>
      </c>
      <c r="B62" s="85" t="s">
        <v>114</v>
      </c>
      <c r="C62" s="75">
        <f>IF(OR(SUM($C42:$C42)&gt;0),1+SUM($C42:$C42),1)*C16</f>
        <v>3788.6084080434562</v>
      </c>
      <c r="D62" s="75">
        <f>IF(OR(SUM($C42:$D42)&gt;0),1+SUM($C42:$D42),1)*D16</f>
        <v>4099.527596880187</v>
      </c>
      <c r="E62" s="75">
        <f>IF(OR(SUM($C42:$E42)&gt;0),1+SUM($C42:$E42),1)*E16</f>
        <v>3915.7633835960305</v>
      </c>
      <c r="F62" s="75">
        <f>IF(OR(SUM($C42:$F42)&gt;0),1+SUM($C42:$F42),1)*F16</f>
        <v>3483.6820081394621</v>
      </c>
      <c r="G62" s="75">
        <f>IF(OR(SUM($C42:$G42)&gt;0),1+SUM($C42:$G42),1)*G16</f>
        <v>3947.9718753073926</v>
      </c>
      <c r="H62" s="75">
        <f>IF(OR(SUM($C42:$H42)&gt;0),1+SUM($C42:$H42),1)*H16</f>
        <v>4388.975347691553</v>
      </c>
      <c r="I62" s="75">
        <f>IF(OR(SUM($C42:$I42)&gt;0),1+SUM($C42:$I42),1)*I16</f>
        <v>3731.7081971102489</v>
      </c>
      <c r="J62" s="75">
        <f>IF(OR(SUM($C42:$J42)&gt;0),1+SUM($C42:$J42),1)*J16</f>
        <v>3570.1211989537496</v>
      </c>
      <c r="K62" s="75">
        <f>IF(OR(SUM($C42:$K42)&gt;0),1+SUM($C42:$K42),1)*K16</f>
        <v>4437.7410024762503</v>
      </c>
      <c r="L62" s="75">
        <f>IF(OR(SUM($C42:$L42)&gt;0),1+SUM($C42:$L42),1)*L16</f>
        <v>4054.4198185575001</v>
      </c>
      <c r="M62" s="75">
        <f>IF(OR(SUM($C42:$M42)&gt;0),1+SUM($C42:$M42),1)*M16</f>
        <v>3882.4413534987493</v>
      </c>
      <c r="N62" s="75">
        <f>IF(OR(SUM($C42:$N42)&gt;0),1+SUM($C42:$N42),1)*N16</f>
        <v>3939.3962221153424</v>
      </c>
      <c r="O62" s="94">
        <f t="shared" si="1"/>
        <v>47240.356412369918</v>
      </c>
    </row>
    <row r="63" spans="1:15" x14ac:dyDescent="0.2">
      <c r="A63" s="73">
        <v>13</v>
      </c>
      <c r="B63" s="85" t="s">
        <v>115</v>
      </c>
      <c r="C63" s="75">
        <f>IF(OR(SUM($C44:$C44)&gt;0),1+SUM($C44:$C44),1)*C17</f>
        <v>530.74110355963751</v>
      </c>
      <c r="D63" s="75">
        <f>IF(OR(SUM($C44:$D44)&gt;0),1+SUM($C44:$D44),1)*D17</f>
        <v>562.04376558178353</v>
      </c>
      <c r="E63" s="75">
        <f>IF(OR(SUM($C44:$E44)&gt;0),1+SUM($C44:$E44),1)*E17</f>
        <v>557.74707947000547</v>
      </c>
      <c r="F63" s="75">
        <f>IF(OR(SUM($C44:$F44)&gt;0),1+SUM($C44:$F44),1)*F17</f>
        <v>516.5368226077735</v>
      </c>
      <c r="G63" s="75">
        <f>IF(OR(SUM($C44:$G44)&gt;0),1+SUM($C44:$G44),1)*G17</f>
        <v>514.34353322803508</v>
      </c>
      <c r="H63" s="75">
        <f>IF(OR(SUM($C44:$H44)&gt;0),1+SUM($C44:$H44),1)*H17</f>
        <v>527.75531452383939</v>
      </c>
      <c r="I63" s="75">
        <f>IF(OR(SUM($C44:$I44)&gt;0),1+SUM($C44:$I44),1)*I17</f>
        <v>463.7715431625</v>
      </c>
      <c r="J63" s="75">
        <f>IF(OR(SUM($C44:$J44)&gt;0),1+SUM($C44:$J44),1)*J17</f>
        <v>455.96094195149999</v>
      </c>
      <c r="K63" s="75">
        <f>IF(OR(SUM($C44:$K44)&gt;0),1+SUM($C44:$K44),1)*K17</f>
        <v>472.37302979100002</v>
      </c>
      <c r="L63" s="75">
        <f>IF(OR(SUM($C44:$L44)&gt;0),1+SUM($C44:$L44),1)*L17</f>
        <v>459.66512963699995</v>
      </c>
      <c r="M63" s="75">
        <f>IF(OR(SUM($C44:$M44)&gt;0),1+SUM($C44:$M44),1)*M17</f>
        <v>496.73663077949999</v>
      </c>
      <c r="N63" s="75">
        <f>IF(OR(SUM($C44:$N44)&gt;0),1+SUM($C44:$N44),1)*N17</f>
        <v>497.43360368887323</v>
      </c>
      <c r="O63" s="94">
        <f t="shared" si="1"/>
        <v>6055.1084979814477</v>
      </c>
    </row>
    <row r="64" spans="1:15" x14ac:dyDescent="0.2">
      <c r="A64" s="73">
        <v>15</v>
      </c>
      <c r="B64" s="85" t="s">
        <v>116</v>
      </c>
      <c r="C64" s="75">
        <f>IF(OR(SUM($C46:$C46)&gt;0),1+SUM($C46:$C46),1)*C18</f>
        <v>377.27285775057982</v>
      </c>
      <c r="D64" s="75">
        <f>IF(OR(SUM($C46:$D46)&gt;0),1+SUM($C46:$D46),1)*D18</f>
        <v>425.41130447243745</v>
      </c>
      <c r="E64" s="75">
        <f>IF(OR(SUM($C46:$E46)&gt;0),1+SUM($C46:$E46),1)*E18</f>
        <v>454.39359493853982</v>
      </c>
      <c r="F64" s="75">
        <f>IF(OR(SUM($C46:$F46)&gt;0),1+SUM($C46:$F46),1)*F18</f>
        <v>437.57867320449049</v>
      </c>
      <c r="G64" s="75">
        <f>IF(OR(SUM($C46:$G46)&gt;0),1+SUM($C46:$G46),1)*G18</f>
        <v>392.05138029203778</v>
      </c>
      <c r="H64" s="75">
        <f>IF(OR(SUM($C46:$H46)&gt;0),1+SUM($C46:$H46),1)*H18</f>
        <v>416.23178495429659</v>
      </c>
      <c r="I64" s="75">
        <f>IF(OR(SUM($C46:$I46)&gt;0),1+SUM($C46:$I46),1)*I18</f>
        <v>392.06428027637497</v>
      </c>
      <c r="J64" s="75">
        <f>IF(OR(SUM($C46:$J46)&gt;0),1+SUM($C46:$J46),1)*J18</f>
        <v>350.00813569749994</v>
      </c>
      <c r="K64" s="75">
        <f>IF(OR(SUM($C46:$K46)&gt;0),1+SUM($C46:$K46),1)*K18</f>
        <v>397.25130578874996</v>
      </c>
      <c r="L64" s="75">
        <f>IF(OR(SUM($C46:$L46)&gt;0),1+SUM($C46:$L46),1)*L18</f>
        <v>419.80467808999992</v>
      </c>
      <c r="M64" s="75">
        <f>IF(OR(SUM($C46:$M46)&gt;0),1+SUM($C46:$M46),1)*M18</f>
        <v>408.08799636499987</v>
      </c>
      <c r="N64" s="75">
        <f>IF(OR(SUM($C46:$N46)&gt;0),1+SUM($C46:$N46),1)*N18</f>
        <v>405.18814336859305</v>
      </c>
      <c r="O64" s="94">
        <f t="shared" si="1"/>
        <v>4875.3441351985994</v>
      </c>
    </row>
    <row r="65" spans="1:16" x14ac:dyDescent="0.2">
      <c r="A65" s="76">
        <v>16</v>
      </c>
      <c r="B65" s="77" t="s">
        <v>117</v>
      </c>
      <c r="C65" s="156"/>
      <c r="D65" s="156"/>
      <c r="E65" s="156"/>
      <c r="F65" s="156"/>
      <c r="G65" s="156"/>
      <c r="H65" s="156"/>
      <c r="I65" s="156"/>
      <c r="J65" s="156"/>
      <c r="K65" s="156"/>
      <c r="L65" s="156"/>
      <c r="M65" s="156"/>
      <c r="N65" s="156"/>
      <c r="O65" s="160"/>
    </row>
    <row r="66" spans="1:16" x14ac:dyDescent="0.2">
      <c r="A66" s="73">
        <v>18</v>
      </c>
      <c r="B66" s="85" t="s">
        <v>118</v>
      </c>
      <c r="C66" s="75">
        <f>IF(OR(SUM($C50:$C50)&gt;0),1+SUM($C50:$C50),1)*C20</f>
        <v>1267.4749699563515</v>
      </c>
      <c r="D66" s="75">
        <f>IF(OR(SUM($C50:$D50)&gt;0),1+SUM($C50:$D50),1)*D20</f>
        <v>1184.8948782809755</v>
      </c>
      <c r="E66" s="75">
        <f>IF(OR(SUM($C50:$E50)&gt;0),1+SUM($C50:$E50),1)*E20</f>
        <v>1253.4954868544532</v>
      </c>
      <c r="F66" s="75">
        <f>IF(OR(SUM($C50:$F50)&gt;0),1+SUM($C50:$F50),1)*F20</f>
        <v>1154.660296297101</v>
      </c>
      <c r="G66" s="75">
        <f>IF(OR(SUM($C50:$G50)&gt;0),1+SUM($C50:$G50),1)*G20</f>
        <v>1171.5304921816514</v>
      </c>
      <c r="H66" s="75">
        <f>IF(OR(SUM($C50:$H50)&gt;0),1+SUM($C50:$H50),1)*H20</f>
        <v>1335.432339222371</v>
      </c>
      <c r="I66" s="75">
        <f>IF(OR(SUM($C50:$I50)&gt;0),1+SUM($C50:$I50),1)*I20</f>
        <v>1164.85843608</v>
      </c>
      <c r="J66" s="75">
        <f>IF(OR(SUM($C50:$J50)&gt;0),1+SUM($C50:$J50),1)*J20</f>
        <v>1066.2599698290001</v>
      </c>
      <c r="K66" s="75">
        <f>IF(OR(SUM($C50:$K50)&gt;0),1+SUM($C50:$K50),1)*K20</f>
        <v>1077.2075560590001</v>
      </c>
      <c r="L66" s="75">
        <f>IF(OR(SUM($C50:$L50)&gt;0),1+SUM($C50:$L50),1)*L20</f>
        <v>1133.3800336410002</v>
      </c>
      <c r="M66" s="75">
        <f>IF(OR(SUM($C50:$M50)&gt;0),1+SUM($C50:$M50),1)*M20</f>
        <v>1149.5121581204999</v>
      </c>
      <c r="N66" s="75">
        <f>IF(OR(SUM($C50:$N50)&gt;0),1+SUM($C50:$N50),1)*N20</f>
        <v>1279.8232372333523</v>
      </c>
      <c r="O66" s="94">
        <f t="shared" si="1"/>
        <v>14238.529853755757</v>
      </c>
    </row>
    <row r="67" spans="1:16" x14ac:dyDescent="0.2">
      <c r="A67" s="78" t="s">
        <v>119</v>
      </c>
      <c r="B67" s="79"/>
      <c r="C67" s="80">
        <v>49634.306090380036</v>
      </c>
      <c r="D67" s="80">
        <v>48339.755725111405</v>
      </c>
      <c r="E67" s="80">
        <v>48523.555271322562</v>
      </c>
      <c r="F67" s="80">
        <v>45488.078671025753</v>
      </c>
      <c r="G67" s="80">
        <v>47061.178789651414</v>
      </c>
      <c r="H67" s="80">
        <v>51604.324855583895</v>
      </c>
      <c r="I67" s="80">
        <v>45969.314419396942</v>
      </c>
      <c r="J67" s="80">
        <v>42128.891696104816</v>
      </c>
      <c r="K67" s="80">
        <v>52150.642238988301</v>
      </c>
      <c r="L67" s="80">
        <v>48063.451390280985</v>
      </c>
      <c r="M67" s="80">
        <v>47992.836486483437</v>
      </c>
      <c r="N67" s="80">
        <v>51129.68079616801</v>
      </c>
      <c r="O67" s="80">
        <v>578086.01643049764</v>
      </c>
      <c r="P67" s="81" t="s">
        <v>86</v>
      </c>
    </row>
    <row r="68" spans="1:16" x14ac:dyDescent="0.2">
      <c r="O68" s="95"/>
    </row>
    <row r="69" spans="1:16" x14ac:dyDescent="0.2">
      <c r="A69" s="88" t="s">
        <v>126</v>
      </c>
      <c r="B69" s="96" t="s">
        <v>129</v>
      </c>
      <c r="C69" s="97"/>
      <c r="O69" s="95"/>
    </row>
    <row r="70" spans="1:16" x14ac:dyDescent="0.2">
      <c r="A70" s="88" t="s">
        <v>123</v>
      </c>
      <c r="B70" s="96" t="s">
        <v>130</v>
      </c>
      <c r="C70" s="97"/>
      <c r="O70" s="98"/>
    </row>
    <row r="71" spans="1:16" x14ac:dyDescent="0.2">
      <c r="A71" s="88" t="s">
        <v>131</v>
      </c>
      <c r="B71" s="96" t="s">
        <v>132</v>
      </c>
      <c r="C71" s="97"/>
      <c r="O71" s="99"/>
      <c r="P71" s="100"/>
    </row>
  </sheetData>
  <pageMargins left="0.7" right="0.7" top="0.75" bottom="0.75" header="0.3" footer="0.3"/>
  <pageSetup scale="54" fitToHeight="0" orientation="landscape" r:id="rId1"/>
  <headerFooter>
    <oddFooter>&amp;CPage 13.2.4_REDACTED</oddFooter>
  </headerFooter>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8601F-54E8-46A5-B21B-9D1873BF7354}">
  <sheetPr>
    <pageSetUpPr fitToPage="1"/>
  </sheetPr>
  <dimension ref="A1:I15"/>
  <sheetViews>
    <sheetView view="pageBreakPreview" zoomScaleNormal="100" zoomScaleSheetLayoutView="100" workbookViewId="0"/>
  </sheetViews>
  <sheetFormatPr defaultRowHeight="12.75" x14ac:dyDescent="0.2"/>
  <cols>
    <col min="1" max="1" width="24.7109375" style="174" customWidth="1"/>
    <col min="2" max="2" width="19.28515625" style="174" customWidth="1"/>
    <col min="3" max="3" width="15.85546875" style="174" customWidth="1"/>
    <col min="4" max="5" width="15" style="174" customWidth="1"/>
    <col min="6" max="6" width="1.5703125" style="174" customWidth="1"/>
    <col min="7" max="7" width="14" style="174" bestFit="1" customWidth="1"/>
    <col min="8" max="8" width="1.5703125" style="174" customWidth="1"/>
    <col min="9" max="9" width="6.140625" style="174" bestFit="1" customWidth="1"/>
    <col min="10" max="16384" width="9.140625" style="162"/>
  </cols>
  <sheetData>
    <row r="1" spans="1:9" x14ac:dyDescent="0.2">
      <c r="A1" s="101" t="s">
        <v>0</v>
      </c>
      <c r="H1" s="175" t="s">
        <v>1</v>
      </c>
      <c r="I1" s="174" t="s">
        <v>267</v>
      </c>
    </row>
    <row r="2" spans="1:9" x14ac:dyDescent="0.2">
      <c r="A2" s="101" t="s">
        <v>2</v>
      </c>
    </row>
    <row r="3" spans="1:9" x14ac:dyDescent="0.2">
      <c r="A3" s="101" t="s">
        <v>3</v>
      </c>
    </row>
    <row r="5" spans="1:9" x14ac:dyDescent="0.2">
      <c r="B5" s="102" t="s">
        <v>49</v>
      </c>
      <c r="C5" s="102" t="s">
        <v>49</v>
      </c>
      <c r="D5" s="102" t="s">
        <v>49</v>
      </c>
    </row>
    <row r="6" spans="1:9" x14ac:dyDescent="0.2">
      <c r="A6" s="107"/>
      <c r="B6" s="176" t="s">
        <v>133</v>
      </c>
      <c r="C6" s="176" t="s">
        <v>134</v>
      </c>
      <c r="D6" s="176" t="s">
        <v>135</v>
      </c>
      <c r="E6" s="176" t="s">
        <v>136</v>
      </c>
      <c r="F6" s="176"/>
      <c r="G6" s="176" t="s">
        <v>137</v>
      </c>
      <c r="H6" s="176"/>
    </row>
    <row r="7" spans="1:9" ht="51" x14ac:dyDescent="0.2">
      <c r="A7" s="103" t="s">
        <v>52</v>
      </c>
      <c r="B7" s="104" t="s">
        <v>138</v>
      </c>
      <c r="C7" s="105" t="s">
        <v>139</v>
      </c>
      <c r="D7" s="105" t="s">
        <v>140</v>
      </c>
      <c r="E7" s="105" t="s">
        <v>141</v>
      </c>
      <c r="F7" s="106"/>
      <c r="G7" s="104" t="s">
        <v>142</v>
      </c>
      <c r="H7" s="106"/>
      <c r="I7" s="104" t="s">
        <v>143</v>
      </c>
    </row>
    <row r="8" spans="1:9" x14ac:dyDescent="0.2">
      <c r="A8" s="107"/>
      <c r="B8" s="108"/>
      <c r="C8" s="109"/>
      <c r="D8" s="109"/>
      <c r="E8" s="109"/>
      <c r="F8" s="106"/>
      <c r="G8" s="109"/>
      <c r="H8" s="23"/>
    </row>
    <row r="9" spans="1:9" x14ac:dyDescent="0.2">
      <c r="A9" s="107"/>
      <c r="B9" s="108"/>
      <c r="C9" s="108"/>
      <c r="D9" s="108"/>
      <c r="E9" s="108"/>
      <c r="F9" s="106"/>
      <c r="G9" s="109"/>
      <c r="H9" s="23"/>
    </row>
    <row r="10" spans="1:9" x14ac:dyDescent="0.2">
      <c r="A10" s="177" t="s">
        <v>70</v>
      </c>
      <c r="B10" s="108">
        <v>9202624.0969941374</v>
      </c>
      <c r="C10" s="108">
        <v>9355971</v>
      </c>
      <c r="D10" s="108">
        <v>6391701</v>
      </c>
      <c r="E10" s="108">
        <f>D10*B10/C10</f>
        <v>6286939.2865135558</v>
      </c>
      <c r="F10" s="106"/>
      <c r="G10" s="108">
        <f>E10-B10</f>
        <v>-2915684.8104805816</v>
      </c>
      <c r="H10" s="23"/>
      <c r="I10" s="176" t="s">
        <v>144</v>
      </c>
    </row>
    <row r="11" spans="1:9" x14ac:dyDescent="0.2">
      <c r="A11" s="177" t="s">
        <v>72</v>
      </c>
      <c r="B11" s="108">
        <v>836131.4</v>
      </c>
      <c r="C11" s="108">
        <v>861180.4099999998</v>
      </c>
      <c r="D11" s="108">
        <f>C11</f>
        <v>861180.4099999998</v>
      </c>
      <c r="E11" s="108">
        <f>D11*B11/C11</f>
        <v>836131.4</v>
      </c>
      <c r="F11" s="106"/>
      <c r="G11" s="108">
        <f>E11-B11</f>
        <v>0</v>
      </c>
      <c r="H11" s="23"/>
      <c r="I11" s="176" t="s">
        <v>144</v>
      </c>
    </row>
    <row r="12" spans="1:9" x14ac:dyDescent="0.2">
      <c r="A12" s="177" t="s">
        <v>73</v>
      </c>
      <c r="B12" s="108">
        <v>-35544.213289603606</v>
      </c>
      <c r="C12" s="108">
        <v>-37588</v>
      </c>
      <c r="D12" s="108">
        <v>734040</v>
      </c>
      <c r="E12" s="108">
        <f>D12*B12/C12</f>
        <v>694127.76213420858</v>
      </c>
      <c r="F12" s="106"/>
      <c r="G12" s="108">
        <f>E12-B12</f>
        <v>729671.97542381217</v>
      </c>
      <c r="H12" s="23"/>
      <c r="I12" s="176" t="s">
        <v>144</v>
      </c>
    </row>
    <row r="13" spans="1:9" x14ac:dyDescent="0.2">
      <c r="A13" s="177" t="s">
        <v>74</v>
      </c>
      <c r="B13" s="108">
        <v>4699390.5257755518</v>
      </c>
      <c r="C13" s="108">
        <v>4842646</v>
      </c>
      <c r="D13" s="110">
        <v>4842646</v>
      </c>
      <c r="E13" s="110">
        <f>D13*B13/C13</f>
        <v>4699390.5257755518</v>
      </c>
      <c r="F13" s="106"/>
      <c r="G13" s="110">
        <f>E13-B13</f>
        <v>0</v>
      </c>
      <c r="H13" s="23"/>
      <c r="I13" s="176" t="s">
        <v>144</v>
      </c>
    </row>
    <row r="14" spans="1:9" x14ac:dyDescent="0.2">
      <c r="A14" s="177" t="s">
        <v>106</v>
      </c>
      <c r="B14" s="111">
        <f>SUM(B10:B13)</f>
        <v>14702601.809480086</v>
      </c>
      <c r="C14" s="111">
        <f>SUM(C10:C13)</f>
        <v>15022209.41</v>
      </c>
      <c r="D14" s="111">
        <f>SUM(D10:D13)</f>
        <v>12829567.41</v>
      </c>
      <c r="E14" s="111">
        <f>SUM(E10:E13)</f>
        <v>12516588.974423315</v>
      </c>
      <c r="F14" s="112"/>
      <c r="G14" s="111">
        <f>SUM(G10:G13)</f>
        <v>-2186012.8350567697</v>
      </c>
      <c r="I14" s="176" t="s">
        <v>144</v>
      </c>
    </row>
    <row r="15" spans="1:9" x14ac:dyDescent="0.2">
      <c r="B15" s="173" t="s">
        <v>268</v>
      </c>
      <c r="E15" s="113" t="s">
        <v>145</v>
      </c>
      <c r="F15" s="113"/>
      <c r="G15" s="113" t="s">
        <v>145</v>
      </c>
    </row>
  </sheetData>
  <pageMargins left="0.7" right="0.7" top="0.75" bottom="0.75" header="0.3" footer="0.3"/>
  <pageSetup scale="80" fitToHeight="0" orientation="portrait"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4D197-83EF-4E11-987D-03C34B8EFB67}">
  <sheetPr>
    <pageSetUpPr fitToPage="1"/>
  </sheetPr>
  <dimension ref="A1:J35"/>
  <sheetViews>
    <sheetView view="pageBreakPreview" zoomScale="80" zoomScaleNormal="100" zoomScaleSheetLayoutView="80" workbookViewId="0">
      <selection activeCell="J17" sqref="J17"/>
    </sheetView>
  </sheetViews>
  <sheetFormatPr defaultRowHeight="12.75" x14ac:dyDescent="0.2"/>
  <cols>
    <col min="1" max="1" width="6.5703125" style="178" customWidth="1"/>
    <col min="2" max="2" width="5.85546875" style="178" customWidth="1"/>
    <col min="3" max="3" width="41" style="178" customWidth="1"/>
    <col min="4" max="5" width="7.7109375" style="178" customWidth="1"/>
    <col min="6" max="6" width="15.28515625" style="178" bestFit="1" customWidth="1"/>
    <col min="7" max="7" width="15.28515625" style="178" customWidth="1"/>
    <col min="8" max="8" width="13" style="178" customWidth="1"/>
    <col min="9" max="9" width="6.5703125" style="153" bestFit="1" customWidth="1"/>
    <col min="10" max="10" width="11.7109375" style="162" customWidth="1"/>
    <col min="11" max="16384" width="9.140625" style="162"/>
  </cols>
  <sheetData>
    <row r="1" spans="1:10" x14ac:dyDescent="0.2">
      <c r="A1" s="114" t="s">
        <v>0</v>
      </c>
      <c r="H1" s="184" t="s">
        <v>1</v>
      </c>
      <c r="I1" s="153" t="s">
        <v>65</v>
      </c>
    </row>
    <row r="2" spans="1:10" x14ac:dyDescent="0.2">
      <c r="A2" s="114" t="s">
        <v>2</v>
      </c>
      <c r="I2" s="115"/>
    </row>
    <row r="3" spans="1:10" x14ac:dyDescent="0.2">
      <c r="A3" s="114" t="s">
        <v>3</v>
      </c>
      <c r="I3" s="115"/>
    </row>
    <row r="4" spans="1:10" x14ac:dyDescent="0.2">
      <c r="A4" s="114" t="s">
        <v>146</v>
      </c>
      <c r="I4" s="115"/>
    </row>
    <row r="5" spans="1:10" x14ac:dyDescent="0.2">
      <c r="A5" s="114"/>
      <c r="I5" s="115"/>
    </row>
    <row r="6" spans="1:10" ht="25.5" x14ac:dyDescent="0.2">
      <c r="D6" s="116" t="s">
        <v>147</v>
      </c>
      <c r="E6" s="116" t="s">
        <v>143</v>
      </c>
      <c r="F6" s="116" t="s">
        <v>148</v>
      </c>
      <c r="G6" s="116" t="s">
        <v>149</v>
      </c>
      <c r="H6" s="154" t="s">
        <v>150</v>
      </c>
      <c r="I6" s="116" t="s">
        <v>143</v>
      </c>
    </row>
    <row r="7" spans="1:10" x14ac:dyDescent="0.2">
      <c r="A7" s="114" t="s">
        <v>151</v>
      </c>
    </row>
    <row r="8" spans="1:10" x14ac:dyDescent="0.2">
      <c r="B8" s="178" t="s">
        <v>152</v>
      </c>
      <c r="D8" s="153" t="s">
        <v>153</v>
      </c>
      <c r="E8" s="153"/>
      <c r="F8" s="179">
        <v>34246528.472694673</v>
      </c>
      <c r="G8" s="179">
        <f>F8</f>
        <v>34246528.472694673</v>
      </c>
      <c r="H8" s="179"/>
      <c r="I8" s="153" t="s">
        <v>154</v>
      </c>
      <c r="J8" s="197" t="s">
        <v>275</v>
      </c>
    </row>
    <row r="9" spans="1:10" x14ac:dyDescent="0.2">
      <c r="B9" s="178" t="s">
        <v>155</v>
      </c>
      <c r="D9" s="153" t="s">
        <v>156</v>
      </c>
      <c r="E9" s="153"/>
      <c r="F9" s="180">
        <v>2652017.884348169</v>
      </c>
      <c r="G9" s="180">
        <f>F9</f>
        <v>2652017.884348169</v>
      </c>
      <c r="H9" s="179"/>
      <c r="I9" s="153" t="s">
        <v>154</v>
      </c>
      <c r="J9" s="197" t="s">
        <v>275</v>
      </c>
    </row>
    <row r="10" spans="1:10" x14ac:dyDescent="0.2">
      <c r="D10" s="153" t="s">
        <v>157</v>
      </c>
      <c r="E10" s="153" t="s">
        <v>158</v>
      </c>
      <c r="F10" s="179">
        <v>36898546.357042842</v>
      </c>
      <c r="G10" s="179">
        <f>SUM(G8:G9)</f>
        <v>36898546.357042842</v>
      </c>
      <c r="H10" s="179"/>
    </row>
    <row r="11" spans="1:10" x14ac:dyDescent="0.2">
      <c r="D11" s="153"/>
      <c r="E11" s="153"/>
      <c r="F11" s="179">
        <v>0</v>
      </c>
      <c r="G11" s="179"/>
      <c r="H11" s="179"/>
    </row>
    <row r="12" spans="1:10" x14ac:dyDescent="0.2">
      <c r="B12" s="178" t="s">
        <v>159</v>
      </c>
      <c r="D12" s="153" t="s">
        <v>160</v>
      </c>
      <c r="E12" s="153"/>
      <c r="F12" s="181">
        <v>0.92120724639247553</v>
      </c>
      <c r="G12" s="181">
        <v>1</v>
      </c>
      <c r="H12" s="64"/>
    </row>
    <row r="13" spans="1:10" x14ac:dyDescent="0.2">
      <c r="B13" s="178" t="s">
        <v>161</v>
      </c>
      <c r="D13" s="153" t="s">
        <v>162</v>
      </c>
      <c r="E13" s="153" t="s">
        <v>163</v>
      </c>
      <c r="F13" s="179">
        <v>33991208.285456546</v>
      </c>
      <c r="G13" s="179">
        <f>G10*G12</f>
        <v>36898546.357042842</v>
      </c>
      <c r="H13" s="179"/>
    </row>
    <row r="14" spans="1:10" x14ac:dyDescent="0.2">
      <c r="B14" s="178" t="s">
        <v>164</v>
      </c>
      <c r="D14" s="153" t="s">
        <v>165</v>
      </c>
      <c r="E14" s="153"/>
      <c r="F14" s="117">
        <v>6.2E-2</v>
      </c>
      <c r="G14" s="117">
        <v>1.4500000000000001E-2</v>
      </c>
      <c r="H14" s="182"/>
    </row>
    <row r="15" spans="1:10" x14ac:dyDescent="0.2">
      <c r="B15" s="178" t="s">
        <v>166</v>
      </c>
      <c r="D15" s="153" t="s">
        <v>167</v>
      </c>
      <c r="E15" s="153" t="s">
        <v>168</v>
      </c>
      <c r="F15" s="183">
        <v>2107454.9136983058</v>
      </c>
      <c r="G15" s="183">
        <f>G13*G14</f>
        <v>535028.92217712128</v>
      </c>
      <c r="H15" s="179"/>
    </row>
    <row r="16" spans="1:10" x14ac:dyDescent="0.2">
      <c r="D16" s="153"/>
      <c r="E16" s="153"/>
      <c r="F16" s="179">
        <v>0</v>
      </c>
      <c r="G16" s="179"/>
      <c r="H16" s="179"/>
    </row>
    <row r="17" spans="1:10" x14ac:dyDescent="0.2">
      <c r="C17" s="114" t="s">
        <v>169</v>
      </c>
      <c r="D17" s="115"/>
      <c r="E17" s="153" t="s">
        <v>167</v>
      </c>
      <c r="F17" s="118">
        <v>2107454.9136983058</v>
      </c>
      <c r="G17" s="118">
        <f>G15</f>
        <v>535028.92217712128</v>
      </c>
      <c r="H17" s="118">
        <f>G17+F17</f>
        <v>2642483.8358754274</v>
      </c>
      <c r="I17" s="153" t="s">
        <v>154</v>
      </c>
      <c r="J17" s="197" t="s">
        <v>275</v>
      </c>
    </row>
    <row r="18" spans="1:10" x14ac:dyDescent="0.2">
      <c r="D18" s="153"/>
      <c r="E18" s="153"/>
    </row>
    <row r="19" spans="1:10" x14ac:dyDescent="0.2">
      <c r="D19" s="153"/>
      <c r="E19" s="153"/>
    </row>
    <row r="20" spans="1:10" x14ac:dyDescent="0.2">
      <c r="A20" s="114" t="s">
        <v>170</v>
      </c>
      <c r="D20" s="153"/>
      <c r="E20" s="153"/>
    </row>
    <row r="21" spans="1:10" x14ac:dyDescent="0.2">
      <c r="B21" s="178" t="s">
        <v>171</v>
      </c>
      <c r="D21" s="153" t="s">
        <v>172</v>
      </c>
      <c r="E21" s="153"/>
      <c r="F21" s="108">
        <f>'13.2.2'!H11</f>
        <v>14090797.401403984</v>
      </c>
      <c r="G21" s="108">
        <f>F21</f>
        <v>14090797.401403984</v>
      </c>
      <c r="H21" s="108"/>
      <c r="I21" s="153" t="s">
        <v>42</v>
      </c>
    </row>
    <row r="22" spans="1:10" x14ac:dyDescent="0.2">
      <c r="B22" s="178" t="s">
        <v>173</v>
      </c>
      <c r="D22" s="153" t="s">
        <v>174</v>
      </c>
      <c r="E22" s="153"/>
      <c r="F22" s="110">
        <f>'13.2.2'!H13</f>
        <v>883568.58662282676</v>
      </c>
      <c r="G22" s="180">
        <f>F22</f>
        <v>883568.58662282676</v>
      </c>
      <c r="H22" s="179"/>
      <c r="I22" s="153" t="s">
        <v>42</v>
      </c>
    </row>
    <row r="23" spans="1:10" x14ac:dyDescent="0.2">
      <c r="D23" s="153" t="s">
        <v>175</v>
      </c>
      <c r="E23" s="153" t="s">
        <v>176</v>
      </c>
      <c r="F23" s="179">
        <f>SUM(F21:F22)</f>
        <v>14974365.988026811</v>
      </c>
      <c r="G23" s="179">
        <f>SUM(G21:G22)</f>
        <v>14974365.988026811</v>
      </c>
      <c r="H23" s="179"/>
    </row>
    <row r="24" spans="1:10" x14ac:dyDescent="0.2">
      <c r="D24" s="153"/>
      <c r="E24" s="153"/>
      <c r="F24" s="179"/>
      <c r="G24" s="179"/>
      <c r="H24" s="179"/>
    </row>
    <row r="25" spans="1:10" x14ac:dyDescent="0.2">
      <c r="B25" s="178" t="s">
        <v>159</v>
      </c>
      <c r="D25" s="153" t="s">
        <v>177</v>
      </c>
      <c r="E25" s="153"/>
      <c r="F25" s="181">
        <v>0.92647788421366672</v>
      </c>
      <c r="G25" s="181">
        <v>1</v>
      </c>
      <c r="H25" s="108" t="s">
        <v>49</v>
      </c>
    </row>
    <row r="26" spans="1:10" x14ac:dyDescent="0.2">
      <c r="B26" s="178" t="s">
        <v>161</v>
      </c>
      <c r="D26" s="153" t="s">
        <v>178</v>
      </c>
      <c r="E26" s="153" t="s">
        <v>179</v>
      </c>
      <c r="F26" s="179">
        <f>F23*F25</f>
        <v>13873418.918028172</v>
      </c>
      <c r="G26" s="179">
        <f>G23*G25</f>
        <v>14974365.988026811</v>
      </c>
      <c r="H26" s="108"/>
    </row>
    <row r="27" spans="1:10" x14ac:dyDescent="0.2">
      <c r="B27" s="178" t="s">
        <v>164</v>
      </c>
      <c r="D27" s="153" t="s">
        <v>180</v>
      </c>
      <c r="E27" s="153"/>
      <c r="F27" s="117">
        <v>6.2E-2</v>
      </c>
      <c r="G27" s="117">
        <v>1.4500000000000001E-2</v>
      </c>
      <c r="H27" s="179"/>
    </row>
    <row r="28" spans="1:10" x14ac:dyDescent="0.2">
      <c r="B28" s="178" t="s">
        <v>166</v>
      </c>
      <c r="D28" s="153" t="s">
        <v>181</v>
      </c>
      <c r="E28" s="153" t="s">
        <v>182</v>
      </c>
      <c r="F28" s="183">
        <f>F26*F27</f>
        <v>860151.97291774664</v>
      </c>
      <c r="G28" s="183">
        <f>G26*G27</f>
        <v>217128.30682638875</v>
      </c>
    </row>
    <row r="29" spans="1:10" x14ac:dyDescent="0.2">
      <c r="D29" s="153"/>
      <c r="E29" s="153"/>
      <c r="F29" s="179"/>
      <c r="G29" s="179"/>
      <c r="H29" s="64"/>
    </row>
    <row r="30" spans="1:10" x14ac:dyDescent="0.2">
      <c r="C30" s="114" t="s">
        <v>183</v>
      </c>
      <c r="E30" s="153" t="s">
        <v>181</v>
      </c>
      <c r="F30" s="118">
        <f>F28</f>
        <v>860151.97291774664</v>
      </c>
      <c r="G30" s="118">
        <f>G28</f>
        <v>217128.30682638875</v>
      </c>
      <c r="H30" s="118">
        <f>G30+F30</f>
        <v>1077280.2797441354</v>
      </c>
      <c r="I30" s="153" t="s">
        <v>42</v>
      </c>
    </row>
    <row r="31" spans="1:10" x14ac:dyDescent="0.2">
      <c r="C31" s="114"/>
      <c r="D31" s="114"/>
      <c r="E31" s="114"/>
      <c r="F31" s="62"/>
      <c r="G31" s="62"/>
      <c r="H31" s="62"/>
    </row>
    <row r="32" spans="1:10" x14ac:dyDescent="0.2">
      <c r="F32" s="23"/>
      <c r="G32" s="23"/>
      <c r="H32" s="23"/>
      <c r="I32" s="119"/>
    </row>
    <row r="33" spans="6:9" x14ac:dyDescent="0.2">
      <c r="F33" s="23"/>
      <c r="G33" s="23"/>
      <c r="H33" s="23"/>
      <c r="I33" s="119"/>
    </row>
    <row r="34" spans="6:9" x14ac:dyDescent="0.2">
      <c r="I34" s="119"/>
    </row>
    <row r="35" spans="6:9" x14ac:dyDescent="0.2">
      <c r="H35" s="178" t="s">
        <v>49</v>
      </c>
    </row>
  </sheetData>
  <pageMargins left="0.7" right="0.7" top="0.75" bottom="0.75" header="0.3" footer="0.3"/>
  <pageSetup scale="70" fitToHeight="0" orientation="portrait" r:id="rId1"/>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EF27D-2200-454C-AD1D-11D4B6C3B06C}">
  <sheetPr>
    <pageSetUpPr fitToPage="1"/>
  </sheetPr>
  <dimension ref="A1:M81"/>
  <sheetViews>
    <sheetView view="pageBreakPreview" topLeftCell="A55" zoomScale="80" zoomScaleNormal="100" zoomScaleSheetLayoutView="80" workbookViewId="0">
      <selection activeCell="N60" sqref="N60"/>
    </sheetView>
  </sheetViews>
  <sheetFormatPr defaultRowHeight="12.75" x14ac:dyDescent="0.2"/>
  <cols>
    <col min="1" max="1" width="18" style="121" customWidth="1"/>
    <col min="2" max="2" width="19.7109375" style="121" customWidth="1"/>
    <col min="3" max="3" width="14.28515625" style="121" customWidth="1"/>
    <col min="4" max="4" width="2.7109375" style="121" customWidth="1"/>
    <col min="5" max="6" width="19.140625" style="121" customWidth="1"/>
    <col min="7" max="7" width="2.7109375" style="121" customWidth="1"/>
    <col min="8" max="8" width="19.28515625" style="121" customWidth="1"/>
    <col min="9" max="9" width="19" style="121" customWidth="1"/>
    <col min="10" max="16384" width="9.140625" style="162"/>
  </cols>
  <sheetData>
    <row r="1" spans="1:13" x14ac:dyDescent="0.2">
      <c r="A1" s="120" t="s">
        <v>0</v>
      </c>
      <c r="F1" s="185"/>
      <c r="H1" s="155"/>
      <c r="I1" s="185" t="s">
        <v>272</v>
      </c>
    </row>
    <row r="2" spans="1:13" x14ac:dyDescent="0.2">
      <c r="A2" s="120" t="s">
        <v>2</v>
      </c>
    </row>
    <row r="3" spans="1:13" x14ac:dyDescent="0.2">
      <c r="A3" s="120" t="s">
        <v>3</v>
      </c>
    </row>
    <row r="4" spans="1:13" x14ac:dyDescent="0.2">
      <c r="A4" s="120" t="s">
        <v>184</v>
      </c>
    </row>
    <row r="6" spans="1:13" x14ac:dyDescent="0.2">
      <c r="A6" s="122" t="s">
        <v>185</v>
      </c>
      <c r="B6" s="122"/>
      <c r="C6" s="122"/>
      <c r="D6" s="122"/>
      <c r="E6" s="122"/>
      <c r="F6" s="122"/>
      <c r="G6" s="122"/>
      <c r="H6" s="122"/>
      <c r="I6" s="122"/>
    </row>
    <row r="7" spans="1:13" ht="38.25" x14ac:dyDescent="0.2">
      <c r="A7" s="123" t="s">
        <v>186</v>
      </c>
      <c r="B7" s="124" t="s">
        <v>187</v>
      </c>
      <c r="C7" s="125" t="s">
        <v>188</v>
      </c>
      <c r="D7" s="126" t="s">
        <v>189</v>
      </c>
      <c r="E7" s="127" t="s">
        <v>190</v>
      </c>
      <c r="F7" s="128" t="s">
        <v>191</v>
      </c>
      <c r="G7" s="126" t="s">
        <v>192</v>
      </c>
      <c r="H7" s="127" t="s">
        <v>190</v>
      </c>
      <c r="I7" s="128" t="s">
        <v>193</v>
      </c>
      <c r="K7" s="188" t="s">
        <v>6</v>
      </c>
      <c r="L7" s="188" t="s">
        <v>9</v>
      </c>
      <c r="M7" s="162" t="s">
        <v>274</v>
      </c>
    </row>
    <row r="8" spans="1:13" x14ac:dyDescent="0.2">
      <c r="A8" s="186" t="s">
        <v>194</v>
      </c>
      <c r="B8" s="129">
        <v>52403962.587640837</v>
      </c>
      <c r="C8" s="130">
        <f t="shared" ref="C8:C71" si="0">B8/B$81</f>
        <v>7.1422778867538561E-2</v>
      </c>
      <c r="D8" s="186"/>
      <c r="E8" s="129">
        <f t="shared" ref="E8:E71" si="1">$C8*E$81</f>
        <v>2956138.1916046008</v>
      </c>
      <c r="F8" s="187">
        <v>55975302.106239393</v>
      </c>
      <c r="G8" s="186"/>
      <c r="H8" s="129">
        <f t="shared" ref="H8:H71" si="2">$C8*H$81</f>
        <v>990322.07052309427</v>
      </c>
      <c r="I8" s="187">
        <f t="shared" ref="I8:I71" si="3">F8+H8</f>
        <v>56965624.176762484</v>
      </c>
      <c r="K8" s="162" t="str">
        <f>LEFT(A8,3)</f>
        <v>500</v>
      </c>
      <c r="L8" s="162" t="str">
        <f>MID(A8,4,4)</f>
        <v>CAGE</v>
      </c>
      <c r="M8" s="162" t="str">
        <f>IF(OR(L8="CA"),"Situs",IF(OR(L8="OR"),"Situs",IF(OR(L8="WA"),"Situs",IF(OR(L8="WYP"),"Situs",IF(OR(L8="ID"),"Situs",IF(OR(L8="UT"),"Situs",IF(OR(L8="WYU"),"Situs",IF(OR(L8="OTHER"),"Situs","System"))))))))</f>
        <v>System</v>
      </c>
    </row>
    <row r="9" spans="1:13" x14ac:dyDescent="0.2">
      <c r="A9" s="186" t="s">
        <v>195</v>
      </c>
      <c r="B9" s="129">
        <v>718.22749543759471</v>
      </c>
      <c r="C9" s="130">
        <f t="shared" si="0"/>
        <v>9.7889169158600375E-7</v>
      </c>
      <c r="D9" s="186"/>
      <c r="E9" s="129">
        <f t="shared" si="1"/>
        <v>40.515633259083586</v>
      </c>
      <c r="F9" s="187">
        <v>767.17482901967946</v>
      </c>
      <c r="G9" s="186"/>
      <c r="H9" s="129">
        <f t="shared" si="2"/>
        <v>13.572953365861029</v>
      </c>
      <c r="I9" s="187">
        <f t="shared" si="3"/>
        <v>780.74778238554052</v>
      </c>
      <c r="K9" s="162" t="str">
        <f t="shared" ref="K9:K72" si="4">LEFT(A9,3)</f>
        <v>500</v>
      </c>
      <c r="L9" s="162" t="str">
        <f t="shared" ref="L9:L72" si="5">MID(A9,4,4)</f>
        <v>CAGW</v>
      </c>
      <c r="M9" s="162" t="str">
        <f t="shared" ref="M9:M72" si="6">IF(OR(L9="CA"),"Situs",IF(OR(L9="OR"),"Situs",IF(OR(L9="WA"),"Situs",IF(OR(L9="WYP"),"Situs",IF(OR(L9="ID"),"Situs",IF(OR(L9="UT"),"Situs",IF(OR(L9="WYU"),"Situs",IF(OR(L9="OTHER"),"Situs","System"))))))))</f>
        <v>System</v>
      </c>
    </row>
    <row r="10" spans="1:13" x14ac:dyDescent="0.2">
      <c r="A10" s="186" t="s">
        <v>196</v>
      </c>
      <c r="B10" s="129">
        <v>7518243.9189972989</v>
      </c>
      <c r="C10" s="130">
        <f t="shared" si="0"/>
        <v>1.0246818110380888E-2</v>
      </c>
      <c r="D10" s="186"/>
      <c r="E10" s="129">
        <f t="shared" si="1"/>
        <v>424108.5384636274</v>
      </c>
      <c r="F10" s="187">
        <v>8030613.600459341</v>
      </c>
      <c r="G10" s="186"/>
      <c r="H10" s="129">
        <f t="shared" si="2"/>
        <v>142078.62377023837</v>
      </c>
      <c r="I10" s="187">
        <f t="shared" si="3"/>
        <v>8172692.2242295798</v>
      </c>
      <c r="K10" s="162" t="str">
        <f t="shared" si="4"/>
        <v>500</v>
      </c>
      <c r="L10" s="162" t="str">
        <f t="shared" si="5"/>
        <v>JBG</v>
      </c>
      <c r="M10" s="162" t="str">
        <f t="shared" si="6"/>
        <v>System</v>
      </c>
    </row>
    <row r="11" spans="1:13" x14ac:dyDescent="0.2">
      <c r="A11" s="186" t="s">
        <v>197</v>
      </c>
      <c r="B11" s="129">
        <v>2518383.2105374872</v>
      </c>
      <c r="C11" s="130">
        <f t="shared" si="0"/>
        <v>3.4323726349724938E-3</v>
      </c>
      <c r="D11" s="186"/>
      <c r="E11" s="129">
        <f t="shared" si="1"/>
        <v>142063.47043537244</v>
      </c>
      <c r="F11" s="187">
        <v>2690011.481352428</v>
      </c>
      <c r="G11" s="186"/>
      <c r="H11" s="129">
        <f t="shared" si="2"/>
        <v>47592.020761007865</v>
      </c>
      <c r="I11" s="187">
        <f t="shared" si="3"/>
        <v>2737603.5021134359</v>
      </c>
      <c r="K11" s="162" t="str">
        <f t="shared" si="4"/>
        <v>500</v>
      </c>
      <c r="L11" s="162" t="str">
        <f t="shared" si="5"/>
        <v>SG</v>
      </c>
      <c r="M11" s="162" t="str">
        <f t="shared" si="6"/>
        <v>System</v>
      </c>
    </row>
    <row r="12" spans="1:13" x14ac:dyDescent="0.2">
      <c r="A12" s="186" t="s">
        <v>198</v>
      </c>
      <c r="B12" s="129">
        <v>94269.832175225616</v>
      </c>
      <c r="C12" s="130">
        <f t="shared" si="0"/>
        <v>1.2848290558315628E-4</v>
      </c>
      <c r="D12" s="186"/>
      <c r="E12" s="129">
        <f t="shared" si="1"/>
        <v>5317.8163911418496</v>
      </c>
      <c r="F12" s="187">
        <v>100694.3382704658</v>
      </c>
      <c r="G12" s="186"/>
      <c r="H12" s="129">
        <f t="shared" si="2"/>
        <v>1781.4968711860708</v>
      </c>
      <c r="I12" s="187">
        <f t="shared" si="3"/>
        <v>102475.83514165187</v>
      </c>
      <c r="K12" s="162" t="str">
        <f t="shared" si="4"/>
        <v>501</v>
      </c>
      <c r="L12" s="162" t="str">
        <f t="shared" si="5"/>
        <v>SE</v>
      </c>
      <c r="M12" s="162" t="str">
        <f t="shared" si="6"/>
        <v>System</v>
      </c>
    </row>
    <row r="13" spans="1:13" x14ac:dyDescent="0.2">
      <c r="A13" s="186" t="s">
        <v>199</v>
      </c>
      <c r="B13" s="129">
        <v>31713335.898900937</v>
      </c>
      <c r="C13" s="130">
        <f t="shared" si="0"/>
        <v>4.3222963783913812E-2</v>
      </c>
      <c r="D13" s="186"/>
      <c r="E13" s="129">
        <f t="shared" si="1"/>
        <v>1788967.8338186671</v>
      </c>
      <c r="F13" s="187">
        <v>33874605.470317788</v>
      </c>
      <c r="G13" s="186"/>
      <c r="H13" s="129">
        <f t="shared" si="2"/>
        <v>599313.7717032294</v>
      </c>
      <c r="I13" s="187">
        <f t="shared" si="3"/>
        <v>34473919.242021017</v>
      </c>
      <c r="K13" s="162" t="str">
        <f t="shared" si="4"/>
        <v>512</v>
      </c>
      <c r="L13" s="162" t="str">
        <f t="shared" si="5"/>
        <v>CAGE</v>
      </c>
      <c r="M13" s="162" t="str">
        <f t="shared" si="6"/>
        <v>System</v>
      </c>
    </row>
    <row r="14" spans="1:13" x14ac:dyDescent="0.2">
      <c r="A14" s="186" t="s">
        <v>200</v>
      </c>
      <c r="B14" s="129">
        <v>16126338.359294053</v>
      </c>
      <c r="C14" s="130">
        <f t="shared" si="0"/>
        <v>2.197902299187211E-2</v>
      </c>
      <c r="D14" s="186"/>
      <c r="E14" s="129">
        <f t="shared" si="1"/>
        <v>909696.18251522293</v>
      </c>
      <c r="F14" s="187">
        <v>17225351.232156869</v>
      </c>
      <c r="G14" s="186"/>
      <c r="H14" s="129">
        <f t="shared" si="2"/>
        <v>304753.07601449551</v>
      </c>
      <c r="I14" s="187">
        <f t="shared" si="3"/>
        <v>17530104.308171365</v>
      </c>
      <c r="K14" s="162" t="str">
        <f t="shared" si="4"/>
        <v>512</v>
      </c>
      <c r="L14" s="162" t="str">
        <f t="shared" si="5"/>
        <v>JBG</v>
      </c>
      <c r="M14" s="162" t="str">
        <f t="shared" si="6"/>
        <v>System</v>
      </c>
    </row>
    <row r="15" spans="1:13" x14ac:dyDescent="0.2">
      <c r="A15" s="186" t="s">
        <v>201</v>
      </c>
      <c r="B15" s="129">
        <v>215138.68705817108</v>
      </c>
      <c r="C15" s="130">
        <f t="shared" si="0"/>
        <v>2.9321833908858391E-4</v>
      </c>
      <c r="D15" s="186"/>
      <c r="E15" s="129">
        <f t="shared" si="1"/>
        <v>12136.099216556615</v>
      </c>
      <c r="F15" s="187">
        <v>229800.42745204468</v>
      </c>
      <c r="G15" s="186"/>
      <c r="H15" s="129">
        <f t="shared" si="2"/>
        <v>4065.6580055515915</v>
      </c>
      <c r="I15" s="187">
        <f t="shared" si="3"/>
        <v>233866.08545759626</v>
      </c>
      <c r="K15" s="162" t="str">
        <f t="shared" si="4"/>
        <v>512</v>
      </c>
      <c r="L15" s="162" t="str">
        <f t="shared" si="5"/>
        <v>SG</v>
      </c>
      <c r="M15" s="162" t="str">
        <f t="shared" si="6"/>
        <v>System</v>
      </c>
    </row>
    <row r="16" spans="1:13" x14ac:dyDescent="0.2">
      <c r="A16" s="186" t="s">
        <v>202</v>
      </c>
      <c r="B16" s="129">
        <v>13054351.29924472</v>
      </c>
      <c r="C16" s="130">
        <f t="shared" si="0"/>
        <v>1.7792128687707603E-2</v>
      </c>
      <c r="D16" s="186"/>
      <c r="E16" s="129">
        <f t="shared" si="1"/>
        <v>736403.595010233</v>
      </c>
      <c r="F16" s="187">
        <v>13944007.698924245</v>
      </c>
      <c r="G16" s="186"/>
      <c r="H16" s="129">
        <f t="shared" si="2"/>
        <v>246699.13437143157</v>
      </c>
      <c r="I16" s="187">
        <f t="shared" si="3"/>
        <v>14190706.833295677</v>
      </c>
      <c r="K16" s="162" t="str">
        <f t="shared" si="4"/>
        <v>535</v>
      </c>
      <c r="L16" s="162" t="str">
        <f t="shared" si="5"/>
        <v>SG-P</v>
      </c>
      <c r="M16" s="162" t="str">
        <f t="shared" si="6"/>
        <v>System</v>
      </c>
    </row>
    <row r="17" spans="1:13" x14ac:dyDescent="0.2">
      <c r="A17" s="186" t="s">
        <v>203</v>
      </c>
      <c r="B17" s="129">
        <v>8757530.253744211</v>
      </c>
      <c r="C17" s="130">
        <f t="shared" si="0"/>
        <v>1.1935874995958209E-2</v>
      </c>
      <c r="D17" s="186"/>
      <c r="E17" s="129">
        <f t="shared" si="1"/>
        <v>494017.40572442202</v>
      </c>
      <c r="F17" s="187">
        <v>9354357.5228312127</v>
      </c>
      <c r="G17" s="186"/>
      <c r="H17" s="129">
        <f t="shared" si="2"/>
        <v>165498.46739265535</v>
      </c>
      <c r="I17" s="187">
        <f t="shared" si="3"/>
        <v>9519855.9902238678</v>
      </c>
      <c r="K17" s="162" t="str">
        <f t="shared" si="4"/>
        <v>535</v>
      </c>
      <c r="L17" s="162" t="str">
        <f t="shared" si="5"/>
        <v>SG-U</v>
      </c>
      <c r="M17" s="162" t="str">
        <f t="shared" si="6"/>
        <v>System</v>
      </c>
    </row>
    <row r="18" spans="1:13" x14ac:dyDescent="0.2">
      <c r="A18" s="186" t="s">
        <v>204</v>
      </c>
      <c r="B18" s="129">
        <v>2254675.3482661643</v>
      </c>
      <c r="C18" s="130">
        <f t="shared" si="0"/>
        <v>3.0729580525134552E-3</v>
      </c>
      <c r="D18" s="186"/>
      <c r="E18" s="129">
        <f t="shared" si="1"/>
        <v>127187.55562677515</v>
      </c>
      <c r="F18" s="187">
        <v>2408331.8806210663</v>
      </c>
      <c r="G18" s="186"/>
      <c r="H18" s="129">
        <f t="shared" si="2"/>
        <v>42608.509910258814</v>
      </c>
      <c r="I18" s="187">
        <f t="shared" si="3"/>
        <v>2450940.3905313252</v>
      </c>
      <c r="K18" s="162" t="str">
        <f t="shared" si="4"/>
        <v>545</v>
      </c>
      <c r="L18" s="162" t="str">
        <f t="shared" si="5"/>
        <v>SG-P</v>
      </c>
      <c r="M18" s="162" t="str">
        <f t="shared" si="6"/>
        <v>System</v>
      </c>
    </row>
    <row r="19" spans="1:13" x14ac:dyDescent="0.2">
      <c r="A19" s="186" t="s">
        <v>205</v>
      </c>
      <c r="B19" s="129">
        <v>441324.96099040727</v>
      </c>
      <c r="C19" s="130">
        <f t="shared" si="0"/>
        <v>6.0149373331887886E-4</v>
      </c>
      <c r="D19" s="186"/>
      <c r="E19" s="129">
        <f t="shared" si="1"/>
        <v>24895.399272722938</v>
      </c>
      <c r="F19" s="187">
        <v>471401.33681967953</v>
      </c>
      <c r="G19" s="186"/>
      <c r="H19" s="129">
        <f t="shared" si="2"/>
        <v>8340.0916182743113</v>
      </c>
      <c r="I19" s="187">
        <f t="shared" si="3"/>
        <v>479741.42843795387</v>
      </c>
      <c r="K19" s="162" t="str">
        <f t="shared" si="4"/>
        <v>545</v>
      </c>
      <c r="L19" s="162" t="str">
        <f t="shared" si="5"/>
        <v>SG-U</v>
      </c>
      <c r="M19" s="162" t="str">
        <f t="shared" si="6"/>
        <v>System</v>
      </c>
    </row>
    <row r="20" spans="1:13" x14ac:dyDescent="0.2">
      <c r="A20" s="186" t="s">
        <v>206</v>
      </c>
      <c r="B20" s="129">
        <v>5815268.5685472023</v>
      </c>
      <c r="C20" s="130">
        <f t="shared" si="0"/>
        <v>7.9257869160575742E-3</v>
      </c>
      <c r="D20" s="186"/>
      <c r="E20" s="129">
        <f t="shared" si="1"/>
        <v>328042.70251834998</v>
      </c>
      <c r="F20" s="187">
        <v>6211580.1721856408</v>
      </c>
      <c r="G20" s="186"/>
      <c r="H20" s="129">
        <f t="shared" si="2"/>
        <v>109896.0560438565</v>
      </c>
      <c r="I20" s="187">
        <f t="shared" si="3"/>
        <v>6321476.2282294976</v>
      </c>
      <c r="K20" s="162" t="str">
        <f t="shared" si="4"/>
        <v>548</v>
      </c>
      <c r="L20" s="162" t="str">
        <f t="shared" si="5"/>
        <v>CAGE</v>
      </c>
      <c r="M20" s="162" t="str">
        <f t="shared" si="6"/>
        <v>System</v>
      </c>
    </row>
    <row r="21" spans="1:13" x14ac:dyDescent="0.2">
      <c r="A21" s="186" t="s">
        <v>207</v>
      </c>
      <c r="B21" s="129">
        <v>2193135.1914980104</v>
      </c>
      <c r="C21" s="130">
        <f t="shared" si="0"/>
        <v>2.9890833073360338E-3</v>
      </c>
      <c r="D21" s="186"/>
      <c r="E21" s="129">
        <f t="shared" si="1"/>
        <v>123716.0393757774</v>
      </c>
      <c r="F21" s="187">
        <v>2342597.7510502012</v>
      </c>
      <c r="G21" s="186"/>
      <c r="H21" s="129">
        <f t="shared" si="2"/>
        <v>41445.53343936638</v>
      </c>
      <c r="I21" s="187">
        <f t="shared" si="3"/>
        <v>2384043.2844895674</v>
      </c>
      <c r="K21" s="162" t="str">
        <f t="shared" si="4"/>
        <v>548</v>
      </c>
      <c r="L21" s="162" t="str">
        <f t="shared" si="5"/>
        <v>CAGW</v>
      </c>
      <c r="M21" s="162" t="str">
        <f t="shared" si="6"/>
        <v>System</v>
      </c>
    </row>
    <row r="22" spans="1:13" x14ac:dyDescent="0.2">
      <c r="A22" s="186" t="s">
        <v>208</v>
      </c>
      <c r="B22" s="129">
        <v>3144929.6502573872</v>
      </c>
      <c r="C22" s="130">
        <f t="shared" si="0"/>
        <v>4.2863097344717589E-3</v>
      </c>
      <c r="D22" s="186"/>
      <c r="E22" s="129">
        <f t="shared" si="1"/>
        <v>177407.32169800019</v>
      </c>
      <c r="F22" s="187">
        <v>3359257.1741424883</v>
      </c>
      <c r="G22" s="186"/>
      <c r="H22" s="129">
        <f t="shared" si="2"/>
        <v>59432.399557259851</v>
      </c>
      <c r="I22" s="187">
        <f t="shared" si="3"/>
        <v>3418689.5736997481</v>
      </c>
      <c r="K22" s="162" t="str">
        <f t="shared" si="4"/>
        <v>548</v>
      </c>
      <c r="L22" s="162" t="str">
        <f t="shared" si="5"/>
        <v>SG</v>
      </c>
      <c r="M22" s="162" t="str">
        <f t="shared" si="6"/>
        <v>System</v>
      </c>
    </row>
    <row r="23" spans="1:13" x14ac:dyDescent="0.2">
      <c r="A23" s="186" t="s">
        <v>209</v>
      </c>
      <c r="B23" s="129">
        <v>24701.773672979787</v>
      </c>
      <c r="C23" s="130">
        <f t="shared" si="0"/>
        <v>3.3666715865821068E-5</v>
      </c>
      <c r="D23" s="186"/>
      <c r="E23" s="129">
        <f t="shared" si="1"/>
        <v>1393.4415061255386</v>
      </c>
      <c r="F23" s="187">
        <v>26385.204011864043</v>
      </c>
      <c r="G23" s="186"/>
      <c r="H23" s="129">
        <f t="shared" si="2"/>
        <v>466.81034107881743</v>
      </c>
      <c r="I23" s="187">
        <f t="shared" si="3"/>
        <v>26852.014352942861</v>
      </c>
      <c r="K23" s="162" t="str">
        <f t="shared" si="4"/>
        <v>549</v>
      </c>
      <c r="L23" s="162" t="str">
        <f t="shared" si="5"/>
        <v>OR</v>
      </c>
      <c r="M23" s="162" t="str">
        <f t="shared" si="6"/>
        <v>Situs</v>
      </c>
    </row>
    <row r="24" spans="1:13" x14ac:dyDescent="0.2">
      <c r="A24" s="186" t="s">
        <v>210</v>
      </c>
      <c r="B24" s="129">
        <v>2127851.5124999713</v>
      </c>
      <c r="C24" s="130">
        <f t="shared" si="0"/>
        <v>2.9001064143971017E-3</v>
      </c>
      <c r="D24" s="186"/>
      <c r="E24" s="129">
        <f t="shared" si="1"/>
        <v>120033.34884542285</v>
      </c>
      <c r="F24" s="187">
        <v>2272864.9775331118</v>
      </c>
      <c r="G24" s="186"/>
      <c r="H24" s="129">
        <f t="shared" si="2"/>
        <v>40211.812457893291</v>
      </c>
      <c r="I24" s="187">
        <f t="shared" si="3"/>
        <v>2313076.7899910053</v>
      </c>
      <c r="K24" s="162" t="str">
        <f t="shared" si="4"/>
        <v>553</v>
      </c>
      <c r="L24" s="162" t="str">
        <f t="shared" si="5"/>
        <v>CAGE</v>
      </c>
      <c r="M24" s="162" t="str">
        <f t="shared" si="6"/>
        <v>System</v>
      </c>
    </row>
    <row r="25" spans="1:13" x14ac:dyDescent="0.2">
      <c r="A25" s="186" t="s">
        <v>211</v>
      </c>
      <c r="B25" s="129">
        <v>741980.88529306243</v>
      </c>
      <c r="C25" s="130">
        <f t="shared" si="0"/>
        <v>1.0112658294799503E-3</v>
      </c>
      <c r="D25" s="186"/>
      <c r="E25" s="129">
        <f t="shared" si="1"/>
        <v>41855.575879155258</v>
      </c>
      <c r="F25" s="187">
        <v>792547.01668551587</v>
      </c>
      <c r="G25" s="186"/>
      <c r="H25" s="129">
        <f t="shared" si="2"/>
        <v>14021.841294598633</v>
      </c>
      <c r="I25" s="187">
        <f t="shared" si="3"/>
        <v>806568.85798011452</v>
      </c>
      <c r="K25" s="162" t="str">
        <f t="shared" si="4"/>
        <v>553</v>
      </c>
      <c r="L25" s="162" t="str">
        <f t="shared" si="5"/>
        <v>CAGW</v>
      </c>
      <c r="M25" s="162" t="str">
        <f t="shared" si="6"/>
        <v>System</v>
      </c>
    </row>
    <row r="26" spans="1:13" x14ac:dyDescent="0.2">
      <c r="A26" s="186" t="s">
        <v>212</v>
      </c>
      <c r="B26" s="129">
        <v>378847.21153610951</v>
      </c>
      <c r="C26" s="130">
        <f t="shared" si="0"/>
        <v>5.1634111769457481E-4</v>
      </c>
      <c r="D26" s="186"/>
      <c r="E26" s="129">
        <f t="shared" si="1"/>
        <v>21370.992869705773</v>
      </c>
      <c r="F26" s="187">
        <v>404665.7174517074</v>
      </c>
      <c r="G26" s="186"/>
      <c r="H26" s="129">
        <f t="shared" si="2"/>
        <v>7159.3966641909028</v>
      </c>
      <c r="I26" s="187">
        <f t="shared" si="3"/>
        <v>411825.11411589832</v>
      </c>
      <c r="K26" s="162" t="str">
        <f t="shared" si="4"/>
        <v>553</v>
      </c>
      <c r="L26" s="162" t="str">
        <f t="shared" si="5"/>
        <v>SG</v>
      </c>
      <c r="M26" s="162" t="str">
        <f t="shared" si="6"/>
        <v>System</v>
      </c>
    </row>
    <row r="27" spans="1:13" x14ac:dyDescent="0.2">
      <c r="A27" s="186" t="s">
        <v>213</v>
      </c>
      <c r="B27" s="129">
        <v>257623.44884355774</v>
      </c>
      <c r="C27" s="130">
        <f t="shared" si="0"/>
        <v>3.5112197073023694E-4</v>
      </c>
      <c r="D27" s="186"/>
      <c r="E27" s="129">
        <f t="shared" si="1"/>
        <v>14532.689487091327</v>
      </c>
      <c r="F27" s="187">
        <v>275180.5334291734</v>
      </c>
      <c r="G27" s="186"/>
      <c r="H27" s="129">
        <f t="shared" si="2"/>
        <v>4868.5285363176617</v>
      </c>
      <c r="I27" s="187">
        <f t="shared" si="3"/>
        <v>280049.06196549104</v>
      </c>
      <c r="K27" s="162" t="str">
        <f t="shared" si="4"/>
        <v>557</v>
      </c>
      <c r="L27" s="162" t="str">
        <f t="shared" si="5"/>
        <v>CAGE</v>
      </c>
      <c r="M27" s="162" t="str">
        <f t="shared" si="6"/>
        <v>System</v>
      </c>
    </row>
    <row r="28" spans="1:13" x14ac:dyDescent="0.2">
      <c r="A28" s="186" t="s">
        <v>214</v>
      </c>
      <c r="B28" s="129">
        <v>70486.518622616408</v>
      </c>
      <c r="C28" s="130">
        <f t="shared" si="0"/>
        <v>9.6067983872522855E-5</v>
      </c>
      <c r="D28" s="186"/>
      <c r="E28" s="129">
        <f t="shared" si="1"/>
        <v>3976.185757805797</v>
      </c>
      <c r="F28" s="187">
        <v>75290.187602121252</v>
      </c>
      <c r="G28" s="186"/>
      <c r="H28" s="129">
        <f t="shared" si="2"/>
        <v>1332.0434489962993</v>
      </c>
      <c r="I28" s="187">
        <f t="shared" si="3"/>
        <v>76622.231051117546</v>
      </c>
      <c r="K28" s="162" t="str">
        <f t="shared" si="4"/>
        <v>557</v>
      </c>
      <c r="L28" s="162" t="str">
        <f t="shared" si="5"/>
        <v>ID</v>
      </c>
      <c r="M28" s="162" t="str">
        <f t="shared" si="6"/>
        <v>Situs</v>
      </c>
    </row>
    <row r="29" spans="1:13" x14ac:dyDescent="0.2">
      <c r="A29" s="186" t="s">
        <v>215</v>
      </c>
      <c r="B29" s="129">
        <v>83.755119872281028</v>
      </c>
      <c r="C29" s="130">
        <f t="shared" si="0"/>
        <v>1.1415211961610204E-7</v>
      </c>
      <c r="D29" s="186"/>
      <c r="E29" s="129">
        <f t="shared" si="1"/>
        <v>4.7246753178788135</v>
      </c>
      <c r="F29" s="187">
        <v>89.463046424296792</v>
      </c>
      <c r="G29" s="186"/>
      <c r="H29" s="129">
        <f t="shared" si="2"/>
        <v>1.5827914461642123</v>
      </c>
      <c r="I29" s="187">
        <f t="shared" si="3"/>
        <v>91.045837870461</v>
      </c>
      <c r="K29" s="162" t="str">
        <f t="shared" si="4"/>
        <v>557</v>
      </c>
      <c r="L29" s="162" t="str">
        <f t="shared" si="5"/>
        <v>WYU</v>
      </c>
      <c r="M29" s="162" t="str">
        <f t="shared" si="6"/>
        <v>Situs</v>
      </c>
    </row>
    <row r="30" spans="1:13" x14ac:dyDescent="0.2">
      <c r="A30" s="186" t="s">
        <v>216</v>
      </c>
      <c r="B30" s="129">
        <v>29169808.8783747</v>
      </c>
      <c r="C30" s="130">
        <f t="shared" si="0"/>
        <v>3.9756321969817494E-2</v>
      </c>
      <c r="D30" s="186"/>
      <c r="E30" s="129">
        <f t="shared" si="1"/>
        <v>1645485.9863499571</v>
      </c>
      <c r="F30" s="187">
        <v>31157736.623782936</v>
      </c>
      <c r="G30" s="186"/>
      <c r="H30" s="129">
        <f t="shared" si="2"/>
        <v>551246.58706645062</v>
      </c>
      <c r="I30" s="187">
        <f t="shared" si="3"/>
        <v>31708983.210849386</v>
      </c>
      <c r="K30" s="162" t="str">
        <f t="shared" si="4"/>
        <v>557</v>
      </c>
      <c r="L30" s="162" t="str">
        <f t="shared" si="5"/>
        <v>SG</v>
      </c>
      <c r="M30" s="162" t="str">
        <f t="shared" si="6"/>
        <v>System</v>
      </c>
    </row>
    <row r="31" spans="1:13" x14ac:dyDescent="0.2">
      <c r="A31" s="186" t="s">
        <v>217</v>
      </c>
      <c r="B31" s="129">
        <v>23738570.794058576</v>
      </c>
      <c r="C31" s="130">
        <f t="shared" si="0"/>
        <v>3.2353940594090164E-2</v>
      </c>
      <c r="D31" s="186"/>
      <c r="E31" s="129">
        <f t="shared" si="1"/>
        <v>1339106.6681468161</v>
      </c>
      <c r="F31" s="187">
        <v>25356358.682714641</v>
      </c>
      <c r="G31" s="186"/>
      <c r="H31" s="129">
        <f t="shared" si="2"/>
        <v>448607.88038146496</v>
      </c>
      <c r="I31" s="187">
        <f t="shared" si="3"/>
        <v>25804966.563096106</v>
      </c>
      <c r="K31" s="162" t="str">
        <f t="shared" si="4"/>
        <v>560</v>
      </c>
      <c r="L31" s="162" t="str">
        <f t="shared" si="5"/>
        <v>SG</v>
      </c>
      <c r="M31" s="162" t="str">
        <f t="shared" si="6"/>
        <v>System</v>
      </c>
    </row>
    <row r="32" spans="1:13" x14ac:dyDescent="0.2">
      <c r="A32" s="186" t="s">
        <v>218</v>
      </c>
      <c r="B32" s="129">
        <v>15855887.986830797</v>
      </c>
      <c r="C32" s="130">
        <f t="shared" si="0"/>
        <v>2.1610418859793704E-2</v>
      </c>
      <c r="D32" s="186"/>
      <c r="E32" s="129">
        <f t="shared" si="1"/>
        <v>894439.91876159457</v>
      </c>
      <c r="F32" s="187">
        <v>16936469.617945768</v>
      </c>
      <c r="G32" s="186"/>
      <c r="H32" s="129">
        <f t="shared" si="2"/>
        <v>299642.14623731258</v>
      </c>
      <c r="I32" s="187">
        <f t="shared" si="3"/>
        <v>17236111.764183082</v>
      </c>
      <c r="K32" s="162" t="str">
        <f t="shared" si="4"/>
        <v>571</v>
      </c>
      <c r="L32" s="162" t="str">
        <f t="shared" si="5"/>
        <v>SG</v>
      </c>
      <c r="M32" s="162" t="str">
        <f t="shared" si="6"/>
        <v>System</v>
      </c>
    </row>
    <row r="33" spans="1:13" x14ac:dyDescent="0.2">
      <c r="A33" s="186" t="s">
        <v>219</v>
      </c>
      <c r="B33" s="129">
        <v>1366467.499182188</v>
      </c>
      <c r="C33" s="130">
        <f t="shared" si="0"/>
        <v>1.8623955366074835E-3</v>
      </c>
      <c r="D33" s="186"/>
      <c r="E33" s="129">
        <f t="shared" si="1"/>
        <v>77083.231161446151</v>
      </c>
      <c r="F33" s="187">
        <v>1459592.5061422691</v>
      </c>
      <c r="G33" s="186"/>
      <c r="H33" s="129">
        <f t="shared" si="2"/>
        <v>25823.293817322385</v>
      </c>
      <c r="I33" s="187">
        <f t="shared" si="3"/>
        <v>1485415.7999595916</v>
      </c>
      <c r="K33" s="162" t="str">
        <f t="shared" si="4"/>
        <v>580</v>
      </c>
      <c r="L33" s="162" t="str">
        <f t="shared" si="5"/>
        <v>CA</v>
      </c>
      <c r="M33" s="162" t="str">
        <f t="shared" si="6"/>
        <v>Situs</v>
      </c>
    </row>
    <row r="34" spans="1:13" x14ac:dyDescent="0.2">
      <c r="A34" s="186" t="s">
        <v>220</v>
      </c>
      <c r="B34" s="129">
        <v>1572884.3828931206</v>
      </c>
      <c r="C34" s="130">
        <f t="shared" si="0"/>
        <v>2.1437266938678962E-3</v>
      </c>
      <c r="D34" s="186"/>
      <c r="E34" s="129">
        <f t="shared" si="1"/>
        <v>88727.328347978473</v>
      </c>
      <c r="F34" s="187">
        <v>1680076.7377731218</v>
      </c>
      <c r="G34" s="186"/>
      <c r="H34" s="129">
        <f t="shared" si="2"/>
        <v>29724.128517096531</v>
      </c>
      <c r="I34" s="187">
        <f t="shared" si="3"/>
        <v>1709800.8662902184</v>
      </c>
      <c r="K34" s="162" t="str">
        <f t="shared" si="4"/>
        <v>580</v>
      </c>
      <c r="L34" s="162" t="str">
        <f t="shared" si="5"/>
        <v>ID</v>
      </c>
      <c r="M34" s="162" t="str">
        <f t="shared" si="6"/>
        <v>Situs</v>
      </c>
    </row>
    <row r="35" spans="1:13" x14ac:dyDescent="0.2">
      <c r="A35" s="186" t="s">
        <v>221</v>
      </c>
      <c r="B35" s="129">
        <v>8521141.5042532068</v>
      </c>
      <c r="C35" s="130">
        <f t="shared" si="0"/>
        <v>1.1613694371669848E-2</v>
      </c>
      <c r="D35" s="186"/>
      <c r="E35" s="129">
        <f t="shared" si="1"/>
        <v>480682.57805242419</v>
      </c>
      <c r="F35" s="187">
        <v>9101858.8373521157</v>
      </c>
      <c r="G35" s="186"/>
      <c r="H35" s="129">
        <f t="shared" si="2"/>
        <v>161031.22895714993</v>
      </c>
      <c r="I35" s="187">
        <f t="shared" si="3"/>
        <v>9262890.0663092658</v>
      </c>
      <c r="K35" s="162" t="str">
        <f t="shared" si="4"/>
        <v>580</v>
      </c>
      <c r="L35" s="162" t="str">
        <f t="shared" si="5"/>
        <v>OR</v>
      </c>
      <c r="M35" s="162" t="str">
        <f t="shared" si="6"/>
        <v>Situs</v>
      </c>
    </row>
    <row r="36" spans="1:13" x14ac:dyDescent="0.2">
      <c r="A36" s="186" t="s">
        <v>222</v>
      </c>
      <c r="B36" s="129">
        <v>40594481.446095899</v>
      </c>
      <c r="C36" s="130">
        <f t="shared" si="0"/>
        <v>5.5327317408830907E-2</v>
      </c>
      <c r="D36" s="186"/>
      <c r="E36" s="129">
        <f t="shared" si="1"/>
        <v>2289958.4505750798</v>
      </c>
      <c r="F36" s="187">
        <v>43361002.691183001</v>
      </c>
      <c r="G36" s="186"/>
      <c r="H36" s="129">
        <f t="shared" si="2"/>
        <v>767148.30200627493</v>
      </c>
      <c r="I36" s="187">
        <f t="shared" si="3"/>
        <v>44128150.993189275</v>
      </c>
      <c r="K36" s="162" t="str">
        <f t="shared" si="4"/>
        <v>580</v>
      </c>
      <c r="L36" s="162" t="str">
        <f t="shared" si="5"/>
        <v>SNPD</v>
      </c>
      <c r="M36" s="162" t="str">
        <f t="shared" si="6"/>
        <v>System</v>
      </c>
    </row>
    <row r="37" spans="1:13" x14ac:dyDescent="0.2">
      <c r="A37" s="186" t="s">
        <v>223</v>
      </c>
      <c r="B37" s="129">
        <v>11866898.858457277</v>
      </c>
      <c r="C37" s="130">
        <f t="shared" si="0"/>
        <v>1.6173717619036191E-2</v>
      </c>
      <c r="D37" s="186"/>
      <c r="E37" s="129">
        <f t="shared" si="1"/>
        <v>669418.70803617546</v>
      </c>
      <c r="F37" s="187">
        <v>12675630.15975043</v>
      </c>
      <c r="G37" s="186"/>
      <c r="H37" s="129">
        <f t="shared" si="2"/>
        <v>224258.83974978654</v>
      </c>
      <c r="I37" s="187">
        <f t="shared" si="3"/>
        <v>12899888.999500217</v>
      </c>
      <c r="K37" s="162" t="str">
        <f t="shared" si="4"/>
        <v>580</v>
      </c>
      <c r="L37" s="162" t="str">
        <f t="shared" si="5"/>
        <v>UT</v>
      </c>
      <c r="M37" s="162" t="str">
        <f t="shared" si="6"/>
        <v>Situs</v>
      </c>
    </row>
    <row r="38" spans="1:13" x14ac:dyDescent="0.2">
      <c r="A38" s="186" t="s">
        <v>224</v>
      </c>
      <c r="B38" s="129">
        <v>1910542.8851008278</v>
      </c>
      <c r="C38" s="130">
        <f t="shared" si="0"/>
        <v>2.6039306048907065E-3</v>
      </c>
      <c r="D38" s="186"/>
      <c r="E38" s="129">
        <f t="shared" si="1"/>
        <v>107774.84202458012</v>
      </c>
      <c r="F38" s="187">
        <v>2040746.7279137967</v>
      </c>
      <c r="G38" s="186"/>
      <c r="H38" s="129">
        <f t="shared" si="2"/>
        <v>36105.147251640228</v>
      </c>
      <c r="I38" s="187">
        <f t="shared" si="3"/>
        <v>2076851.8751654369</v>
      </c>
      <c r="K38" s="162" t="str">
        <f t="shared" si="4"/>
        <v>580</v>
      </c>
      <c r="L38" s="162" t="str">
        <f t="shared" si="5"/>
        <v>WA</v>
      </c>
      <c r="M38" s="162" t="str">
        <f t="shared" si="6"/>
        <v>Situs</v>
      </c>
    </row>
    <row r="39" spans="1:13" x14ac:dyDescent="0.2">
      <c r="A39" s="186" t="s">
        <v>225</v>
      </c>
      <c r="B39" s="129">
        <v>2492440.211653599</v>
      </c>
      <c r="C39" s="130">
        <f t="shared" si="0"/>
        <v>3.3970142196743016E-3</v>
      </c>
      <c r="D39" s="186"/>
      <c r="E39" s="129">
        <f t="shared" si="1"/>
        <v>140600.01068884737</v>
      </c>
      <c r="F39" s="187">
        <v>2662300.4624072695</v>
      </c>
      <c r="G39" s="186"/>
      <c r="H39" s="129">
        <f t="shared" si="2"/>
        <v>47101.753935721455</v>
      </c>
      <c r="I39" s="187">
        <f t="shared" si="3"/>
        <v>2709402.2163429908</v>
      </c>
      <c r="K39" s="162" t="str">
        <f t="shared" si="4"/>
        <v>580</v>
      </c>
      <c r="L39" s="162" t="str">
        <f t="shared" si="5"/>
        <v>WYP</v>
      </c>
      <c r="M39" s="162" t="str">
        <f t="shared" si="6"/>
        <v>Situs</v>
      </c>
    </row>
    <row r="40" spans="1:13" x14ac:dyDescent="0.2">
      <c r="A40" s="186" t="s">
        <v>226</v>
      </c>
      <c r="B40" s="129">
        <v>256476.85454394482</v>
      </c>
      <c r="C40" s="130">
        <f t="shared" si="0"/>
        <v>3.495592463279539E-4</v>
      </c>
      <c r="D40" s="186"/>
      <c r="E40" s="129">
        <f t="shared" si="1"/>
        <v>14468.009431767396</v>
      </c>
      <c r="F40" s="187">
        <v>273955.79852087738</v>
      </c>
      <c r="G40" s="186"/>
      <c r="H40" s="129">
        <f t="shared" si="2"/>
        <v>4846.860372599248</v>
      </c>
      <c r="I40" s="187">
        <f t="shared" si="3"/>
        <v>278802.65889347665</v>
      </c>
      <c r="K40" s="162" t="str">
        <f t="shared" si="4"/>
        <v>580</v>
      </c>
      <c r="L40" s="162" t="str">
        <f t="shared" si="5"/>
        <v>WYU</v>
      </c>
      <c r="M40" s="162" t="str">
        <f t="shared" si="6"/>
        <v>Situs</v>
      </c>
    </row>
    <row r="41" spans="1:13" x14ac:dyDescent="0.2">
      <c r="A41" s="186" t="s">
        <v>227</v>
      </c>
      <c r="B41" s="129">
        <v>4535571.0856092256</v>
      </c>
      <c r="C41" s="130">
        <f t="shared" si="0"/>
        <v>6.1816525829264217E-3</v>
      </c>
      <c r="D41" s="186"/>
      <c r="E41" s="129">
        <f t="shared" si="1"/>
        <v>255854.21874316654</v>
      </c>
      <c r="F41" s="187">
        <v>4844671.0745720724</v>
      </c>
      <c r="G41" s="186"/>
      <c r="H41" s="129">
        <f t="shared" si="2"/>
        <v>85712.528723248543</v>
      </c>
      <c r="I41" s="187">
        <f t="shared" si="3"/>
        <v>4930383.6032953206</v>
      </c>
      <c r="K41" s="162" t="str">
        <f t="shared" si="4"/>
        <v>593</v>
      </c>
      <c r="L41" s="162" t="str">
        <f t="shared" si="5"/>
        <v>CA</v>
      </c>
      <c r="M41" s="162" t="str">
        <f t="shared" si="6"/>
        <v>Situs</v>
      </c>
    </row>
    <row r="42" spans="1:13" x14ac:dyDescent="0.2">
      <c r="A42" s="186" t="s">
        <v>228</v>
      </c>
      <c r="B42" s="129">
        <v>3736223.5656145439</v>
      </c>
      <c r="C42" s="130">
        <f t="shared" si="0"/>
        <v>5.0922002144454127E-3</v>
      </c>
      <c r="D42" s="186"/>
      <c r="E42" s="129">
        <f t="shared" si="1"/>
        <v>210762.5574347525</v>
      </c>
      <c r="F42" s="187">
        <v>3990847.8766651242</v>
      </c>
      <c r="G42" s="186"/>
      <c r="H42" s="129">
        <f t="shared" si="2"/>
        <v>70606.581539488616</v>
      </c>
      <c r="I42" s="187">
        <f t="shared" si="3"/>
        <v>4061454.4582046126</v>
      </c>
      <c r="K42" s="162" t="str">
        <f t="shared" si="4"/>
        <v>593</v>
      </c>
      <c r="L42" s="162" t="str">
        <f t="shared" si="5"/>
        <v>ID</v>
      </c>
      <c r="M42" s="162" t="str">
        <f t="shared" si="6"/>
        <v>Situs</v>
      </c>
    </row>
    <row r="43" spans="1:13" x14ac:dyDescent="0.2">
      <c r="A43" s="186" t="s">
        <v>229</v>
      </c>
      <c r="B43" s="129">
        <v>31835563.634446021</v>
      </c>
      <c r="C43" s="130">
        <f t="shared" si="0"/>
        <v>4.338955127265031E-2</v>
      </c>
      <c r="D43" s="186"/>
      <c r="E43" s="129">
        <f t="shared" si="1"/>
        <v>1795862.7718973265</v>
      </c>
      <c r="F43" s="187">
        <v>34005163.048124149</v>
      </c>
      <c r="G43" s="186"/>
      <c r="H43" s="129">
        <f t="shared" si="2"/>
        <v>601623.6127565261</v>
      </c>
      <c r="I43" s="187">
        <f t="shared" si="3"/>
        <v>34606786.660880677</v>
      </c>
      <c r="K43" s="162" t="str">
        <f t="shared" si="4"/>
        <v>593</v>
      </c>
      <c r="L43" s="162" t="str">
        <f t="shared" si="5"/>
        <v>OR</v>
      </c>
      <c r="M43" s="162" t="str">
        <f t="shared" si="6"/>
        <v>Situs</v>
      </c>
    </row>
    <row r="44" spans="1:13" x14ac:dyDescent="0.2">
      <c r="A44" s="186" t="s">
        <v>230</v>
      </c>
      <c r="B44" s="129">
        <v>18874295.392694507</v>
      </c>
      <c r="C44" s="130">
        <f t="shared" si="0"/>
        <v>2.5724288003192958E-2</v>
      </c>
      <c r="D44" s="186"/>
      <c r="E44" s="129">
        <f t="shared" si="1"/>
        <v>1064710.04662403</v>
      </c>
      <c r="F44" s="187">
        <v>20160582.033879347</v>
      </c>
      <c r="G44" s="186"/>
      <c r="H44" s="129">
        <f t="shared" si="2"/>
        <v>356683.54776984052</v>
      </c>
      <c r="I44" s="187">
        <f t="shared" si="3"/>
        <v>20517265.581649188</v>
      </c>
      <c r="K44" s="162" t="str">
        <f t="shared" si="4"/>
        <v>593</v>
      </c>
      <c r="L44" s="162" t="str">
        <f t="shared" si="5"/>
        <v>SNPD</v>
      </c>
      <c r="M44" s="162" t="str">
        <f t="shared" si="6"/>
        <v>System</v>
      </c>
    </row>
    <row r="45" spans="1:13" x14ac:dyDescent="0.2">
      <c r="A45" s="186" t="s">
        <v>231</v>
      </c>
      <c r="B45" s="129">
        <v>30197501.281687837</v>
      </c>
      <c r="C45" s="130">
        <f t="shared" si="0"/>
        <v>4.1156991759681717E-2</v>
      </c>
      <c r="D45" s="186"/>
      <c r="E45" s="129">
        <f t="shared" si="1"/>
        <v>1703458.716133036</v>
      </c>
      <c r="F45" s="187">
        <v>32255466.450063426</v>
      </c>
      <c r="G45" s="186"/>
      <c r="H45" s="129">
        <f t="shared" si="2"/>
        <v>570667.76093298476</v>
      </c>
      <c r="I45" s="187">
        <f t="shared" si="3"/>
        <v>32826134.210996412</v>
      </c>
      <c r="K45" s="162" t="str">
        <f t="shared" si="4"/>
        <v>593</v>
      </c>
      <c r="L45" s="162" t="str">
        <f t="shared" si="5"/>
        <v>UT</v>
      </c>
      <c r="M45" s="162" t="str">
        <f t="shared" si="6"/>
        <v>Situs</v>
      </c>
    </row>
    <row r="46" spans="1:13" x14ac:dyDescent="0.2">
      <c r="A46" s="186" t="s">
        <v>232</v>
      </c>
      <c r="B46" s="129">
        <v>7083374.569807644</v>
      </c>
      <c r="C46" s="130">
        <f t="shared" si="0"/>
        <v>9.6541229050994392E-3</v>
      </c>
      <c r="D46" s="186"/>
      <c r="E46" s="129">
        <f t="shared" si="1"/>
        <v>399577.30402982217</v>
      </c>
      <c r="F46" s="187">
        <v>7566107.8265510239</v>
      </c>
      <c r="G46" s="186"/>
      <c r="H46" s="129">
        <f t="shared" si="2"/>
        <v>133860.5293164785</v>
      </c>
      <c r="I46" s="187">
        <f t="shared" si="3"/>
        <v>7699968.3558675023</v>
      </c>
      <c r="K46" s="162" t="str">
        <f t="shared" si="4"/>
        <v>593</v>
      </c>
      <c r="L46" s="162" t="str">
        <f t="shared" si="5"/>
        <v>WA</v>
      </c>
      <c r="M46" s="162" t="str">
        <f t="shared" si="6"/>
        <v>Situs</v>
      </c>
    </row>
    <row r="47" spans="1:13" x14ac:dyDescent="0.2">
      <c r="A47" s="186" t="s">
        <v>233</v>
      </c>
      <c r="B47" s="129">
        <v>6286983.0651363619</v>
      </c>
      <c r="C47" s="130">
        <f t="shared" si="0"/>
        <v>8.5686993699040648E-3</v>
      </c>
      <c r="D47" s="186"/>
      <c r="E47" s="129">
        <f t="shared" si="1"/>
        <v>354652.39327539259</v>
      </c>
      <c r="F47" s="187">
        <v>6715442.096945852</v>
      </c>
      <c r="G47" s="186"/>
      <c r="H47" s="129">
        <f t="shared" si="2"/>
        <v>118810.4444582187</v>
      </c>
      <c r="I47" s="187">
        <f t="shared" si="3"/>
        <v>6834252.5414040703</v>
      </c>
      <c r="K47" s="162" t="str">
        <f t="shared" si="4"/>
        <v>593</v>
      </c>
      <c r="L47" s="162" t="str">
        <f t="shared" si="5"/>
        <v>WYP</v>
      </c>
      <c r="M47" s="162" t="str">
        <f t="shared" si="6"/>
        <v>Situs</v>
      </c>
    </row>
    <row r="48" spans="1:13" x14ac:dyDescent="0.2">
      <c r="A48" s="186" t="s">
        <v>234</v>
      </c>
      <c r="B48" s="129">
        <v>920222.5054667237</v>
      </c>
      <c r="C48" s="130">
        <f t="shared" si="0"/>
        <v>1.2541961575322344E-3</v>
      </c>
      <c r="D48" s="186"/>
      <c r="E48" s="129">
        <f t="shared" si="1"/>
        <v>51910.289963946801</v>
      </c>
      <c r="F48" s="187">
        <v>982935.83547837764</v>
      </c>
      <c r="G48" s="186"/>
      <c r="H48" s="129">
        <f t="shared" si="2"/>
        <v>17390.224173060607</v>
      </c>
      <c r="I48" s="187">
        <f t="shared" si="3"/>
        <v>1000326.0596514383</v>
      </c>
      <c r="K48" s="162" t="str">
        <f t="shared" si="4"/>
        <v>593</v>
      </c>
      <c r="L48" s="162" t="str">
        <f t="shared" si="5"/>
        <v>WYU</v>
      </c>
      <c r="M48" s="162" t="str">
        <f t="shared" si="6"/>
        <v>Situs</v>
      </c>
    </row>
    <row r="49" spans="1:13" x14ac:dyDescent="0.2">
      <c r="A49" s="186" t="s">
        <v>235</v>
      </c>
      <c r="B49" s="129">
        <v>342872.58069032279</v>
      </c>
      <c r="C49" s="130">
        <f t="shared" si="0"/>
        <v>4.6731031970018931E-4</v>
      </c>
      <c r="D49" s="186"/>
      <c r="E49" s="129">
        <f t="shared" si="1"/>
        <v>19341.642894610799</v>
      </c>
      <c r="F49" s="187">
        <v>366239.40901395062</v>
      </c>
      <c r="G49" s="186"/>
      <c r="H49" s="129">
        <f t="shared" si="2"/>
        <v>6479.553592287295</v>
      </c>
      <c r="I49" s="187">
        <f t="shared" si="3"/>
        <v>372718.96260623791</v>
      </c>
      <c r="K49" s="162" t="str">
        <f t="shared" si="4"/>
        <v>903</v>
      </c>
      <c r="L49" s="162" t="str">
        <f t="shared" si="5"/>
        <v>CA</v>
      </c>
      <c r="M49" s="162" t="str">
        <f t="shared" si="6"/>
        <v>Situs</v>
      </c>
    </row>
    <row r="50" spans="1:13" x14ac:dyDescent="0.2">
      <c r="A50" s="186" t="s">
        <v>236</v>
      </c>
      <c r="B50" s="129">
        <v>25927490.236950833</v>
      </c>
      <c r="C50" s="130">
        <f t="shared" si="0"/>
        <v>3.5337278143556715E-2</v>
      </c>
      <c r="D50" s="186"/>
      <c r="E50" s="129">
        <f t="shared" si="1"/>
        <v>1462584.8946770697</v>
      </c>
      <c r="F50" s="187">
        <v>27694453.381129913</v>
      </c>
      <c r="G50" s="186"/>
      <c r="H50" s="129">
        <f t="shared" si="2"/>
        <v>489973.74524841999</v>
      </c>
      <c r="I50" s="187">
        <f t="shared" si="3"/>
        <v>28184427.126378331</v>
      </c>
      <c r="K50" s="162" t="str">
        <f t="shared" si="4"/>
        <v>903</v>
      </c>
      <c r="L50" s="162" t="str">
        <f t="shared" si="5"/>
        <v>CN</v>
      </c>
      <c r="M50" s="162" t="str">
        <f t="shared" si="6"/>
        <v>System</v>
      </c>
    </row>
    <row r="51" spans="1:13" x14ac:dyDescent="0.2">
      <c r="A51" s="186" t="s">
        <v>237</v>
      </c>
      <c r="B51" s="129">
        <v>1798233.8908159994</v>
      </c>
      <c r="C51" s="130">
        <f t="shared" si="0"/>
        <v>2.4508616370578665E-3</v>
      </c>
      <c r="D51" s="186"/>
      <c r="E51" s="129">
        <f t="shared" si="1"/>
        <v>101439.42594395754</v>
      </c>
      <c r="F51" s="187">
        <v>1920783.855376676</v>
      </c>
      <c r="G51" s="186"/>
      <c r="H51" s="129">
        <f t="shared" si="2"/>
        <v>33982.749053746156</v>
      </c>
      <c r="I51" s="187">
        <f t="shared" si="3"/>
        <v>1954766.6044304222</v>
      </c>
      <c r="K51" s="162" t="str">
        <f t="shared" si="4"/>
        <v>903</v>
      </c>
      <c r="L51" s="162" t="str">
        <f t="shared" si="5"/>
        <v>ID</v>
      </c>
      <c r="M51" s="162" t="str">
        <f t="shared" si="6"/>
        <v>Situs</v>
      </c>
    </row>
    <row r="52" spans="1:13" x14ac:dyDescent="0.2">
      <c r="A52" s="186" t="s">
        <v>238</v>
      </c>
      <c r="B52" s="129">
        <v>1699166.1418188808</v>
      </c>
      <c r="C52" s="130">
        <f t="shared" si="0"/>
        <v>2.3158395207876978E-3</v>
      </c>
      <c r="D52" s="186"/>
      <c r="E52" s="129">
        <f t="shared" si="1"/>
        <v>95850.956257587881</v>
      </c>
      <c r="F52" s="187">
        <v>1814964.6213860267</v>
      </c>
      <c r="G52" s="186"/>
      <c r="H52" s="129">
        <f t="shared" si="2"/>
        <v>32110.581884234682</v>
      </c>
      <c r="I52" s="187">
        <f t="shared" si="3"/>
        <v>1847075.2032702614</v>
      </c>
      <c r="K52" s="162" t="str">
        <f t="shared" si="4"/>
        <v>903</v>
      </c>
      <c r="L52" s="162" t="str">
        <f t="shared" si="5"/>
        <v>OR</v>
      </c>
      <c r="M52" s="162" t="str">
        <f t="shared" si="6"/>
        <v>Situs</v>
      </c>
    </row>
    <row r="53" spans="1:13" x14ac:dyDescent="0.2">
      <c r="A53" s="186" t="s">
        <v>239</v>
      </c>
      <c r="B53" s="129">
        <v>6212478.9539789055</v>
      </c>
      <c r="C53" s="130">
        <f t="shared" si="0"/>
        <v>8.4671557004339908E-3</v>
      </c>
      <c r="D53" s="186"/>
      <c r="E53" s="129">
        <f t="shared" si="1"/>
        <v>350449.57277196652</v>
      </c>
      <c r="F53" s="187">
        <v>6635860.5171517506</v>
      </c>
      <c r="G53" s="186"/>
      <c r="H53" s="129">
        <f t="shared" si="2"/>
        <v>117402.47715993397</v>
      </c>
      <c r="I53" s="187">
        <f t="shared" si="3"/>
        <v>6753262.9943116847</v>
      </c>
      <c r="K53" s="162" t="str">
        <f t="shared" si="4"/>
        <v>903</v>
      </c>
      <c r="L53" s="162" t="str">
        <f t="shared" si="5"/>
        <v>UT</v>
      </c>
      <c r="M53" s="162" t="str">
        <f t="shared" si="6"/>
        <v>Situs</v>
      </c>
    </row>
    <row r="54" spans="1:13" x14ac:dyDescent="0.2">
      <c r="A54" s="186" t="s">
        <v>240</v>
      </c>
      <c r="B54" s="129">
        <v>949287.6298951616</v>
      </c>
      <c r="C54" s="130">
        <f t="shared" si="0"/>
        <v>1.2938098022320611E-3</v>
      </c>
      <c r="D54" s="186"/>
      <c r="E54" s="129">
        <f t="shared" si="1"/>
        <v>53549.870639223998</v>
      </c>
      <c r="F54" s="187">
        <v>1013981.7533880464</v>
      </c>
      <c r="G54" s="186"/>
      <c r="H54" s="129">
        <f t="shared" si="2"/>
        <v>17939.492449402183</v>
      </c>
      <c r="I54" s="187">
        <f t="shared" si="3"/>
        <v>1031921.2458374486</v>
      </c>
      <c r="K54" s="162" t="str">
        <f t="shared" si="4"/>
        <v>903</v>
      </c>
      <c r="L54" s="162" t="str">
        <f t="shared" si="5"/>
        <v>WA</v>
      </c>
      <c r="M54" s="162" t="str">
        <f t="shared" si="6"/>
        <v>Situs</v>
      </c>
    </row>
    <row r="55" spans="1:13" x14ac:dyDescent="0.2">
      <c r="A55" s="186" t="s">
        <v>241</v>
      </c>
      <c r="B55" s="129">
        <v>1079248.1176637029</v>
      </c>
      <c r="C55" s="130">
        <f t="shared" si="0"/>
        <v>1.4709364682525257E-3</v>
      </c>
      <c r="D55" s="186"/>
      <c r="E55" s="129">
        <f t="shared" si="1"/>
        <v>60881.017795312429</v>
      </c>
      <c r="F55" s="187">
        <v>1152799.0718790339</v>
      </c>
      <c r="G55" s="186"/>
      <c r="H55" s="129">
        <f t="shared" si="2"/>
        <v>20395.465871600736</v>
      </c>
      <c r="I55" s="187">
        <f t="shared" si="3"/>
        <v>1173194.5377506346</v>
      </c>
      <c r="K55" s="162" t="str">
        <f t="shared" si="4"/>
        <v>903</v>
      </c>
      <c r="L55" s="162" t="str">
        <f t="shared" si="5"/>
        <v>WYP</v>
      </c>
      <c r="M55" s="162" t="str">
        <f t="shared" si="6"/>
        <v>Situs</v>
      </c>
    </row>
    <row r="56" spans="1:13" x14ac:dyDescent="0.2">
      <c r="A56" s="186" t="s">
        <v>242</v>
      </c>
      <c r="B56" s="129">
        <v>269302.59789847513</v>
      </c>
      <c r="C56" s="130">
        <f t="shared" si="0"/>
        <v>3.6703979906078227E-4</v>
      </c>
      <c r="D56" s="186"/>
      <c r="E56" s="129">
        <f t="shared" si="1"/>
        <v>15191.517118855698</v>
      </c>
      <c r="F56" s="187">
        <v>287655.61860235041</v>
      </c>
      <c r="G56" s="186"/>
      <c r="H56" s="129">
        <f t="shared" si="2"/>
        <v>5089.239308993876</v>
      </c>
      <c r="I56" s="187">
        <f t="shared" si="3"/>
        <v>292744.85791134427</v>
      </c>
      <c r="K56" s="162" t="str">
        <f t="shared" si="4"/>
        <v>903</v>
      </c>
      <c r="L56" s="162" t="str">
        <f t="shared" si="5"/>
        <v>WYU</v>
      </c>
      <c r="M56" s="162" t="str">
        <f t="shared" si="6"/>
        <v>Situs</v>
      </c>
    </row>
    <row r="57" spans="1:13" x14ac:dyDescent="0.2">
      <c r="A57" s="186" t="s">
        <v>243</v>
      </c>
      <c r="B57" s="129">
        <v>0</v>
      </c>
      <c r="C57" s="130">
        <f t="shared" si="0"/>
        <v>0</v>
      </c>
      <c r="D57" s="186"/>
      <c r="E57" s="129">
        <f t="shared" si="1"/>
        <v>0</v>
      </c>
      <c r="F57" s="187">
        <v>0</v>
      </c>
      <c r="G57" s="186"/>
      <c r="H57" s="129">
        <f t="shared" si="2"/>
        <v>0</v>
      </c>
      <c r="I57" s="187">
        <f t="shared" si="3"/>
        <v>0</v>
      </c>
      <c r="K57" s="162" t="str">
        <f t="shared" si="4"/>
        <v>908</v>
      </c>
      <c r="L57" s="162" t="str">
        <f t="shared" si="5"/>
        <v>CA</v>
      </c>
      <c r="M57" s="162" t="str">
        <f t="shared" si="6"/>
        <v>Situs</v>
      </c>
    </row>
    <row r="58" spans="1:13" x14ac:dyDescent="0.2">
      <c r="A58" s="186" t="s">
        <v>244</v>
      </c>
      <c r="B58" s="129">
        <v>3578076.6079802918</v>
      </c>
      <c r="C58" s="130">
        <f t="shared" si="0"/>
        <v>4.8766574458085025E-3</v>
      </c>
      <c r="D58" s="186"/>
      <c r="E58" s="129">
        <f t="shared" si="1"/>
        <v>201841.39502137911</v>
      </c>
      <c r="F58" s="187">
        <v>3821923.1752943983</v>
      </c>
      <c r="G58" s="186"/>
      <c r="H58" s="129">
        <f t="shared" si="2"/>
        <v>67617.944520496894</v>
      </c>
      <c r="I58" s="187">
        <f t="shared" si="3"/>
        <v>3889541.1198148951</v>
      </c>
      <c r="K58" s="162" t="str">
        <f t="shared" si="4"/>
        <v>908</v>
      </c>
      <c r="L58" s="162" t="str">
        <f t="shared" si="5"/>
        <v>CN</v>
      </c>
      <c r="M58" s="162" t="str">
        <f t="shared" si="6"/>
        <v>System</v>
      </c>
    </row>
    <row r="59" spans="1:13" x14ac:dyDescent="0.2">
      <c r="A59" s="186" t="s">
        <v>245</v>
      </c>
      <c r="B59" s="129">
        <v>1069.1741130562029</v>
      </c>
      <c r="C59" s="130">
        <f t="shared" si="0"/>
        <v>1.4572063347308722E-6</v>
      </c>
      <c r="D59" s="186"/>
      <c r="E59" s="129">
        <f t="shared" si="1"/>
        <v>60.312737301011509</v>
      </c>
      <c r="F59" s="187">
        <v>1142.0385220373803</v>
      </c>
      <c r="G59" s="186"/>
      <c r="H59" s="129">
        <f t="shared" si="2"/>
        <v>20.20508887320727</v>
      </c>
      <c r="I59" s="187">
        <f t="shared" si="3"/>
        <v>1162.2436109105874</v>
      </c>
      <c r="K59" s="162" t="str">
        <f t="shared" si="4"/>
        <v>908</v>
      </c>
      <c r="L59" s="162" t="str">
        <f t="shared" si="5"/>
        <v>ID</v>
      </c>
      <c r="M59" s="162" t="str">
        <f t="shared" si="6"/>
        <v>Situs</v>
      </c>
    </row>
    <row r="60" spans="1:13" x14ac:dyDescent="0.2">
      <c r="A60" s="186" t="s">
        <v>246</v>
      </c>
      <c r="B60" s="129">
        <v>2217431.6591205802</v>
      </c>
      <c r="C60" s="130">
        <f t="shared" si="0"/>
        <v>3.0221976206165789E-3</v>
      </c>
      <c r="D60" s="186"/>
      <c r="E60" s="129">
        <f t="shared" si="1"/>
        <v>125086.61733045104</v>
      </c>
      <c r="F60" s="187">
        <v>2368550.0273310901</v>
      </c>
      <c r="G60" s="186"/>
      <c r="H60" s="129">
        <f t="shared" si="2"/>
        <v>41904.684368690476</v>
      </c>
      <c r="I60" s="187">
        <f t="shared" si="3"/>
        <v>2410454.7116997805</v>
      </c>
      <c r="K60" s="162" t="str">
        <f t="shared" si="4"/>
        <v>908</v>
      </c>
      <c r="L60" s="162" t="str">
        <f t="shared" si="5"/>
        <v>OR</v>
      </c>
      <c r="M60" s="162" t="str">
        <f t="shared" si="6"/>
        <v>Situs</v>
      </c>
    </row>
    <row r="61" spans="1:13" x14ac:dyDescent="0.2">
      <c r="A61" s="186" t="s">
        <v>247</v>
      </c>
      <c r="B61" s="129">
        <v>36828.153361676508</v>
      </c>
      <c r="C61" s="130">
        <f t="shared" si="0"/>
        <v>5.0194086930959976E-5</v>
      </c>
      <c r="D61" s="186"/>
      <c r="E61" s="129">
        <f t="shared" si="1"/>
        <v>2077.4976796201181</v>
      </c>
      <c r="F61" s="187">
        <v>39337.998667317253</v>
      </c>
      <c r="G61" s="186"/>
      <c r="H61" s="129">
        <f t="shared" si="2"/>
        <v>695.97280987448039</v>
      </c>
      <c r="I61" s="187">
        <f t="shared" si="3"/>
        <v>40033.971477191735</v>
      </c>
      <c r="K61" s="162" t="str">
        <f t="shared" si="4"/>
        <v>908</v>
      </c>
      <c r="L61" s="162" t="str">
        <f>MID(A61,4,5)</f>
        <v>OTHER</v>
      </c>
      <c r="M61" s="162" t="str">
        <f t="shared" si="6"/>
        <v>Situs</v>
      </c>
    </row>
    <row r="62" spans="1:13" x14ac:dyDescent="0.2">
      <c r="A62" s="186" t="s">
        <v>248</v>
      </c>
      <c r="B62" s="129">
        <v>3019303.1077760565</v>
      </c>
      <c r="C62" s="130">
        <f t="shared" si="0"/>
        <v>4.1150899197767979E-3</v>
      </c>
      <c r="D62" s="186"/>
      <c r="E62" s="129">
        <f t="shared" si="1"/>
        <v>170320.65493139415</v>
      </c>
      <c r="F62" s="187">
        <v>3225069.160093084</v>
      </c>
      <c r="G62" s="186"/>
      <c r="H62" s="129">
        <f t="shared" si="2"/>
        <v>57058.328370282274</v>
      </c>
      <c r="I62" s="187">
        <f t="shared" si="3"/>
        <v>3282127.4884633664</v>
      </c>
      <c r="K62" s="162" t="str">
        <f t="shared" si="4"/>
        <v>908</v>
      </c>
      <c r="L62" s="162" t="str">
        <f t="shared" si="5"/>
        <v>UT</v>
      </c>
      <c r="M62" s="162" t="str">
        <f t="shared" si="6"/>
        <v>Situs</v>
      </c>
    </row>
    <row r="63" spans="1:13" x14ac:dyDescent="0.2">
      <c r="A63" s="186" t="s">
        <v>249</v>
      </c>
      <c r="B63" s="129">
        <v>164914.74338517644</v>
      </c>
      <c r="C63" s="130">
        <f t="shared" si="0"/>
        <v>2.2476676699968208E-4</v>
      </c>
      <c r="D63" s="186"/>
      <c r="E63" s="129">
        <f t="shared" si="1"/>
        <v>9302.937167476126</v>
      </c>
      <c r="F63" s="187">
        <v>176153.71294336641</v>
      </c>
      <c r="G63" s="186"/>
      <c r="H63" s="129">
        <f t="shared" si="2"/>
        <v>3116.5335990738695</v>
      </c>
      <c r="I63" s="187">
        <f t="shared" si="3"/>
        <v>179270.24654244029</v>
      </c>
      <c r="K63" s="162" t="str">
        <f t="shared" si="4"/>
        <v>908</v>
      </c>
      <c r="L63" s="162" t="str">
        <f t="shared" si="5"/>
        <v>WA</v>
      </c>
      <c r="M63" s="162" t="str">
        <f t="shared" si="6"/>
        <v>Situs</v>
      </c>
    </row>
    <row r="64" spans="1:13" x14ac:dyDescent="0.2">
      <c r="A64" s="186" t="s">
        <v>250</v>
      </c>
      <c r="B64" s="129">
        <v>980697.20999374159</v>
      </c>
      <c r="C64" s="130">
        <f t="shared" si="0"/>
        <v>1.3366187690148938E-3</v>
      </c>
      <c r="D64" s="186"/>
      <c r="E64" s="129">
        <f t="shared" si="1"/>
        <v>55321.703430616282</v>
      </c>
      <c r="F64" s="187">
        <v>1047531.9020453694</v>
      </c>
      <c r="G64" s="186"/>
      <c r="H64" s="129">
        <f t="shared" si="2"/>
        <v>18533.065890446178</v>
      </c>
      <c r="I64" s="187">
        <f t="shared" si="3"/>
        <v>1066064.9679358155</v>
      </c>
      <c r="K64" s="162" t="str">
        <f t="shared" si="4"/>
        <v>908</v>
      </c>
      <c r="L64" s="162" t="str">
        <f t="shared" si="5"/>
        <v>WYP</v>
      </c>
      <c r="M64" s="162" t="str">
        <f t="shared" si="6"/>
        <v>Situs</v>
      </c>
    </row>
    <row r="65" spans="1:13" x14ac:dyDescent="0.2">
      <c r="A65" s="186" t="s">
        <v>251</v>
      </c>
      <c r="B65" s="129">
        <v>120041.24456260313</v>
      </c>
      <c r="C65" s="130">
        <f t="shared" si="0"/>
        <v>1.6360746100145049E-4</v>
      </c>
      <c r="D65" s="186"/>
      <c r="E65" s="129">
        <f t="shared" si="1"/>
        <v>6771.5968430019166</v>
      </c>
      <c r="F65" s="187">
        <v>128222.0770683741</v>
      </c>
      <c r="G65" s="186"/>
      <c r="H65" s="129">
        <f t="shared" si="2"/>
        <v>2268.521081103193</v>
      </c>
      <c r="I65" s="187">
        <f t="shared" si="3"/>
        <v>130490.59814947729</v>
      </c>
      <c r="K65" s="162" t="str">
        <f t="shared" si="4"/>
        <v>920</v>
      </c>
      <c r="L65" s="162" t="str">
        <f t="shared" si="5"/>
        <v>CA</v>
      </c>
      <c r="M65" s="162" t="str">
        <f t="shared" si="6"/>
        <v>Situs</v>
      </c>
    </row>
    <row r="66" spans="1:13" x14ac:dyDescent="0.2">
      <c r="A66" s="186" t="s">
        <v>252</v>
      </c>
      <c r="B66" s="129">
        <v>291601.95003730425</v>
      </c>
      <c r="C66" s="130">
        <f t="shared" si="0"/>
        <v>3.9743218959875643E-4</v>
      </c>
      <c r="D66" s="186"/>
      <c r="E66" s="129">
        <f t="shared" si="1"/>
        <v>16449.436620561079</v>
      </c>
      <c r="F66" s="187">
        <v>311474.67561844637</v>
      </c>
      <c r="G66" s="186"/>
      <c r="H66" s="129">
        <f t="shared" si="2"/>
        <v>5510.6490553373169</v>
      </c>
      <c r="I66" s="187">
        <f t="shared" si="3"/>
        <v>316985.32467378367</v>
      </c>
      <c r="K66" s="162" t="str">
        <f t="shared" si="4"/>
        <v>920</v>
      </c>
      <c r="L66" s="162" t="str">
        <f t="shared" si="5"/>
        <v>ID</v>
      </c>
      <c r="M66" s="162" t="str">
        <f t="shared" si="6"/>
        <v>Situs</v>
      </c>
    </row>
    <row r="67" spans="1:13" x14ac:dyDescent="0.2">
      <c r="A67" s="186" t="s">
        <v>253</v>
      </c>
      <c r="B67" s="129">
        <v>295009.17585788318</v>
      </c>
      <c r="C67" s="130">
        <f t="shared" si="0"/>
        <v>4.0207598988252296E-4</v>
      </c>
      <c r="D67" s="186"/>
      <c r="E67" s="129">
        <f t="shared" si="1"/>
        <v>16641.640222698796</v>
      </c>
      <c r="F67" s="187">
        <v>315114.10449430905</v>
      </c>
      <c r="G67" s="186"/>
      <c r="H67" s="129">
        <f t="shared" si="2"/>
        <v>5575.0382878067576</v>
      </c>
      <c r="I67" s="187">
        <f t="shared" si="3"/>
        <v>320689.14278211578</v>
      </c>
      <c r="K67" s="162" t="str">
        <f t="shared" si="4"/>
        <v>920</v>
      </c>
      <c r="L67" s="162" t="str">
        <f t="shared" si="5"/>
        <v>OR</v>
      </c>
      <c r="M67" s="162" t="str">
        <f t="shared" si="6"/>
        <v>Situs</v>
      </c>
    </row>
    <row r="68" spans="1:13" x14ac:dyDescent="0.2">
      <c r="A68" s="186" t="s">
        <v>254</v>
      </c>
      <c r="B68" s="129">
        <v>31279474.645907979</v>
      </c>
      <c r="C68" s="130">
        <f t="shared" si="0"/>
        <v>4.2631642540221878E-2</v>
      </c>
      <c r="D68" s="186"/>
      <c r="E68" s="129">
        <f t="shared" si="1"/>
        <v>1764493.4666811638</v>
      </c>
      <c r="F68" s="187">
        <v>33411176.494544111</v>
      </c>
      <c r="G68" s="186"/>
      <c r="H68" s="129">
        <f t="shared" si="2"/>
        <v>591114.72809722042</v>
      </c>
      <c r="I68" s="187">
        <f t="shared" si="3"/>
        <v>34002291.222641334</v>
      </c>
      <c r="K68" s="162" t="str">
        <f t="shared" si="4"/>
        <v>920</v>
      </c>
      <c r="L68" s="162" t="str">
        <f t="shared" si="5"/>
        <v>SO</v>
      </c>
      <c r="M68" s="162" t="str">
        <f t="shared" si="6"/>
        <v>System</v>
      </c>
    </row>
    <row r="69" spans="1:13" x14ac:dyDescent="0.2">
      <c r="A69" s="186" t="s">
        <v>255</v>
      </c>
      <c r="B69" s="129">
        <v>-18154.076358402992</v>
      </c>
      <c r="C69" s="130">
        <f t="shared" si="0"/>
        <v>-2.4742681989404089E-5</v>
      </c>
      <c r="D69" s="186"/>
      <c r="E69" s="129">
        <f t="shared" si="1"/>
        <v>-1024.0820694929291</v>
      </c>
      <c r="F69" s="187">
        <v>-19391.279942273024</v>
      </c>
      <c r="G69" s="186"/>
      <c r="H69" s="129">
        <f t="shared" si="2"/>
        <v>-343.07295860729624</v>
      </c>
      <c r="I69" s="187">
        <f t="shared" si="3"/>
        <v>-19734.35290088032</v>
      </c>
      <c r="K69" s="162" t="str">
        <f t="shared" si="4"/>
        <v>920</v>
      </c>
      <c r="L69" s="162" t="str">
        <f t="shared" si="5"/>
        <v>UT</v>
      </c>
      <c r="M69" s="162" t="str">
        <f t="shared" si="6"/>
        <v>Situs</v>
      </c>
    </row>
    <row r="70" spans="1:13" x14ac:dyDescent="0.2">
      <c r="A70" s="186" t="s">
        <v>256</v>
      </c>
      <c r="B70" s="129">
        <v>-8011.0185079128905</v>
      </c>
      <c r="C70" s="130">
        <f t="shared" si="0"/>
        <v>-1.0918433934027802E-5</v>
      </c>
      <c r="D70" s="186"/>
      <c r="E70" s="129">
        <f t="shared" si="1"/>
        <v>-451.90624135125586</v>
      </c>
      <c r="F70" s="187">
        <v>-8556.9708666431306</v>
      </c>
      <c r="G70" s="186"/>
      <c r="H70" s="129">
        <f t="shared" si="2"/>
        <v>-151.39100258853688</v>
      </c>
      <c r="I70" s="187">
        <f t="shared" si="3"/>
        <v>-8708.3618692316668</v>
      </c>
      <c r="K70" s="162" t="str">
        <f t="shared" si="4"/>
        <v>920</v>
      </c>
      <c r="L70" s="162" t="str">
        <f t="shared" si="5"/>
        <v>WA</v>
      </c>
      <c r="M70" s="162" t="str">
        <f t="shared" si="6"/>
        <v>Situs</v>
      </c>
    </row>
    <row r="71" spans="1:13" x14ac:dyDescent="0.2">
      <c r="A71" s="186" t="s">
        <v>257</v>
      </c>
      <c r="B71" s="129">
        <v>16804.159959542958</v>
      </c>
      <c r="C71" s="130">
        <f t="shared" si="0"/>
        <v>2.2902844395363386E-5</v>
      </c>
      <c r="D71" s="186"/>
      <c r="E71" s="129">
        <f t="shared" si="1"/>
        <v>947.93249558485525</v>
      </c>
      <c r="F71" s="187">
        <v>17949.366496930284</v>
      </c>
      <c r="G71" s="186"/>
      <c r="H71" s="129">
        <f t="shared" si="2"/>
        <v>317.56244495260108</v>
      </c>
      <c r="I71" s="187">
        <f t="shared" si="3"/>
        <v>18266.928941882885</v>
      </c>
      <c r="K71" s="162" t="str">
        <f t="shared" si="4"/>
        <v>920</v>
      </c>
      <c r="L71" s="162" t="str">
        <f t="shared" si="5"/>
        <v>WYP</v>
      </c>
      <c r="M71" s="162" t="str">
        <f t="shared" si="6"/>
        <v>Situs</v>
      </c>
    </row>
    <row r="72" spans="1:13" x14ac:dyDescent="0.2">
      <c r="A72" s="186" t="s">
        <v>258</v>
      </c>
      <c r="B72" s="129">
        <v>7521.0524071757036</v>
      </c>
      <c r="C72" s="130">
        <f t="shared" ref="C72:C75" si="7">B72/B$81</f>
        <v>1.0250645874927946E-5</v>
      </c>
      <c r="D72" s="186"/>
      <c r="E72" s="129">
        <f t="shared" ref="E72:E75" si="8">$C72*E$81</f>
        <v>424.26696692504322</v>
      </c>
      <c r="F72" s="187">
        <v>8033.613487614537</v>
      </c>
      <c r="G72" s="186"/>
      <c r="H72" s="129">
        <f t="shared" ref="H72:H75" si="9">$C72*H$81</f>
        <v>142.13169815031461</v>
      </c>
      <c r="I72" s="187">
        <f t="shared" ref="I72:I75" si="10">F72+H72</f>
        <v>8175.7451857648521</v>
      </c>
      <c r="K72" s="162" t="str">
        <f t="shared" si="4"/>
        <v>935</v>
      </c>
      <c r="L72" s="162" t="str">
        <f t="shared" si="5"/>
        <v>CA</v>
      </c>
      <c r="M72" s="162" t="str">
        <f t="shared" si="6"/>
        <v>Situs</v>
      </c>
    </row>
    <row r="73" spans="1:13" x14ac:dyDescent="0.2">
      <c r="A73" s="186" t="s">
        <v>259</v>
      </c>
      <c r="B73" s="129">
        <v>9081.0677755929755</v>
      </c>
      <c r="C73" s="130">
        <f t="shared" si="7"/>
        <v>1.2376833040680682E-5</v>
      </c>
      <c r="D73" s="186"/>
      <c r="E73" s="129">
        <f t="shared" si="8"/>
        <v>512.26834663666148</v>
      </c>
      <c r="F73" s="187">
        <v>9699.9441852501313</v>
      </c>
      <c r="G73" s="186"/>
      <c r="H73" s="129">
        <f t="shared" si="9"/>
        <v>171.61262999998354</v>
      </c>
      <c r="I73" s="187">
        <f t="shared" si="10"/>
        <v>9871.5568152501146</v>
      </c>
      <c r="K73" s="162" t="str">
        <f t="shared" ref="K73:K75" si="11">LEFT(A73,3)</f>
        <v>935</v>
      </c>
      <c r="L73" s="162" t="str">
        <f t="shared" ref="L73:L75" si="12">MID(A73,4,4)</f>
        <v>OR</v>
      </c>
      <c r="M73" s="162" t="str">
        <f t="shared" ref="M73:M75" si="13">IF(OR(L73="CA"),"Situs",IF(OR(L73="OR"),"Situs",IF(OR(L73="WA"),"Situs",IF(OR(L73="WYP"),"Situs",IF(OR(L73="ID"),"Situs",IF(OR(L73="UT"),"Situs",IF(OR(L73="WYU"),"Situs",IF(OR(L73="OTHER"),"Situs","System"))))))))</f>
        <v>Situs</v>
      </c>
    </row>
    <row r="74" spans="1:13" x14ac:dyDescent="0.2">
      <c r="A74" s="186" t="s">
        <v>260</v>
      </c>
      <c r="B74" s="129">
        <v>2306308.4333935385</v>
      </c>
      <c r="C74" s="130">
        <f t="shared" si="7"/>
        <v>3.1433301816274277E-3</v>
      </c>
      <c r="D74" s="186"/>
      <c r="E74" s="129">
        <f t="shared" si="8"/>
        <v>130100.20816979869</v>
      </c>
      <c r="F74" s="187">
        <v>2463483.7698288416</v>
      </c>
      <c r="G74" s="186"/>
      <c r="H74" s="129">
        <f t="shared" si="9"/>
        <v>43584.264056432788</v>
      </c>
      <c r="I74" s="187">
        <f t="shared" si="10"/>
        <v>2507068.0338852745</v>
      </c>
      <c r="K74" s="162" t="str">
        <f t="shared" si="11"/>
        <v>935</v>
      </c>
      <c r="L74" s="162" t="str">
        <f t="shared" si="12"/>
        <v>SO</v>
      </c>
      <c r="M74" s="162" t="str">
        <f t="shared" si="13"/>
        <v>System</v>
      </c>
    </row>
    <row r="75" spans="1:13" x14ac:dyDescent="0.2">
      <c r="A75" s="186" t="s">
        <v>261</v>
      </c>
      <c r="B75" s="129">
        <v>521.82980795335072</v>
      </c>
      <c r="C75" s="130">
        <f t="shared" si="7"/>
        <v>7.1121596802170688E-7</v>
      </c>
      <c r="D75" s="186"/>
      <c r="E75" s="129">
        <f t="shared" si="8"/>
        <v>29.436724794021739</v>
      </c>
      <c r="F75" s="187">
        <v>557.39260364861411</v>
      </c>
      <c r="G75" s="186"/>
      <c r="H75" s="129">
        <f t="shared" si="9"/>
        <v>9.8614599040819559</v>
      </c>
      <c r="I75" s="187">
        <f t="shared" si="10"/>
        <v>567.25406355269604</v>
      </c>
      <c r="K75" s="162" t="str">
        <f t="shared" si="11"/>
        <v>935</v>
      </c>
      <c r="L75" s="162" t="str">
        <f t="shared" si="12"/>
        <v>WA</v>
      </c>
      <c r="M75" s="162" t="str">
        <f t="shared" si="13"/>
        <v>Situs</v>
      </c>
    </row>
    <row r="77" spans="1:13" x14ac:dyDescent="0.2">
      <c r="A77" s="131" t="s">
        <v>262</v>
      </c>
      <c r="B77" s="132">
        <f>SUM(B8:B75)</f>
        <v>473245116.77242875</v>
      </c>
      <c r="C77" s="150">
        <f>SUM(C8:C75)</f>
        <v>0.64499857751885503</v>
      </c>
      <c r="D77" s="131"/>
      <c r="E77" s="132">
        <f>SUM(E8:E75)</f>
        <v>26696033.93716063</v>
      </c>
      <c r="F77" s="132">
        <f>SUM(F8:F75)</f>
        <v>505496856.98552048</v>
      </c>
      <c r="G77" s="131"/>
      <c r="H77" s="132">
        <f>SUM(H8:H75)</f>
        <v>8943313.8404985294</v>
      </c>
      <c r="I77" s="132">
        <f>SUM(I8:I75)</f>
        <v>514440170.82601911</v>
      </c>
    </row>
    <row r="78" spans="1:13" x14ac:dyDescent="0.2">
      <c r="C78" s="151"/>
    </row>
    <row r="79" spans="1:13" x14ac:dyDescent="0.2">
      <c r="A79" s="121" t="s">
        <v>263</v>
      </c>
      <c r="B79" s="135">
        <f>'13.2.2'!B31</f>
        <v>260469860.6975711</v>
      </c>
      <c r="C79" s="152">
        <f>B79/B81</f>
        <v>0.35500142248114491</v>
      </c>
      <c r="E79" s="129">
        <f>$C79*E$81</f>
        <v>14693257.245237723</v>
      </c>
      <c r="F79" s="136">
        <f>'13.2.2'!D31</f>
        <v>278220928.76532227</v>
      </c>
      <c r="H79" s="129">
        <f>$C79*H$81</f>
        <v>4922319.5922156535</v>
      </c>
      <c r="I79" s="136">
        <f>F79+H79</f>
        <v>283143248.35753793</v>
      </c>
    </row>
    <row r="80" spans="1:13" x14ac:dyDescent="0.2">
      <c r="C80" s="134"/>
    </row>
    <row r="81" spans="1:9" x14ac:dyDescent="0.2">
      <c r="A81" s="131" t="s">
        <v>106</v>
      </c>
      <c r="B81" s="132">
        <f>B77+B79</f>
        <v>733714977.46999979</v>
      </c>
      <c r="C81" s="133">
        <f>C77+C79</f>
        <v>1</v>
      </c>
      <c r="D81" s="131"/>
      <c r="E81" s="137">
        <f>'13.2.2'!E29</f>
        <v>41389291.182398349</v>
      </c>
      <c r="F81" s="132">
        <f>'13.2.2'!D29</f>
        <v>783717785.75084257</v>
      </c>
      <c r="G81" s="131"/>
      <c r="H81" s="137">
        <f>'13.2.2'!H29</f>
        <v>13865633.432714177</v>
      </c>
      <c r="I81" s="132">
        <f>F81+H81</f>
        <v>797583419.1835568</v>
      </c>
    </row>
  </sheetData>
  <pageMargins left="0.7" right="0.7" top="0.75" bottom="0.75" header="0.3" footer="0.3"/>
  <pageSetup scale="64" orientation="portrait" r:id="rId1"/>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CBB5F-75B4-45FF-8D94-FFC316E35367}">
  <sheetPr>
    <pageSetUpPr fitToPage="1"/>
  </sheetPr>
  <dimension ref="A1:J82"/>
  <sheetViews>
    <sheetView view="pageBreakPreview" topLeftCell="A58" zoomScale="80" zoomScaleNormal="100" zoomScaleSheetLayoutView="80" workbookViewId="0">
      <selection activeCell="A4" sqref="A4"/>
    </sheetView>
  </sheetViews>
  <sheetFormatPr defaultRowHeight="12.75" x14ac:dyDescent="0.2"/>
  <cols>
    <col min="1" max="1" width="20.42578125" style="121" customWidth="1"/>
    <col min="2" max="2" width="11.140625" style="121" bestFit="1" customWidth="1"/>
    <col min="3" max="3" width="20.7109375" style="121" customWidth="1"/>
    <col min="4" max="4" width="12.85546875" style="121" customWidth="1"/>
    <col min="5" max="5" width="3.5703125" style="121" customWidth="1"/>
    <col min="6" max="6" width="16.85546875" style="121" customWidth="1"/>
    <col min="7" max="7" width="18.28515625" style="121" customWidth="1"/>
    <col min="8" max="8" width="3.5703125" style="121" customWidth="1"/>
    <col min="9" max="9" width="17.85546875" style="121" customWidth="1"/>
    <col min="10" max="10" width="19" style="121" customWidth="1"/>
    <col min="11" max="16384" width="9.140625" style="162"/>
  </cols>
  <sheetData>
    <row r="1" spans="1:10" x14ac:dyDescent="0.2">
      <c r="A1" s="120" t="s">
        <v>0</v>
      </c>
      <c r="G1" s="185"/>
      <c r="I1" s="155"/>
      <c r="J1" s="185" t="s">
        <v>273</v>
      </c>
    </row>
    <row r="2" spans="1:10" x14ac:dyDescent="0.2">
      <c r="A2" s="120" t="s">
        <v>2</v>
      </c>
    </row>
    <row r="3" spans="1:10" x14ac:dyDescent="0.2">
      <c r="A3" s="120" t="s">
        <v>3</v>
      </c>
    </row>
    <row r="4" spans="1:10" x14ac:dyDescent="0.2">
      <c r="A4" s="120" t="s">
        <v>264</v>
      </c>
    </row>
    <row r="6" spans="1:10" x14ac:dyDescent="0.2">
      <c r="A6" s="122" t="s">
        <v>265</v>
      </c>
      <c r="B6" s="122"/>
      <c r="C6" s="122"/>
      <c r="D6" s="122"/>
      <c r="E6" s="122"/>
      <c r="F6" s="122"/>
      <c r="G6" s="122"/>
      <c r="H6" s="122"/>
      <c r="I6" s="122"/>
      <c r="J6" s="122"/>
    </row>
    <row r="7" spans="1:10" ht="38.25" x14ac:dyDescent="0.2">
      <c r="A7" s="123" t="s">
        <v>186</v>
      </c>
      <c r="B7" s="138" t="s">
        <v>266</v>
      </c>
      <c r="C7" s="124" t="s">
        <v>187</v>
      </c>
      <c r="D7" s="139" t="s">
        <v>188</v>
      </c>
      <c r="E7" s="140" t="s">
        <v>189</v>
      </c>
      <c r="F7" s="127" t="s">
        <v>190</v>
      </c>
      <c r="G7" s="124" t="s">
        <v>191</v>
      </c>
      <c r="H7" s="140" t="s">
        <v>192</v>
      </c>
      <c r="I7" s="127" t="s">
        <v>190</v>
      </c>
      <c r="J7" s="124" t="s">
        <v>193</v>
      </c>
    </row>
    <row r="8" spans="1:10" x14ac:dyDescent="0.2">
      <c r="A8" s="186" t="s">
        <v>194</v>
      </c>
      <c r="B8" s="147">
        <v>0</v>
      </c>
      <c r="C8" s="129">
        <f>'13.2.7'!B8*B8</f>
        <v>0</v>
      </c>
      <c r="D8" s="142">
        <f t="shared" ref="D8:D71" si="0">C8/C$82</f>
        <v>0</v>
      </c>
      <c r="F8" s="129">
        <f>B8*'13.2.7'!E8</f>
        <v>0</v>
      </c>
      <c r="G8" s="136">
        <v>0</v>
      </c>
      <c r="I8" s="129">
        <f>B8*'13.2.7'!H8</f>
        <v>0</v>
      </c>
      <c r="J8" s="136">
        <f>G8+I8</f>
        <v>0</v>
      </c>
    </row>
    <row r="9" spans="1:10" x14ac:dyDescent="0.2">
      <c r="A9" s="186" t="s">
        <v>195</v>
      </c>
      <c r="B9" s="147">
        <v>0.22162982918040364</v>
      </c>
      <c r="C9" s="129">
        <f>'13.2.7'!B9*B9</f>
        <v>159.18063712650326</v>
      </c>
      <c r="D9" s="142">
        <f t="shared" si="0"/>
        <v>3.2050558099332496E-6</v>
      </c>
      <c r="F9" s="129">
        <f>B9*'13.2.7'!E9</f>
        <v>8.9794728783465754</v>
      </c>
      <c r="G9" s="136">
        <v>170.02882630713694</v>
      </c>
      <c r="I9" s="129">
        <f>B9*'13.2.7'!H9</f>
        <v>3.0081713359493643</v>
      </c>
      <c r="J9" s="136">
        <f t="shared" ref="J9:J72" si="1">G9+I9</f>
        <v>173.03699764308629</v>
      </c>
    </row>
    <row r="10" spans="1:10" x14ac:dyDescent="0.2">
      <c r="A10" s="186" t="s">
        <v>196</v>
      </c>
      <c r="B10" s="147">
        <v>0.22162982918040364</v>
      </c>
      <c r="C10" s="129">
        <f>'13.2.7'!B10*B10</f>
        <v>1666267.1155039798</v>
      </c>
      <c r="D10" s="142">
        <f t="shared" si="0"/>
        <v>3.3549803517890109E-2</v>
      </c>
      <c r="F10" s="129">
        <f>B10*'13.2.7'!E10</f>
        <v>93995.10293364439</v>
      </c>
      <c r="G10" s="136">
        <v>1779823.52048363</v>
      </c>
      <c r="I10" s="129">
        <f>B10*'13.2.7'!H10</f>
        <v>31488.861116384764</v>
      </c>
      <c r="J10" s="136">
        <f t="shared" si="1"/>
        <v>1811312.3816000149</v>
      </c>
    </row>
    <row r="11" spans="1:10" x14ac:dyDescent="0.2">
      <c r="A11" s="186" t="s">
        <v>197</v>
      </c>
      <c r="B11" s="147">
        <v>7.9787774498314715E-2</v>
      </c>
      <c r="C11" s="129">
        <f>'13.2.7'!B11*B11</f>
        <v>200936.19170270686</v>
      </c>
      <c r="D11" s="130">
        <f t="shared" si="0"/>
        <v>4.0457917512342657E-3</v>
      </c>
      <c r="F11" s="129">
        <f>B11*'13.2.7'!E11</f>
        <v>11334.928143545496</v>
      </c>
      <c r="G11" s="136">
        <v>214630.02947202502</v>
      </c>
      <c r="I11" s="129">
        <f>B11*'13.2.7'!H11</f>
        <v>3797.2614203984076</v>
      </c>
      <c r="J11" s="136">
        <f t="shared" si="1"/>
        <v>218427.29089242342</v>
      </c>
    </row>
    <row r="12" spans="1:10" x14ac:dyDescent="0.2">
      <c r="A12" s="186" t="s">
        <v>198</v>
      </c>
      <c r="B12" s="147">
        <v>7.6163640476536676E-2</v>
      </c>
      <c r="C12" s="129">
        <f>'13.2.7'!B12*B12</f>
        <v>7179.9336055773329</v>
      </c>
      <c r="D12" s="142">
        <f t="shared" si="0"/>
        <v>1.4456587392097547E-4</v>
      </c>
      <c r="F12" s="129">
        <f>B12*'13.2.7'!E12</f>
        <v>405.02425573516155</v>
      </c>
      <c r="G12" s="136">
        <v>7669.2473780545242</v>
      </c>
      <c r="I12" s="129">
        <f>B12*'13.2.7'!H12</f>
        <v>135.68528720709088</v>
      </c>
      <c r="J12" s="136">
        <f t="shared" si="1"/>
        <v>7804.9326652616155</v>
      </c>
    </row>
    <row r="13" spans="1:10" x14ac:dyDescent="0.2">
      <c r="A13" s="186" t="s">
        <v>199</v>
      </c>
      <c r="B13" s="147">
        <v>0</v>
      </c>
      <c r="C13" s="129">
        <f>'13.2.7'!B13*B13</f>
        <v>0</v>
      </c>
      <c r="D13" s="142">
        <f t="shared" si="0"/>
        <v>0</v>
      </c>
      <c r="F13" s="129">
        <f>B13*'13.2.7'!E13</f>
        <v>0</v>
      </c>
      <c r="G13" s="136">
        <v>0</v>
      </c>
      <c r="I13" s="129">
        <f>B13*'13.2.7'!H13</f>
        <v>0</v>
      </c>
      <c r="J13" s="136">
        <f t="shared" si="1"/>
        <v>0</v>
      </c>
    </row>
    <row r="14" spans="1:10" x14ac:dyDescent="0.2">
      <c r="A14" s="186" t="s">
        <v>200</v>
      </c>
      <c r="B14" s="147">
        <v>0.22162982918040364</v>
      </c>
      <c r="C14" s="129">
        <f>'13.2.7'!B14*B14</f>
        <v>3574077.6158757317</v>
      </c>
      <c r="D14" s="142">
        <f t="shared" si="0"/>
        <v>7.1963012805454071E-2</v>
      </c>
      <c r="F14" s="129">
        <f>B14*'13.2.7'!E14</f>
        <v>201615.80953691414</v>
      </c>
      <c r="G14" s="136">
        <v>3817651.6511553819</v>
      </c>
      <c r="I14" s="129">
        <f>B14*'13.2.7'!H14</f>
        <v>67542.372179295198</v>
      </c>
      <c r="J14" s="136">
        <f t="shared" si="1"/>
        <v>3885194.0233346773</v>
      </c>
    </row>
    <row r="15" spans="1:10" x14ac:dyDescent="0.2">
      <c r="A15" s="186" t="s">
        <v>201</v>
      </c>
      <c r="B15" s="147">
        <v>7.9787774498314715E-2</v>
      </c>
      <c r="C15" s="129">
        <f>'13.2.7'!B15*B15</f>
        <v>17165.437048860851</v>
      </c>
      <c r="D15" s="142">
        <f t="shared" si="0"/>
        <v>3.4562108015545091E-4</v>
      </c>
      <c r="F15" s="129">
        <f>B15*'13.2.7'!E15</f>
        <v>968.31234757979303</v>
      </c>
      <c r="G15" s="136">
        <v>18335.264685160066</v>
      </c>
      <c r="I15" s="129">
        <f>B15*'13.2.7'!H15</f>
        <v>324.38980413421831</v>
      </c>
      <c r="J15" s="136">
        <f t="shared" si="1"/>
        <v>18659.654489294284</v>
      </c>
    </row>
    <row r="16" spans="1:10" x14ac:dyDescent="0.2">
      <c r="A16" s="186" t="s">
        <v>202</v>
      </c>
      <c r="B16" s="147">
        <v>7.9787774498314715E-2</v>
      </c>
      <c r="C16" s="129">
        <f>'13.2.7'!B16*B16</f>
        <v>1041577.6376859195</v>
      </c>
      <c r="D16" s="142">
        <f t="shared" si="0"/>
        <v>2.0971862655058959E-2</v>
      </c>
      <c r="F16" s="129">
        <f>B16*'13.2.7'!E16</f>
        <v>58756.003978424742</v>
      </c>
      <c r="G16" s="136">
        <v>1112561.341884532</v>
      </c>
      <c r="I16" s="129">
        <f>B16*'13.2.7'!H16</f>
        <v>19683.574902157223</v>
      </c>
      <c r="J16" s="136">
        <f t="shared" si="1"/>
        <v>1132244.9167866893</v>
      </c>
    </row>
    <row r="17" spans="1:10" x14ac:dyDescent="0.2">
      <c r="A17" s="186" t="s">
        <v>203</v>
      </c>
      <c r="B17" s="147">
        <v>7.9787774498314715E-2</v>
      </c>
      <c r="C17" s="129">
        <f>'13.2.7'!B17*B17</f>
        <v>698743.84904791194</v>
      </c>
      <c r="D17" s="142">
        <f t="shared" si="0"/>
        <v>1.4069004079097615E-2</v>
      </c>
      <c r="F17" s="129">
        <f>B17*'13.2.7'!E17</f>
        <v>39416.549366182633</v>
      </c>
      <c r="G17" s="136">
        <v>746363.36860827077</v>
      </c>
      <c r="I17" s="129">
        <f>B17*'13.2.7'!H17</f>
        <v>13204.754396141876</v>
      </c>
      <c r="J17" s="136">
        <f t="shared" si="1"/>
        <v>759568.12300441263</v>
      </c>
    </row>
    <row r="18" spans="1:10" x14ac:dyDescent="0.2">
      <c r="A18" s="186" t="s">
        <v>204</v>
      </c>
      <c r="B18" s="147">
        <v>7.9787774498314715E-2</v>
      </c>
      <c r="C18" s="129">
        <f>'13.2.7'!B18*B18</f>
        <v>179895.52825436991</v>
      </c>
      <c r="D18" s="142">
        <f t="shared" si="0"/>
        <v>3.6221441151442703E-3</v>
      </c>
      <c r="F18" s="129">
        <f>B18*'13.2.7'!E18</f>
        <v>10148.012007340994</v>
      </c>
      <c r="G18" s="136">
        <v>192155.44100809583</v>
      </c>
      <c r="I18" s="129">
        <f>B18*'13.2.7'!H18</f>
        <v>3399.6381804289381</v>
      </c>
      <c r="J18" s="136">
        <f t="shared" si="1"/>
        <v>195555.07918852477</v>
      </c>
    </row>
    <row r="19" spans="1:10" x14ac:dyDescent="0.2">
      <c r="A19" s="186" t="s">
        <v>205</v>
      </c>
      <c r="B19" s="147">
        <v>7.9787774498314715E-2</v>
      </c>
      <c r="C19" s="129">
        <f>'13.2.7'!B19*B19</f>
        <v>35212.336467980153</v>
      </c>
      <c r="D19" s="142">
        <f t="shared" si="0"/>
        <v>7.0899014864687763E-4</v>
      </c>
      <c r="F19" s="129">
        <f>B19*'13.2.7'!E19</f>
        <v>1986.3485032175258</v>
      </c>
      <c r="G19" s="136">
        <v>37612.063560372684</v>
      </c>
      <c r="I19" s="129">
        <f>B19*'13.2.7'!H19</f>
        <v>665.43734933415544</v>
      </c>
      <c r="J19" s="136">
        <f t="shared" si="1"/>
        <v>38277.50090970684</v>
      </c>
    </row>
    <row r="20" spans="1:10" x14ac:dyDescent="0.2">
      <c r="A20" s="186" t="s">
        <v>206</v>
      </c>
      <c r="B20" s="147">
        <v>0</v>
      </c>
      <c r="C20" s="129">
        <f>'13.2.7'!B20*B20</f>
        <v>0</v>
      </c>
      <c r="D20" s="142">
        <f t="shared" si="0"/>
        <v>0</v>
      </c>
      <c r="F20" s="129">
        <f>B20*'13.2.7'!E20</f>
        <v>0</v>
      </c>
      <c r="G20" s="136">
        <v>0</v>
      </c>
      <c r="I20" s="129">
        <f>B20*'13.2.7'!H20</f>
        <v>0</v>
      </c>
      <c r="J20" s="136">
        <f t="shared" si="1"/>
        <v>0</v>
      </c>
    </row>
    <row r="21" spans="1:10" x14ac:dyDescent="0.2">
      <c r="A21" s="186" t="s">
        <v>207</v>
      </c>
      <c r="B21" s="147">
        <v>0.22162982918040364</v>
      </c>
      <c r="C21" s="129">
        <f>'13.2.7'!B21*B21</f>
        <v>486064.17786123586</v>
      </c>
      <c r="D21" s="142">
        <f t="shared" si="0"/>
        <v>9.7867607855880445E-3</v>
      </c>
      <c r="F21" s="129">
        <f>B21*'13.2.7'!E21</f>
        <v>27419.164673729636</v>
      </c>
      <c r="G21" s="136">
        <v>519189.53940365382</v>
      </c>
      <c r="I21" s="129">
        <f>B21*'13.2.7'!H21</f>
        <v>9185.5664964574771</v>
      </c>
      <c r="J21" s="136">
        <f t="shared" si="1"/>
        <v>528375.10590011126</v>
      </c>
    </row>
    <row r="22" spans="1:10" x14ac:dyDescent="0.2">
      <c r="A22" s="186" t="s">
        <v>208</v>
      </c>
      <c r="B22" s="147">
        <v>7.9787774498314715E-2</v>
      </c>
      <c r="C22" s="129">
        <f>'13.2.7'!B22*B22</f>
        <v>250926.93774780017</v>
      </c>
      <c r="D22" s="142">
        <f t="shared" si="0"/>
        <v>5.052340876473614E-3</v>
      </c>
      <c r="F22" s="129">
        <f>B22*'13.2.7'!E22</f>
        <v>14154.935377990014</v>
      </c>
      <c r="G22" s="136">
        <v>268027.65389232675</v>
      </c>
      <c r="I22" s="129">
        <f>B22*'13.2.7'!H22</f>
        <v>4741.9788937683879</v>
      </c>
      <c r="J22" s="136">
        <f t="shared" si="1"/>
        <v>272769.63278609514</v>
      </c>
    </row>
    <row r="23" spans="1:10" x14ac:dyDescent="0.2">
      <c r="A23" s="186" t="s">
        <v>209</v>
      </c>
      <c r="B23" s="147">
        <v>0</v>
      </c>
      <c r="C23" s="129">
        <f>'13.2.7'!B23*B23</f>
        <v>0</v>
      </c>
      <c r="D23" s="142">
        <f t="shared" si="0"/>
        <v>0</v>
      </c>
      <c r="F23" s="129">
        <f>B23*'13.2.7'!E23</f>
        <v>0</v>
      </c>
      <c r="G23" s="136">
        <v>0</v>
      </c>
      <c r="I23" s="129">
        <f>B23*'13.2.7'!H23</f>
        <v>0</v>
      </c>
      <c r="J23" s="136">
        <f t="shared" si="1"/>
        <v>0</v>
      </c>
    </row>
    <row r="24" spans="1:10" x14ac:dyDescent="0.2">
      <c r="A24" s="186" t="s">
        <v>210</v>
      </c>
      <c r="B24" s="147">
        <v>0</v>
      </c>
      <c r="C24" s="129">
        <f>'13.2.7'!B24*B24</f>
        <v>0</v>
      </c>
      <c r="D24" s="142">
        <f t="shared" si="0"/>
        <v>0</v>
      </c>
      <c r="F24" s="129">
        <f>B24*'13.2.7'!E24</f>
        <v>0</v>
      </c>
      <c r="G24" s="136">
        <v>0</v>
      </c>
      <c r="I24" s="129">
        <f>B24*'13.2.7'!H24</f>
        <v>0</v>
      </c>
      <c r="J24" s="136">
        <f t="shared" si="1"/>
        <v>0</v>
      </c>
    </row>
    <row r="25" spans="1:10" x14ac:dyDescent="0.2">
      <c r="A25" s="186" t="s">
        <v>211</v>
      </c>
      <c r="B25" s="147">
        <v>0.22162982918040364</v>
      </c>
      <c r="C25" s="129">
        <f>'13.2.7'!B25*B25</f>
        <v>164445.09686262609</v>
      </c>
      <c r="D25" s="142">
        <f t="shared" si="0"/>
        <v>3.3110541748600781E-3</v>
      </c>
      <c r="F25" s="129">
        <f>B25*'13.2.7'!E25</f>
        <v>9276.4441323446026</v>
      </c>
      <c r="G25" s="136">
        <v>175652.05992544937</v>
      </c>
      <c r="I25" s="129">
        <f>B25*'13.2.7'!H25</f>
        <v>3107.658290916625</v>
      </c>
      <c r="J25" s="136">
        <f t="shared" si="1"/>
        <v>178759.71821636599</v>
      </c>
    </row>
    <row r="26" spans="1:10" x14ac:dyDescent="0.2">
      <c r="A26" s="186" t="s">
        <v>212</v>
      </c>
      <c r="B26" s="147">
        <v>7.9787774498314715E-2</v>
      </c>
      <c r="C26" s="129">
        <f>'13.2.7'!B26*B26</f>
        <v>30227.37588335844</v>
      </c>
      <c r="D26" s="142">
        <f t="shared" si="0"/>
        <v>6.0861941780646241E-4</v>
      </c>
      <c r="F26" s="129">
        <f>B26*'13.2.7'!E26</f>
        <v>1705.1439598931759</v>
      </c>
      <c r="G26" s="136">
        <v>32287.377011235567</v>
      </c>
      <c r="I26" s="129">
        <f>B26*'13.2.7'!H26</f>
        <v>571.23232658645031</v>
      </c>
      <c r="J26" s="136">
        <f t="shared" si="1"/>
        <v>32858.609337822018</v>
      </c>
    </row>
    <row r="27" spans="1:10" x14ac:dyDescent="0.2">
      <c r="A27" s="186" t="s">
        <v>213</v>
      </c>
      <c r="B27" s="147">
        <v>0</v>
      </c>
      <c r="C27" s="129">
        <f>'13.2.7'!B27*B27</f>
        <v>0</v>
      </c>
      <c r="D27" s="142">
        <f t="shared" si="0"/>
        <v>0</v>
      </c>
      <c r="F27" s="129">
        <f>B27*'13.2.7'!E27</f>
        <v>0</v>
      </c>
      <c r="G27" s="136">
        <v>0</v>
      </c>
      <c r="I27" s="129">
        <f>B27*'13.2.7'!H27</f>
        <v>0</v>
      </c>
      <c r="J27" s="136">
        <f t="shared" si="1"/>
        <v>0</v>
      </c>
    </row>
    <row r="28" spans="1:10" x14ac:dyDescent="0.2">
      <c r="A28" s="186" t="s">
        <v>214</v>
      </c>
      <c r="B28" s="147">
        <v>0</v>
      </c>
      <c r="C28" s="129">
        <f>'13.2.7'!B28*B28</f>
        <v>0</v>
      </c>
      <c r="D28" s="142">
        <f t="shared" si="0"/>
        <v>0</v>
      </c>
      <c r="F28" s="129">
        <f>B28*'13.2.7'!E28</f>
        <v>0</v>
      </c>
      <c r="G28" s="136">
        <v>0</v>
      </c>
      <c r="I28" s="129">
        <f>B28*'13.2.7'!H28</f>
        <v>0</v>
      </c>
      <c r="J28" s="136">
        <f t="shared" si="1"/>
        <v>0</v>
      </c>
    </row>
    <row r="29" spans="1:10" x14ac:dyDescent="0.2">
      <c r="A29" s="186" t="s">
        <v>215</v>
      </c>
      <c r="B29" s="147">
        <v>0</v>
      </c>
      <c r="C29" s="129">
        <f>'13.2.7'!B29*B29</f>
        <v>0</v>
      </c>
      <c r="D29" s="142">
        <f t="shared" si="0"/>
        <v>0</v>
      </c>
      <c r="F29" s="129">
        <f>B29*'13.2.7'!E29</f>
        <v>0</v>
      </c>
      <c r="G29" s="136">
        <v>0</v>
      </c>
      <c r="I29" s="129">
        <f>B29*'13.2.7'!H29</f>
        <v>0</v>
      </c>
      <c r="J29" s="136">
        <f t="shared" si="1"/>
        <v>0</v>
      </c>
    </row>
    <row r="30" spans="1:10" x14ac:dyDescent="0.2">
      <c r="A30" s="186" t="s">
        <v>216</v>
      </c>
      <c r="B30" s="147">
        <v>7.9787774498314715E-2</v>
      </c>
      <c r="C30" s="129">
        <f>'13.2.7'!B30*B30</f>
        <v>2327394.1329466989</v>
      </c>
      <c r="D30" s="142">
        <f t="shared" si="0"/>
        <v>4.6861403638416496E-2</v>
      </c>
      <c r="F30" s="129">
        <f>B30*'13.2.7'!E30</f>
        <v>131289.66481902733</v>
      </c>
      <c r="G30" s="136">
        <v>2486006.4636162748</v>
      </c>
      <c r="I30" s="129">
        <f>B30*'13.2.7'!H30</f>
        <v>43982.738381823568</v>
      </c>
      <c r="J30" s="136">
        <f t="shared" si="1"/>
        <v>2529989.2019980983</v>
      </c>
    </row>
    <row r="31" spans="1:10" x14ac:dyDescent="0.2">
      <c r="A31" s="186" t="s">
        <v>217</v>
      </c>
      <c r="B31" s="147">
        <v>7.9787774498314715E-2</v>
      </c>
      <c r="C31" s="129">
        <f>'13.2.7'!B31*B31</f>
        <v>1894047.7334286254</v>
      </c>
      <c r="D31" s="142">
        <f t="shared" si="0"/>
        <v>3.8136099979873668E-2</v>
      </c>
      <c r="F31" s="129">
        <f>B31*'13.2.7'!E31</f>
        <v>106844.34086728771</v>
      </c>
      <c r="G31" s="136">
        <v>2023127.4286748201</v>
      </c>
      <c r="I31" s="129">
        <f>B31*'13.2.7'!H31</f>
        <v>35793.424398043266</v>
      </c>
      <c r="J31" s="136">
        <f t="shared" si="1"/>
        <v>2058920.8530728633</v>
      </c>
    </row>
    <row r="32" spans="1:10" x14ac:dyDescent="0.2">
      <c r="A32" s="186" t="s">
        <v>218</v>
      </c>
      <c r="B32" s="147">
        <v>7.9787774498314715E-2</v>
      </c>
      <c r="C32" s="129">
        <f>'13.2.7'!B32*B32</f>
        <v>1265106.015163793</v>
      </c>
      <c r="D32" s="142">
        <f t="shared" si="0"/>
        <v>2.5472541492969757E-2</v>
      </c>
      <c r="F32" s="129">
        <f>B32*'13.2.7'!E32</f>
        <v>71365.370540441043</v>
      </c>
      <c r="G32" s="136">
        <v>1351323.2186742155</v>
      </c>
      <c r="I32" s="129">
        <f>B32*'13.2.7'!H32</f>
        <v>23907.779994173736</v>
      </c>
      <c r="J32" s="136">
        <f t="shared" si="1"/>
        <v>1375230.9986683892</v>
      </c>
    </row>
    <row r="33" spans="1:10" x14ac:dyDescent="0.2">
      <c r="A33" s="186" t="s">
        <v>219</v>
      </c>
      <c r="B33" s="147">
        <v>0</v>
      </c>
      <c r="C33" s="129">
        <f>'13.2.7'!B33*B33</f>
        <v>0</v>
      </c>
      <c r="D33" s="142">
        <f t="shared" si="0"/>
        <v>0</v>
      </c>
      <c r="F33" s="129">
        <f>B33*'13.2.7'!E33</f>
        <v>0</v>
      </c>
      <c r="G33" s="136">
        <v>0</v>
      </c>
      <c r="I33" s="129">
        <f>B33*'13.2.7'!H33</f>
        <v>0</v>
      </c>
      <c r="J33" s="136">
        <f t="shared" si="1"/>
        <v>0</v>
      </c>
    </row>
    <row r="34" spans="1:10" x14ac:dyDescent="0.2">
      <c r="A34" s="186" t="s">
        <v>220</v>
      </c>
      <c r="B34" s="147">
        <v>0</v>
      </c>
      <c r="C34" s="129">
        <f>'13.2.7'!B34*B34</f>
        <v>0</v>
      </c>
      <c r="D34" s="142">
        <f t="shared" si="0"/>
        <v>0</v>
      </c>
      <c r="F34" s="129">
        <f>B34*'13.2.7'!E34</f>
        <v>0</v>
      </c>
      <c r="G34" s="136">
        <v>0</v>
      </c>
      <c r="I34" s="129">
        <f>B34*'13.2.7'!H34</f>
        <v>0</v>
      </c>
      <c r="J34" s="136">
        <f t="shared" si="1"/>
        <v>0</v>
      </c>
    </row>
    <row r="35" spans="1:10" x14ac:dyDescent="0.2">
      <c r="A35" s="186" t="s">
        <v>221</v>
      </c>
      <c r="B35" s="147">
        <v>0</v>
      </c>
      <c r="C35" s="129">
        <f>'13.2.7'!B35*B35</f>
        <v>0</v>
      </c>
      <c r="D35" s="142">
        <f t="shared" si="0"/>
        <v>0</v>
      </c>
      <c r="F35" s="129">
        <f>B35*'13.2.7'!E35</f>
        <v>0</v>
      </c>
      <c r="G35" s="136">
        <v>0</v>
      </c>
      <c r="I35" s="129">
        <f>B35*'13.2.7'!H35</f>
        <v>0</v>
      </c>
      <c r="J35" s="136">
        <f t="shared" si="1"/>
        <v>0</v>
      </c>
    </row>
    <row r="36" spans="1:10" x14ac:dyDescent="0.2">
      <c r="A36" s="186" t="s">
        <v>222</v>
      </c>
      <c r="B36" s="147">
        <v>6.264027551852748E-2</v>
      </c>
      <c r="C36" s="129">
        <f>'13.2.7'!B36*B36</f>
        <v>2542849.502315199</v>
      </c>
      <c r="D36" s="142">
        <f t="shared" si="0"/>
        <v>5.1199534807140477E-2</v>
      </c>
      <c r="F36" s="129">
        <f>B36*'13.2.7'!E36</f>
        <v>143443.62827000328</v>
      </c>
      <c r="G36" s="136">
        <v>2716145.1553353146</v>
      </c>
      <c r="I36" s="129">
        <f>B36*'13.2.7'!H36</f>
        <v>48054.381001243586</v>
      </c>
      <c r="J36" s="136">
        <f t="shared" si="1"/>
        <v>2764199.5363365579</v>
      </c>
    </row>
    <row r="37" spans="1:10" x14ac:dyDescent="0.2">
      <c r="A37" s="186" t="s">
        <v>223</v>
      </c>
      <c r="B37" s="147">
        <v>0</v>
      </c>
      <c r="C37" s="129">
        <f>'13.2.7'!B37*B37</f>
        <v>0</v>
      </c>
      <c r="D37" s="142">
        <f t="shared" si="0"/>
        <v>0</v>
      </c>
      <c r="F37" s="129">
        <f>B37*'13.2.7'!E37</f>
        <v>0</v>
      </c>
      <c r="G37" s="136">
        <v>0</v>
      </c>
      <c r="I37" s="129">
        <f>B37*'13.2.7'!H37</f>
        <v>0</v>
      </c>
      <c r="J37" s="136">
        <f t="shared" si="1"/>
        <v>0</v>
      </c>
    </row>
    <row r="38" spans="1:10" x14ac:dyDescent="0.2">
      <c r="A38" s="186" t="s">
        <v>224</v>
      </c>
      <c r="B38" s="147">
        <v>1</v>
      </c>
      <c r="C38" s="129">
        <f>'13.2.7'!B38*B38</f>
        <v>1910542.8851008278</v>
      </c>
      <c r="D38" s="142">
        <f t="shared" si="0"/>
        <v>3.8468225059010694E-2</v>
      </c>
      <c r="F38" s="129">
        <f>B38*'13.2.7'!E38</f>
        <v>107774.84202458012</v>
      </c>
      <c r="G38" s="136">
        <v>2040746.7279137967</v>
      </c>
      <c r="I38" s="129">
        <f>B38*'13.2.7'!H38</f>
        <v>36105.147251640228</v>
      </c>
      <c r="J38" s="136">
        <f t="shared" si="1"/>
        <v>2076851.8751654369</v>
      </c>
    </row>
    <row r="39" spans="1:10" x14ac:dyDescent="0.2">
      <c r="A39" s="186" t="s">
        <v>225</v>
      </c>
      <c r="B39" s="147">
        <v>0</v>
      </c>
      <c r="C39" s="129">
        <f>'13.2.7'!B39*B39</f>
        <v>0</v>
      </c>
      <c r="D39" s="142">
        <f t="shared" si="0"/>
        <v>0</v>
      </c>
      <c r="F39" s="129">
        <f>B39*'13.2.7'!E39</f>
        <v>0</v>
      </c>
      <c r="G39" s="136">
        <v>0</v>
      </c>
      <c r="I39" s="129">
        <f>B39*'13.2.7'!H39</f>
        <v>0</v>
      </c>
      <c r="J39" s="136">
        <f t="shared" si="1"/>
        <v>0</v>
      </c>
    </row>
    <row r="40" spans="1:10" x14ac:dyDescent="0.2">
      <c r="A40" s="186" t="s">
        <v>226</v>
      </c>
      <c r="B40" s="147">
        <v>0</v>
      </c>
      <c r="C40" s="129">
        <f>'13.2.7'!B40*B40</f>
        <v>0</v>
      </c>
      <c r="D40" s="142">
        <f t="shared" si="0"/>
        <v>0</v>
      </c>
      <c r="F40" s="129">
        <f>B40*'13.2.7'!E40</f>
        <v>0</v>
      </c>
      <c r="G40" s="136">
        <v>0</v>
      </c>
      <c r="I40" s="129">
        <f>B40*'13.2.7'!H40</f>
        <v>0</v>
      </c>
      <c r="J40" s="136">
        <f t="shared" si="1"/>
        <v>0</v>
      </c>
    </row>
    <row r="41" spans="1:10" x14ac:dyDescent="0.2">
      <c r="A41" s="186" t="s">
        <v>227</v>
      </c>
      <c r="B41" s="147">
        <v>0</v>
      </c>
      <c r="C41" s="129">
        <f>'13.2.7'!B41*B41</f>
        <v>0</v>
      </c>
      <c r="D41" s="142">
        <f t="shared" si="0"/>
        <v>0</v>
      </c>
      <c r="F41" s="129">
        <f>B41*'13.2.7'!E41</f>
        <v>0</v>
      </c>
      <c r="G41" s="136">
        <v>0</v>
      </c>
      <c r="I41" s="129">
        <f>B41*'13.2.7'!H41</f>
        <v>0</v>
      </c>
      <c r="J41" s="136">
        <f t="shared" si="1"/>
        <v>0</v>
      </c>
    </row>
    <row r="42" spans="1:10" x14ac:dyDescent="0.2">
      <c r="A42" s="186" t="s">
        <v>228</v>
      </c>
      <c r="B42" s="147">
        <v>0</v>
      </c>
      <c r="C42" s="129">
        <f>'13.2.7'!B42*B42</f>
        <v>0</v>
      </c>
      <c r="D42" s="142">
        <f t="shared" si="0"/>
        <v>0</v>
      </c>
      <c r="F42" s="129">
        <f>B42*'13.2.7'!E42</f>
        <v>0</v>
      </c>
      <c r="G42" s="136">
        <v>0</v>
      </c>
      <c r="I42" s="129">
        <f>B42*'13.2.7'!H42</f>
        <v>0</v>
      </c>
      <c r="J42" s="136">
        <f t="shared" si="1"/>
        <v>0</v>
      </c>
    </row>
    <row r="43" spans="1:10" x14ac:dyDescent="0.2">
      <c r="A43" s="186" t="s">
        <v>229</v>
      </c>
      <c r="B43" s="147">
        <v>0</v>
      </c>
      <c r="C43" s="129">
        <f>'13.2.7'!B43*B43</f>
        <v>0</v>
      </c>
      <c r="D43" s="142">
        <f t="shared" si="0"/>
        <v>0</v>
      </c>
      <c r="F43" s="129">
        <f>B43*'13.2.7'!E43</f>
        <v>0</v>
      </c>
      <c r="G43" s="136">
        <v>0</v>
      </c>
      <c r="I43" s="129">
        <f>B43*'13.2.7'!H43</f>
        <v>0</v>
      </c>
      <c r="J43" s="136">
        <f t="shared" si="1"/>
        <v>0</v>
      </c>
    </row>
    <row r="44" spans="1:10" x14ac:dyDescent="0.2">
      <c r="A44" s="186" t="s">
        <v>230</v>
      </c>
      <c r="B44" s="147">
        <v>6.264027551852748E-2</v>
      </c>
      <c r="C44" s="129">
        <f>'13.2.7'!B44*B44</f>
        <v>1182291.0636164576</v>
      </c>
      <c r="D44" s="142">
        <f t="shared" si="0"/>
        <v>2.3805086541176912E-2</v>
      </c>
      <c r="F44" s="129">
        <f>B44*'13.2.7'!E44</f>
        <v>66693.730667873475</v>
      </c>
      <c r="G44" s="136">
        <v>1262864.4132160773</v>
      </c>
      <c r="I44" s="129">
        <f>B44*'13.2.7'!H44</f>
        <v>22342.755705228668</v>
      </c>
      <c r="J44" s="136">
        <f t="shared" si="1"/>
        <v>1285207.168921306</v>
      </c>
    </row>
    <row r="45" spans="1:10" x14ac:dyDescent="0.2">
      <c r="A45" s="186" t="s">
        <v>231</v>
      </c>
      <c r="B45" s="147">
        <v>0</v>
      </c>
      <c r="C45" s="129">
        <f>'13.2.7'!B45*B45</f>
        <v>0</v>
      </c>
      <c r="D45" s="142">
        <f t="shared" si="0"/>
        <v>0</v>
      </c>
      <c r="F45" s="129">
        <f>B45*'13.2.7'!E45</f>
        <v>0</v>
      </c>
      <c r="G45" s="136">
        <v>0</v>
      </c>
      <c r="I45" s="129">
        <f>B45*'13.2.7'!H45</f>
        <v>0</v>
      </c>
      <c r="J45" s="136">
        <f t="shared" si="1"/>
        <v>0</v>
      </c>
    </row>
    <row r="46" spans="1:10" x14ac:dyDescent="0.2">
      <c r="A46" s="186" t="s">
        <v>232</v>
      </c>
      <c r="B46" s="147">
        <v>1</v>
      </c>
      <c r="C46" s="129">
        <f>'13.2.7'!B46*B46</f>
        <v>7083374.569807644</v>
      </c>
      <c r="D46" s="142">
        <f t="shared" si="0"/>
        <v>0.14262168583263876</v>
      </c>
      <c r="F46" s="129">
        <f>B46*'13.2.7'!E46</f>
        <v>399577.30402982217</v>
      </c>
      <c r="G46" s="136">
        <v>7566107.8265510239</v>
      </c>
      <c r="I46" s="129">
        <f>B46*'13.2.7'!H46</f>
        <v>133860.5293164785</v>
      </c>
      <c r="J46" s="136">
        <f t="shared" si="1"/>
        <v>7699968.3558675023</v>
      </c>
    </row>
    <row r="47" spans="1:10" x14ac:dyDescent="0.2">
      <c r="A47" s="186" t="s">
        <v>233</v>
      </c>
      <c r="B47" s="147">
        <v>0</v>
      </c>
      <c r="C47" s="129">
        <f>'13.2.7'!B47*B47</f>
        <v>0</v>
      </c>
      <c r="D47" s="142">
        <f t="shared" si="0"/>
        <v>0</v>
      </c>
      <c r="F47" s="129">
        <f>B47*'13.2.7'!E47</f>
        <v>0</v>
      </c>
      <c r="G47" s="136">
        <v>0</v>
      </c>
      <c r="I47" s="129">
        <f>B47*'13.2.7'!H47</f>
        <v>0</v>
      </c>
      <c r="J47" s="136">
        <f t="shared" si="1"/>
        <v>0</v>
      </c>
    </row>
    <row r="48" spans="1:10" x14ac:dyDescent="0.2">
      <c r="A48" s="186" t="s">
        <v>234</v>
      </c>
      <c r="B48" s="147">
        <v>0</v>
      </c>
      <c r="C48" s="129">
        <f>'13.2.7'!B48*B48</f>
        <v>0</v>
      </c>
      <c r="D48" s="142">
        <f t="shared" si="0"/>
        <v>0</v>
      </c>
      <c r="F48" s="129">
        <f>B48*'13.2.7'!E48</f>
        <v>0</v>
      </c>
      <c r="G48" s="136">
        <v>0</v>
      </c>
      <c r="I48" s="129">
        <f>B48*'13.2.7'!H48</f>
        <v>0</v>
      </c>
      <c r="J48" s="136">
        <f t="shared" si="1"/>
        <v>0</v>
      </c>
    </row>
    <row r="49" spans="1:10" x14ac:dyDescent="0.2">
      <c r="A49" s="186" t="s">
        <v>235</v>
      </c>
      <c r="B49" s="147">
        <v>0</v>
      </c>
      <c r="C49" s="129">
        <f>'13.2.7'!B49*B49</f>
        <v>0</v>
      </c>
      <c r="D49" s="142">
        <f t="shared" si="0"/>
        <v>0</v>
      </c>
      <c r="F49" s="129">
        <f>B49*'13.2.7'!E49</f>
        <v>0</v>
      </c>
      <c r="G49" s="136">
        <v>0</v>
      </c>
      <c r="I49" s="129">
        <f>B49*'13.2.7'!H49</f>
        <v>0</v>
      </c>
      <c r="J49" s="136">
        <f t="shared" si="1"/>
        <v>0</v>
      </c>
    </row>
    <row r="50" spans="1:10" x14ac:dyDescent="0.2">
      <c r="A50" s="186" t="s">
        <v>236</v>
      </c>
      <c r="B50" s="147">
        <v>6.742981175467383E-2</v>
      </c>
      <c r="C50" s="129">
        <f>'13.2.7'!B50*B50</f>
        <v>1748285.7859487382</v>
      </c>
      <c r="D50" s="142">
        <f t="shared" si="0"/>
        <v>3.5201225581385574E-2</v>
      </c>
      <c r="F50" s="129">
        <f>B50*'13.2.7'!E50</f>
        <v>98621.824123304265</v>
      </c>
      <c r="G50" s="136">
        <v>1867431.7781381803</v>
      </c>
      <c r="I50" s="129">
        <f>B50*'13.2.7'!H50</f>
        <v>33038.837406833474</v>
      </c>
      <c r="J50" s="136">
        <f t="shared" si="1"/>
        <v>1900470.6155450137</v>
      </c>
    </row>
    <row r="51" spans="1:10" x14ac:dyDescent="0.2">
      <c r="A51" s="186" t="s">
        <v>237</v>
      </c>
      <c r="B51" s="147">
        <v>0</v>
      </c>
      <c r="C51" s="129">
        <f>'13.2.7'!B51*B51</f>
        <v>0</v>
      </c>
      <c r="D51" s="142">
        <f t="shared" si="0"/>
        <v>0</v>
      </c>
      <c r="F51" s="129">
        <f>B51*'13.2.7'!E51</f>
        <v>0</v>
      </c>
      <c r="G51" s="136">
        <v>0</v>
      </c>
      <c r="I51" s="129">
        <f>B51*'13.2.7'!H51</f>
        <v>0</v>
      </c>
      <c r="J51" s="136">
        <f t="shared" si="1"/>
        <v>0</v>
      </c>
    </row>
    <row r="52" spans="1:10" x14ac:dyDescent="0.2">
      <c r="A52" s="186" t="s">
        <v>238</v>
      </c>
      <c r="B52" s="147">
        <v>0</v>
      </c>
      <c r="C52" s="129">
        <f>'13.2.7'!B52*B52</f>
        <v>0</v>
      </c>
      <c r="D52" s="142">
        <f t="shared" si="0"/>
        <v>0</v>
      </c>
      <c r="F52" s="129">
        <f>B52*'13.2.7'!E52</f>
        <v>0</v>
      </c>
      <c r="G52" s="136">
        <v>0</v>
      </c>
      <c r="I52" s="129">
        <f>B52*'13.2.7'!H52</f>
        <v>0</v>
      </c>
      <c r="J52" s="136">
        <f t="shared" si="1"/>
        <v>0</v>
      </c>
    </row>
    <row r="53" spans="1:10" x14ac:dyDescent="0.2">
      <c r="A53" s="186" t="s">
        <v>239</v>
      </c>
      <c r="B53" s="147">
        <v>0</v>
      </c>
      <c r="C53" s="129">
        <f>'13.2.7'!B53*B53</f>
        <v>0</v>
      </c>
      <c r="D53" s="142">
        <f t="shared" si="0"/>
        <v>0</v>
      </c>
      <c r="F53" s="129">
        <f>B53*'13.2.7'!E53</f>
        <v>0</v>
      </c>
      <c r="G53" s="136">
        <v>0</v>
      </c>
      <c r="I53" s="129">
        <f>B53*'13.2.7'!H53</f>
        <v>0</v>
      </c>
      <c r="J53" s="136">
        <f t="shared" si="1"/>
        <v>0</v>
      </c>
    </row>
    <row r="54" spans="1:10" x14ac:dyDescent="0.2">
      <c r="A54" s="186" t="s">
        <v>240</v>
      </c>
      <c r="B54" s="147">
        <v>1</v>
      </c>
      <c r="C54" s="129">
        <f>'13.2.7'!B54*B54</f>
        <v>949287.6298951616</v>
      </c>
      <c r="D54" s="142">
        <f t="shared" si="0"/>
        <v>1.9113630202870185E-2</v>
      </c>
      <c r="F54" s="129">
        <f>B54*'13.2.7'!E54</f>
        <v>53549.870639223998</v>
      </c>
      <c r="G54" s="136">
        <v>1013981.7533880464</v>
      </c>
      <c r="I54" s="129">
        <f>B54*'13.2.7'!H54</f>
        <v>17939.492449402183</v>
      </c>
      <c r="J54" s="136">
        <f t="shared" si="1"/>
        <v>1031921.2458374486</v>
      </c>
    </row>
    <row r="55" spans="1:10" x14ac:dyDescent="0.2">
      <c r="A55" s="186" t="s">
        <v>241</v>
      </c>
      <c r="B55" s="147">
        <v>0</v>
      </c>
      <c r="C55" s="129">
        <f>'13.2.7'!B55*B55</f>
        <v>0</v>
      </c>
      <c r="D55" s="142">
        <f t="shared" si="0"/>
        <v>0</v>
      </c>
      <c r="F55" s="129">
        <f>B55*'13.2.7'!E55</f>
        <v>0</v>
      </c>
      <c r="G55" s="136">
        <v>0</v>
      </c>
      <c r="I55" s="129">
        <f>B55*'13.2.7'!H55</f>
        <v>0</v>
      </c>
      <c r="J55" s="136">
        <f t="shared" si="1"/>
        <v>0</v>
      </c>
    </row>
    <row r="56" spans="1:10" x14ac:dyDescent="0.2">
      <c r="A56" s="186" t="s">
        <v>242</v>
      </c>
      <c r="B56" s="147">
        <v>0</v>
      </c>
      <c r="C56" s="129">
        <f>'13.2.7'!B56*B56</f>
        <v>0</v>
      </c>
      <c r="D56" s="142">
        <f t="shared" si="0"/>
        <v>0</v>
      </c>
      <c r="F56" s="129">
        <f>B56*'13.2.7'!E56</f>
        <v>0</v>
      </c>
      <c r="G56" s="136">
        <v>0</v>
      </c>
      <c r="I56" s="129">
        <f>B56*'13.2.7'!H56</f>
        <v>0</v>
      </c>
      <c r="J56" s="136">
        <f t="shared" si="1"/>
        <v>0</v>
      </c>
    </row>
    <row r="57" spans="1:10" x14ac:dyDescent="0.2">
      <c r="A57" s="186" t="s">
        <v>243</v>
      </c>
      <c r="B57" s="147">
        <v>0</v>
      </c>
      <c r="C57" s="129">
        <f>'13.2.7'!B57*B57</f>
        <v>0</v>
      </c>
      <c r="D57" s="142">
        <f t="shared" si="0"/>
        <v>0</v>
      </c>
      <c r="F57" s="129">
        <f>B57*'13.2.7'!E57</f>
        <v>0</v>
      </c>
      <c r="G57" s="136">
        <v>0</v>
      </c>
      <c r="I57" s="129">
        <f>B57*'13.2.7'!H57</f>
        <v>0</v>
      </c>
      <c r="J57" s="136">
        <f t="shared" si="1"/>
        <v>0</v>
      </c>
    </row>
    <row r="58" spans="1:10" x14ac:dyDescent="0.2">
      <c r="A58" s="186" t="s">
        <v>244</v>
      </c>
      <c r="B58" s="147">
        <v>6.742981175467383E-2</v>
      </c>
      <c r="C58" s="129">
        <f>'13.2.7'!B58*B58</f>
        <v>241269.03211991294</v>
      </c>
      <c r="D58" s="142">
        <f t="shared" si="0"/>
        <v>4.8578817569272627E-3</v>
      </c>
      <c r="F58" s="129">
        <f>B58*'13.2.7'!E58</f>
        <v>13610.127270592353</v>
      </c>
      <c r="G58" s="136">
        <v>257711.56025092656</v>
      </c>
      <c r="I58" s="129">
        <f>B58*'13.2.7'!H58</f>
        <v>4559.4652702550848</v>
      </c>
      <c r="J58" s="136">
        <f t="shared" si="1"/>
        <v>262271.02552118164</v>
      </c>
    </row>
    <row r="59" spans="1:10" x14ac:dyDescent="0.2">
      <c r="A59" s="186" t="s">
        <v>245</v>
      </c>
      <c r="B59" s="147">
        <v>0</v>
      </c>
      <c r="C59" s="129">
        <f>'13.2.7'!B59*B59</f>
        <v>0</v>
      </c>
      <c r="D59" s="142">
        <f t="shared" si="0"/>
        <v>0</v>
      </c>
      <c r="F59" s="129">
        <f>B59*'13.2.7'!E59</f>
        <v>0</v>
      </c>
      <c r="G59" s="136">
        <v>0</v>
      </c>
      <c r="I59" s="129">
        <f>B59*'13.2.7'!H59</f>
        <v>0</v>
      </c>
      <c r="J59" s="136">
        <f t="shared" si="1"/>
        <v>0</v>
      </c>
    </row>
    <row r="60" spans="1:10" x14ac:dyDescent="0.2">
      <c r="A60" s="186" t="s">
        <v>246</v>
      </c>
      <c r="B60" s="147">
        <v>0</v>
      </c>
      <c r="C60" s="129">
        <f>'13.2.7'!B60*B60</f>
        <v>0</v>
      </c>
      <c r="D60" s="142">
        <f t="shared" si="0"/>
        <v>0</v>
      </c>
      <c r="F60" s="129">
        <f>B60*'13.2.7'!E60</f>
        <v>0</v>
      </c>
      <c r="G60" s="136">
        <v>0</v>
      </c>
      <c r="I60" s="129">
        <f>B60*'13.2.7'!H60</f>
        <v>0</v>
      </c>
      <c r="J60" s="136">
        <f t="shared" si="1"/>
        <v>0</v>
      </c>
    </row>
    <row r="61" spans="1:10" x14ac:dyDescent="0.2">
      <c r="A61" s="186" t="s">
        <v>247</v>
      </c>
      <c r="B61" s="147">
        <v>0</v>
      </c>
      <c r="C61" s="129">
        <f>'13.2.7'!B61*B61</f>
        <v>0</v>
      </c>
      <c r="D61" s="130">
        <f t="shared" si="0"/>
        <v>0</v>
      </c>
      <c r="F61" s="129">
        <f>B61*'13.2.7'!E61</f>
        <v>0</v>
      </c>
      <c r="G61" s="136">
        <v>0</v>
      </c>
      <c r="I61" s="129">
        <f>B61*'13.2.7'!H61</f>
        <v>0</v>
      </c>
      <c r="J61" s="136">
        <f t="shared" si="1"/>
        <v>0</v>
      </c>
    </row>
    <row r="62" spans="1:10" x14ac:dyDescent="0.2">
      <c r="A62" s="186" t="s">
        <v>248</v>
      </c>
      <c r="B62" s="147">
        <v>0</v>
      </c>
      <c r="C62" s="129">
        <f>'13.2.7'!B62*B62</f>
        <v>0</v>
      </c>
      <c r="D62" s="130">
        <f t="shared" si="0"/>
        <v>0</v>
      </c>
      <c r="F62" s="129">
        <f>B62*'13.2.7'!E62</f>
        <v>0</v>
      </c>
      <c r="G62" s="136">
        <v>0</v>
      </c>
      <c r="I62" s="129">
        <f>B62*'13.2.7'!H62</f>
        <v>0</v>
      </c>
      <c r="J62" s="136">
        <f t="shared" si="1"/>
        <v>0</v>
      </c>
    </row>
    <row r="63" spans="1:10" x14ac:dyDescent="0.2">
      <c r="A63" s="186" t="s">
        <v>249</v>
      </c>
      <c r="B63" s="147">
        <v>1</v>
      </c>
      <c r="C63" s="129">
        <f>'13.2.7'!B63*B63</f>
        <v>164914.74338517644</v>
      </c>
      <c r="D63" s="130">
        <f t="shared" si="0"/>
        <v>3.3205103709332139E-3</v>
      </c>
      <c r="F63" s="129">
        <f>B63*'13.2.7'!E63</f>
        <v>9302.937167476126</v>
      </c>
      <c r="G63" s="136">
        <v>176153.71294336641</v>
      </c>
      <c r="I63" s="129">
        <f>B63*'13.2.7'!H63</f>
        <v>3116.5335990738695</v>
      </c>
      <c r="J63" s="136">
        <f t="shared" si="1"/>
        <v>179270.24654244029</v>
      </c>
    </row>
    <row r="64" spans="1:10" x14ac:dyDescent="0.2">
      <c r="A64" s="186" t="s">
        <v>250</v>
      </c>
      <c r="B64" s="147">
        <v>0</v>
      </c>
      <c r="C64" s="129">
        <f>'13.2.7'!B64*B64</f>
        <v>0</v>
      </c>
      <c r="D64" s="130">
        <f t="shared" si="0"/>
        <v>0</v>
      </c>
      <c r="F64" s="129">
        <f>B64*'13.2.7'!E64</f>
        <v>0</v>
      </c>
      <c r="G64" s="136">
        <v>0</v>
      </c>
      <c r="I64" s="129">
        <f>B64*'13.2.7'!H64</f>
        <v>0</v>
      </c>
      <c r="J64" s="136">
        <f t="shared" si="1"/>
        <v>0</v>
      </c>
    </row>
    <row r="65" spans="1:10" x14ac:dyDescent="0.2">
      <c r="A65" s="186" t="s">
        <v>251</v>
      </c>
      <c r="B65" s="147">
        <v>0</v>
      </c>
      <c r="C65" s="129">
        <f>'13.2.7'!B65*B65</f>
        <v>0</v>
      </c>
      <c r="D65" s="142">
        <f t="shared" si="0"/>
        <v>0</v>
      </c>
      <c r="F65" s="129">
        <f>B65*'13.2.7'!E65</f>
        <v>0</v>
      </c>
      <c r="G65" s="136">
        <v>0</v>
      </c>
      <c r="I65" s="129">
        <f>B65*'13.2.7'!H65</f>
        <v>0</v>
      </c>
      <c r="J65" s="136">
        <f t="shared" si="1"/>
        <v>0</v>
      </c>
    </row>
    <row r="66" spans="1:10" x14ac:dyDescent="0.2">
      <c r="A66" s="186" t="s">
        <v>252</v>
      </c>
      <c r="B66" s="147">
        <v>0</v>
      </c>
      <c r="C66" s="129">
        <f>'13.2.7'!B66*B66</f>
        <v>0</v>
      </c>
      <c r="D66" s="130">
        <f t="shared" si="0"/>
        <v>0</v>
      </c>
      <c r="F66" s="129">
        <f>B66*'13.2.7'!E66</f>
        <v>0</v>
      </c>
      <c r="G66" s="136">
        <v>0</v>
      </c>
      <c r="I66" s="129">
        <f>B66*'13.2.7'!H66</f>
        <v>0</v>
      </c>
      <c r="J66" s="136">
        <f t="shared" si="1"/>
        <v>0</v>
      </c>
    </row>
    <row r="67" spans="1:10" x14ac:dyDescent="0.2">
      <c r="A67" s="186" t="s">
        <v>253</v>
      </c>
      <c r="B67" s="147">
        <v>0</v>
      </c>
      <c r="C67" s="129">
        <f>'13.2.7'!B67*B67</f>
        <v>0</v>
      </c>
      <c r="D67" s="142">
        <f t="shared" si="0"/>
        <v>0</v>
      </c>
      <c r="F67" s="129">
        <f>B67*'13.2.7'!E67</f>
        <v>0</v>
      </c>
      <c r="G67" s="136">
        <v>0</v>
      </c>
      <c r="I67" s="129">
        <f>B67*'13.2.7'!H67</f>
        <v>0</v>
      </c>
      <c r="J67" s="136">
        <f t="shared" si="1"/>
        <v>0</v>
      </c>
    </row>
    <row r="68" spans="1:10" x14ac:dyDescent="0.2">
      <c r="A68" s="186" t="s">
        <v>254</v>
      </c>
      <c r="B68" s="147">
        <v>7.0845810240555085E-2</v>
      </c>
      <c r="C68" s="129">
        <f>'13.2.7'!B68*B68</f>
        <v>2216019.7251882507</v>
      </c>
      <c r="D68" s="142">
        <f t="shared" si="0"/>
        <v>4.4618912346084207E-2</v>
      </c>
      <c r="F68" s="129">
        <f>B68*'13.2.7'!E68</f>
        <v>125006.96931119294</v>
      </c>
      <c r="G68" s="136">
        <v>2377692.3141394253</v>
      </c>
      <c r="I68" s="129">
        <f>B68*'13.2.7'!H68</f>
        <v>41878.001857172996</v>
      </c>
      <c r="J68" s="136">
        <f t="shared" si="1"/>
        <v>2419570.3159965985</v>
      </c>
    </row>
    <row r="69" spans="1:10" x14ac:dyDescent="0.2">
      <c r="A69" s="186" t="s">
        <v>255</v>
      </c>
      <c r="B69" s="147">
        <v>0</v>
      </c>
      <c r="C69" s="129">
        <f>'13.2.7'!B69*B69</f>
        <v>0</v>
      </c>
      <c r="D69" s="142">
        <f t="shared" si="0"/>
        <v>0</v>
      </c>
      <c r="F69" s="129">
        <f>B69*'13.2.7'!E69</f>
        <v>0</v>
      </c>
      <c r="G69" s="136">
        <v>0</v>
      </c>
      <c r="I69" s="129">
        <f>B69*'13.2.7'!H69</f>
        <v>0</v>
      </c>
      <c r="J69" s="136">
        <f t="shared" si="1"/>
        <v>0</v>
      </c>
    </row>
    <row r="70" spans="1:10" x14ac:dyDescent="0.2">
      <c r="A70" s="186" t="s">
        <v>256</v>
      </c>
      <c r="B70" s="147">
        <v>1</v>
      </c>
      <c r="C70" s="129">
        <f>'13.2.7'!B70*B70</f>
        <v>-8011.0185079128905</v>
      </c>
      <c r="D70" s="142">
        <f t="shared" si="0"/>
        <v>-1.6129952659923132E-4</v>
      </c>
      <c r="F70" s="129">
        <f>B70*'13.2.7'!E70</f>
        <v>-451.90624135125586</v>
      </c>
      <c r="G70" s="136">
        <v>-8556.9708666431306</v>
      </c>
      <c r="I70" s="129">
        <f>B70*'13.2.7'!H70</f>
        <v>-151.39100258853688</v>
      </c>
      <c r="J70" s="136">
        <f t="shared" si="1"/>
        <v>-8708.3618692316668</v>
      </c>
    </row>
    <row r="71" spans="1:10" x14ac:dyDescent="0.2">
      <c r="A71" s="186" t="s">
        <v>257</v>
      </c>
      <c r="B71" s="147">
        <v>0</v>
      </c>
      <c r="C71" s="129">
        <f>'13.2.7'!B71*B71</f>
        <v>0</v>
      </c>
      <c r="D71" s="142">
        <f t="shared" si="0"/>
        <v>0</v>
      </c>
      <c r="F71" s="129">
        <f>B71*'13.2.7'!E71</f>
        <v>0</v>
      </c>
      <c r="G71" s="136">
        <v>0</v>
      </c>
      <c r="I71" s="129">
        <f>B71*'13.2.7'!H71</f>
        <v>0</v>
      </c>
      <c r="J71" s="136">
        <f t="shared" si="1"/>
        <v>0</v>
      </c>
    </row>
    <row r="72" spans="1:10" x14ac:dyDescent="0.2">
      <c r="A72" s="186" t="s">
        <v>258</v>
      </c>
      <c r="B72" s="147">
        <v>0</v>
      </c>
      <c r="C72" s="129">
        <f>'13.2.7'!B72*B72</f>
        <v>0</v>
      </c>
      <c r="D72" s="142">
        <f t="shared" ref="D72:D75" si="2">C72/C$82</f>
        <v>0</v>
      </c>
      <c r="F72" s="129">
        <f>B72*'13.2.7'!E72</f>
        <v>0</v>
      </c>
      <c r="G72" s="136">
        <v>0</v>
      </c>
      <c r="I72" s="129">
        <f>B72*'13.2.7'!H72</f>
        <v>0</v>
      </c>
      <c r="J72" s="136">
        <f t="shared" si="1"/>
        <v>0</v>
      </c>
    </row>
    <row r="73" spans="1:10" x14ac:dyDescent="0.2">
      <c r="A73" s="186" t="s">
        <v>259</v>
      </c>
      <c r="B73" s="147">
        <v>0</v>
      </c>
      <c r="C73" s="129">
        <f>'13.2.7'!B73*B73</f>
        <v>0</v>
      </c>
      <c r="D73" s="142">
        <f t="shared" si="2"/>
        <v>0</v>
      </c>
      <c r="F73" s="129">
        <f>B73*'13.2.7'!E73</f>
        <v>0</v>
      </c>
      <c r="G73" s="136">
        <v>0</v>
      </c>
      <c r="I73" s="129">
        <f>B73*'13.2.7'!H73</f>
        <v>0</v>
      </c>
      <c r="J73" s="136">
        <f t="shared" ref="J73:J75" si="3">G73+I73</f>
        <v>0</v>
      </c>
    </row>
    <row r="74" spans="1:10" x14ac:dyDescent="0.2">
      <c r="A74" s="186" t="s">
        <v>260</v>
      </c>
      <c r="B74" s="147">
        <v>7.0845810240555085E-2</v>
      </c>
      <c r="C74" s="129">
        <f>'13.2.7'!B74*B74</f>
        <v>163392.28962839051</v>
      </c>
      <c r="D74" s="142">
        <f t="shared" si="2"/>
        <v>3.2898562075460956E-3</v>
      </c>
      <c r="F74" s="129">
        <f>B74*'13.2.7'!E74</f>
        <v>9217.0546602542727</v>
      </c>
      <c r="G74" s="136">
        <v>175312.78572263801</v>
      </c>
      <c r="I74" s="129">
        <f>B74*'13.2.7'!H74</f>
        <v>3087.7625008162831</v>
      </c>
      <c r="J74" s="136">
        <f t="shared" si="3"/>
        <v>178400.5482234543</v>
      </c>
    </row>
    <row r="75" spans="1:10" x14ac:dyDescent="0.2">
      <c r="A75" s="186" t="s">
        <v>261</v>
      </c>
      <c r="B75" s="147">
        <v>1</v>
      </c>
      <c r="C75" s="129">
        <f>'13.2.7'!B75*B75</f>
        <v>521.82980795335072</v>
      </c>
      <c r="D75" s="142">
        <f t="shared" si="2"/>
        <v>1.0506891340358705E-5</v>
      </c>
      <c r="F75" s="129">
        <f>B75*'13.2.7'!E75</f>
        <v>29.436724794021739</v>
      </c>
      <c r="G75" s="136">
        <v>557.39260364861411</v>
      </c>
      <c r="I75" s="129">
        <f>B75*'13.2.7'!H75</f>
        <v>9.8614599040819559</v>
      </c>
      <c r="J75" s="136">
        <f t="shared" si="3"/>
        <v>567.25406355269604</v>
      </c>
    </row>
    <row r="76" spans="1:10" x14ac:dyDescent="0.2">
      <c r="A76" s="143"/>
      <c r="B76" s="141"/>
      <c r="C76" s="129"/>
      <c r="D76" s="142"/>
      <c r="F76" s="129"/>
      <c r="G76" s="136"/>
      <c r="I76" s="129"/>
      <c r="J76" s="136"/>
    </row>
    <row r="77" spans="1:10" x14ac:dyDescent="0.2">
      <c r="B77" s="141"/>
      <c r="C77" s="129"/>
      <c r="D77" s="142"/>
      <c r="F77" s="129"/>
      <c r="G77" s="136"/>
      <c r="I77" s="129"/>
      <c r="J77" s="136"/>
    </row>
    <row r="78" spans="1:10" x14ac:dyDescent="0.2">
      <c r="A78" s="131" t="s">
        <v>262</v>
      </c>
      <c r="B78" s="144"/>
      <c r="C78" s="132">
        <f>SUM(C8:C75)</f>
        <v>32034164.334030103</v>
      </c>
      <c r="D78" s="149">
        <f>SUM(D8:D75)</f>
        <v>0.64499857751885503</v>
      </c>
      <c r="E78" s="131"/>
      <c r="F78" s="132">
        <f>SUM(F8:F75)</f>
        <v>1807065.9535639426</v>
      </c>
      <c r="G78" s="132">
        <f>SUM(G8:G75)</f>
        <v>34228734.147595607</v>
      </c>
      <c r="H78" s="131"/>
      <c r="I78" s="132">
        <f>SUM(I8:I75)</f>
        <v>605376.73840404779</v>
      </c>
      <c r="J78" s="132">
        <f>SUM(J8:J75)</f>
        <v>34834110.885999642</v>
      </c>
    </row>
    <row r="79" spans="1:10" x14ac:dyDescent="0.2">
      <c r="B79" s="145"/>
      <c r="D79" s="134"/>
    </row>
    <row r="80" spans="1:10" x14ac:dyDescent="0.2">
      <c r="A80" s="121" t="s">
        <v>263</v>
      </c>
      <c r="B80" s="146"/>
      <c r="C80" s="135">
        <f>+C78*('13.2.7'!B79/'13.2.7'!B77)</f>
        <v>17631316.258589737</v>
      </c>
      <c r="D80" s="148">
        <f>C80/C82</f>
        <v>0.35500142248114491</v>
      </c>
      <c r="F80" s="135">
        <f>+F78*('13.2.7'!E79/'13.2.7'!E77)</f>
        <v>994592.86639076809</v>
      </c>
      <c r="G80" s="136">
        <v>18839187.768239953</v>
      </c>
      <c r="I80" s="135">
        <f>+I78*('13.2.7'!H79/'13.2.7'!H77)</f>
        <v>333193.91818992095</v>
      </c>
      <c r="J80" s="136">
        <f>G80+I80</f>
        <v>19172381.686429873</v>
      </c>
    </row>
    <row r="81" spans="1:10" x14ac:dyDescent="0.2">
      <c r="B81" s="145"/>
      <c r="D81" s="134"/>
    </row>
    <row r="82" spans="1:10" x14ac:dyDescent="0.2">
      <c r="A82" s="131" t="s">
        <v>106</v>
      </c>
      <c r="B82" s="131"/>
      <c r="C82" s="132">
        <f>C78+C80</f>
        <v>49665480.592619836</v>
      </c>
      <c r="D82" s="133">
        <f>D78+D80</f>
        <v>1</v>
      </c>
      <c r="E82" s="131"/>
      <c r="F82" s="137">
        <f>F78+F80</f>
        <v>2801658.8199547105</v>
      </c>
      <c r="G82" s="137">
        <f>G78+G80</f>
        <v>53067921.915835559</v>
      </c>
      <c r="H82" s="131"/>
      <c r="I82" s="137">
        <f>I78+I80</f>
        <v>938570.65659396874</v>
      </c>
      <c r="J82" s="137">
        <f>J78+J80</f>
        <v>54006492.572429515</v>
      </c>
    </row>
  </sheetData>
  <pageMargins left="0.7" right="0.7" top="0.75" bottom="0.75" header="0.3" footer="0.3"/>
  <pageSetup scale="64"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2023-04-19T07:00:00+00:00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393DFB88-C5CA-447F-9CB0-A50CFBE1153F}"/>
</file>

<file path=customXml/itemProps2.xml><?xml version="1.0" encoding="utf-8"?>
<ds:datastoreItem xmlns:ds="http://schemas.openxmlformats.org/officeDocument/2006/customXml" ds:itemID="{6F4FA204-B9FA-4BA2-8692-1E44D26C0409}"/>
</file>

<file path=customXml/itemProps3.xml><?xml version="1.0" encoding="utf-8"?>
<ds:datastoreItem xmlns:ds="http://schemas.openxmlformats.org/officeDocument/2006/customXml" ds:itemID="{36DCD55B-B17F-4FC6-86B2-C5A841186C1C}"/>
</file>

<file path=customXml/itemProps4.xml><?xml version="1.0" encoding="utf-8"?>
<ds:datastoreItem xmlns:ds="http://schemas.openxmlformats.org/officeDocument/2006/customXml" ds:itemID="{09F0C1D5-C9A3-4DE6-9CA5-AEE4A8F1322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13.2</vt:lpstr>
      <vt:lpstr>13.2.1</vt:lpstr>
      <vt:lpstr>13.2.2</vt:lpstr>
      <vt:lpstr>13.2.3</vt:lpstr>
      <vt:lpstr>13.2.4_REDACTED</vt:lpstr>
      <vt:lpstr>13.2.5</vt:lpstr>
      <vt:lpstr>13.2.6</vt:lpstr>
      <vt:lpstr>13.2.7</vt:lpstr>
      <vt:lpstr>13.2.8</vt:lpstr>
      <vt:lpstr>'13.2.2'!Print_Area</vt:lpstr>
      <vt:lpstr>'13.2.6'!Print_Area</vt:lpstr>
      <vt:lpstr>'13.2.7'!Print_Area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2023-03-04T17:36:44Z</dcterms:created>
  <dcterms:modified xsi:type="dcterms:W3CDTF">2023-03-13T20:51:19Z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