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showInkAnnotation="0" codeName="ThisWorkbook"/>
  <xr:revisionPtr revIDLastSave="0" documentId="13_ncr:1_{6754430D-54CD-4253-A78C-1566F81142DC}" xr6:coauthVersionLast="47" xr6:coauthVersionMax="47" xr10:uidLastSave="{00000000-0000-0000-0000-000000000000}"/>
  <bookViews>
    <workbookView xWindow="4560" yWindow="1032" windowWidth="16572" windowHeight="12792" tabRatio="936" firstSheet="2" activeTab="5" xr2:uid="{00000000-000D-0000-FFFF-FFFF00000000}"/>
  </bookViews>
  <sheets>
    <sheet name="AEB-3 Summary" sheetId="1" r:id="rId1"/>
    <sheet name="AEB-4 Proxy Selection" sheetId="2" r:id="rId2"/>
    <sheet name="AEB-5 CGDCF" sheetId="3" r:id="rId3"/>
    <sheet name="AEB-6 CAPM" sheetId="4" r:id="rId4"/>
    <sheet name="AEB-7 LT Beta" sheetId="5" r:id="rId5"/>
    <sheet name="AEB-8 Market Return" sheetId="6" r:id="rId6"/>
    <sheet name="AEB-9 Risk Premium (Electric)" sheetId="13" r:id="rId7"/>
    <sheet name="AEB-9 Risk Premium (Gas)" sheetId="21" r:id="rId8"/>
    <sheet name="AEB-10 Expected Earnings" sheetId="14" r:id="rId9"/>
    <sheet name="AEB-11 WildFire Risk" sheetId="22" r:id="rId10"/>
    <sheet name="AEB-12 CapEx 1" sheetId="15" r:id="rId11"/>
    <sheet name="AEB-12 CapEx 2" sheetId="16" r:id="rId12"/>
    <sheet name="AEB-13 Regulatory Risk" sheetId="17" r:id="rId13"/>
    <sheet name="AEB-14 RRA Reg Env" sheetId="19" r:id="rId14"/>
    <sheet name="AEB-15 S&amp;P Cred Sup" sheetId="20" r:id="rId15"/>
    <sheet name="AEB-16 Capital Structure" sheetId="18" r:id="rId16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9">'AEB-11 WildFire Risk'!$A$1:$H$97</definedName>
    <definedName name="_xlnm.Print_Area" localSheetId="11">'AEB-12 CapEx 2'!$A$1:$F$56</definedName>
    <definedName name="_xlnm.Print_Area" localSheetId="14">'AEB-15 S&amp;P Cred Sup'!$A$1:$G$93</definedName>
    <definedName name="_xlnm.Print_Area" localSheetId="15">'AEB-16 Capital Structure'!$B$3:$G$39</definedName>
    <definedName name="_xlnm.Print_Area" localSheetId="2">'AEB-5 CGDCF'!$B$1:$N$131</definedName>
    <definedName name="_xlnm.Print_Area" localSheetId="5">'AEB-8 Market Return'!$B$1:$K$537</definedName>
    <definedName name="_xlnm.Print_Titles" localSheetId="9">'AEB-11 WildFire Risk'!$6:$7</definedName>
    <definedName name="_xlnm.Print_Titles" localSheetId="10">'AEB-12 CapEx 1'!$5:$10</definedName>
    <definedName name="_xlnm.Print_Titles" localSheetId="12">'AEB-13 Regulatory Risk'!$A:$B,'AEB-13 Regulatory Risk'!$1:$8</definedName>
    <definedName name="_xlnm.Print_Titles" localSheetId="13">'AEB-14 RRA Reg Env'!$5:$8</definedName>
    <definedName name="_xlnm.Print_Titles" localSheetId="14">'AEB-15 S&amp;P Cred Sup'!$5:$8</definedName>
    <definedName name="_xlnm.Print_Titles" localSheetId="5">'AEB-8 Market Return'!$15:$19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8" l="1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D32" i="18"/>
  <c r="E32" i="18"/>
  <c r="F32" i="18"/>
  <c r="D33" i="18"/>
  <c r="E33" i="18"/>
  <c r="F33" i="18"/>
  <c r="D34" i="18"/>
  <c r="E34" i="18"/>
  <c r="F34" i="18"/>
  <c r="D35" i="18"/>
  <c r="E35" i="18"/>
  <c r="F35" i="18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89" i="20" s="1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D81" i="20"/>
  <c r="D82" i="20"/>
  <c r="D83" i="20"/>
  <c r="D84" i="20"/>
  <c r="D85" i="20"/>
  <c r="C89" i="20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89" i="19" s="1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C89" i="19"/>
  <c r="P9" i="17"/>
  <c r="AA9" i="17"/>
  <c r="P10" i="17"/>
  <c r="AA10" i="17"/>
  <c r="P11" i="17"/>
  <c r="AA11" i="17"/>
  <c r="P12" i="17"/>
  <c r="AA12" i="17"/>
  <c r="P13" i="17"/>
  <c r="AA13" i="17"/>
  <c r="P14" i="17"/>
  <c r="AA14" i="17"/>
  <c r="P15" i="17"/>
  <c r="AA15" i="17"/>
  <c r="P16" i="17"/>
  <c r="AA16" i="17"/>
  <c r="P17" i="17"/>
  <c r="AA17" i="17"/>
  <c r="P18" i="17"/>
  <c r="AA18" i="17"/>
  <c r="P19" i="17"/>
  <c r="AA19" i="17"/>
  <c r="P20" i="17"/>
  <c r="AA20" i="17"/>
  <c r="P21" i="17"/>
  <c r="AA21" i="17"/>
  <c r="P22" i="17"/>
  <c r="AA22" i="17"/>
  <c r="P23" i="17"/>
  <c r="AA23" i="17"/>
  <c r="P24" i="17"/>
  <c r="AA24" i="17"/>
  <c r="P25" i="17"/>
  <c r="AA25" i="17"/>
  <c r="P26" i="17"/>
  <c r="AA26" i="17"/>
  <c r="P27" i="17"/>
  <c r="AA27" i="17"/>
  <c r="P28" i="17"/>
  <c r="AA28" i="17"/>
  <c r="P29" i="17"/>
  <c r="AA29" i="17"/>
  <c r="P30" i="17"/>
  <c r="AA30" i="17"/>
  <c r="P31" i="17"/>
  <c r="AA31" i="17"/>
  <c r="P32" i="17"/>
  <c r="AA32" i="17"/>
  <c r="P33" i="17"/>
  <c r="AA33" i="17"/>
  <c r="P34" i="17"/>
  <c r="AA34" i="17"/>
  <c r="P35" i="17"/>
  <c r="AA35" i="17"/>
  <c r="P36" i="17"/>
  <c r="AA36" i="17"/>
  <c r="P37" i="17"/>
  <c r="AA37" i="17"/>
  <c r="P38" i="17"/>
  <c r="AA38" i="17"/>
  <c r="P39" i="17"/>
  <c r="AA39" i="17"/>
  <c r="P40" i="17"/>
  <c r="AA40" i="17"/>
  <c r="P41" i="17"/>
  <c r="AA41" i="17"/>
  <c r="P42" i="17"/>
  <c r="AA42" i="17"/>
  <c r="P43" i="17"/>
  <c r="AA43" i="17"/>
  <c r="P44" i="17"/>
  <c r="AA44" i="17"/>
  <c r="P45" i="17"/>
  <c r="AA45" i="17"/>
  <c r="P46" i="17"/>
  <c r="AA46" i="17"/>
  <c r="P47" i="17"/>
  <c r="AA47" i="17"/>
  <c r="P48" i="17"/>
  <c r="AA48" i="17"/>
  <c r="P49" i="17"/>
  <c r="AA49" i="17"/>
  <c r="P50" i="17"/>
  <c r="AA50" i="17"/>
  <c r="P51" i="17"/>
  <c r="AA51" i="17"/>
  <c r="P52" i="17"/>
  <c r="AA52" i="17"/>
  <c r="P53" i="17"/>
  <c r="AA53" i="17"/>
  <c r="P54" i="17"/>
  <c r="AA54" i="17"/>
  <c r="P55" i="17"/>
  <c r="AA55" i="17"/>
  <c r="P56" i="17"/>
  <c r="AA56" i="17"/>
  <c r="P57" i="17"/>
  <c r="AA57" i="17"/>
  <c r="P58" i="17"/>
  <c r="AA58" i="17"/>
  <c r="P59" i="17"/>
  <c r="AA59" i="17"/>
  <c r="P60" i="17"/>
  <c r="AA60" i="17"/>
  <c r="P61" i="17"/>
  <c r="AA61" i="17"/>
  <c r="P62" i="17"/>
  <c r="AA62" i="17"/>
  <c r="P63" i="17"/>
  <c r="AA63" i="17"/>
  <c r="P64" i="17"/>
  <c r="AA64" i="17"/>
  <c r="P65" i="17"/>
  <c r="AA65" i="17"/>
  <c r="P66" i="17"/>
  <c r="AA66" i="17"/>
  <c r="P67" i="17"/>
  <c r="AA67" i="17"/>
  <c r="P68" i="17"/>
  <c r="AA68" i="17"/>
  <c r="P69" i="17"/>
  <c r="AA69" i="17"/>
  <c r="P70" i="17"/>
  <c r="AA70" i="17"/>
  <c r="P71" i="17"/>
  <c r="AA71" i="17"/>
  <c r="P72" i="17"/>
  <c r="AA72" i="17"/>
  <c r="P73" i="17"/>
  <c r="AA73" i="17"/>
  <c r="P74" i="17"/>
  <c r="AA74" i="17"/>
  <c r="P75" i="17"/>
  <c r="AA75" i="17"/>
  <c r="AA76" i="17"/>
  <c r="P77" i="17"/>
  <c r="AA77" i="17"/>
  <c r="P78" i="17"/>
  <c r="AA78" i="17"/>
  <c r="P79" i="17"/>
  <c r="AA79" i="17"/>
  <c r="P80" i="17"/>
  <c r="AA80" i="17"/>
  <c r="P81" i="17"/>
  <c r="AA81" i="17"/>
  <c r="P82" i="17"/>
  <c r="AA82" i="17"/>
  <c r="P83" i="17"/>
  <c r="AA83" i="17"/>
  <c r="P84" i="17"/>
  <c r="AA84" i="17"/>
  <c r="P85" i="17"/>
  <c r="AA85" i="17"/>
  <c r="P86" i="17"/>
  <c r="AA86" i="17"/>
  <c r="P87" i="17"/>
  <c r="AA87" i="17"/>
  <c r="P88" i="17"/>
  <c r="AA88" i="17"/>
  <c r="P89" i="17"/>
  <c r="AA89" i="17"/>
  <c r="P90" i="17"/>
  <c r="AA90" i="17"/>
  <c r="P91" i="17"/>
  <c r="AA91" i="17"/>
  <c r="P92" i="17"/>
  <c r="AA92" i="17"/>
  <c r="P93" i="17"/>
  <c r="AA93" i="17"/>
  <c r="P94" i="17"/>
  <c r="AA94" i="17"/>
  <c r="P95" i="17"/>
  <c r="AA95" i="17"/>
  <c r="P96" i="17"/>
  <c r="AA96" i="17"/>
  <c r="P97" i="17"/>
  <c r="AA97" i="17"/>
  <c r="P98" i="17"/>
  <c r="AA98" i="17"/>
  <c r="P99" i="17"/>
  <c r="AA99" i="17"/>
  <c r="P100" i="17"/>
  <c r="AA100" i="17"/>
  <c r="P101" i="17"/>
  <c r="AA101" i="17"/>
  <c r="P102" i="17"/>
  <c r="AA102" i="17"/>
  <c r="P103" i="17"/>
  <c r="AA103" i="17"/>
  <c r="P104" i="17"/>
  <c r="AA104" i="17"/>
  <c r="P105" i="17"/>
  <c r="AA105" i="17"/>
  <c r="P106" i="17"/>
  <c r="AA106" i="17"/>
  <c r="P107" i="17"/>
  <c r="AA107" i="17"/>
  <c r="P108" i="17"/>
  <c r="AA108" i="17"/>
  <c r="P109" i="17"/>
  <c r="AA109" i="17"/>
  <c r="P110" i="17"/>
  <c r="AA110" i="17"/>
  <c r="P111" i="17"/>
  <c r="AA111" i="17"/>
  <c r="P112" i="17"/>
  <c r="AA112" i="17"/>
  <c r="P113" i="17"/>
  <c r="AA113" i="17"/>
  <c r="P114" i="17"/>
  <c r="AA114" i="17"/>
  <c r="P115" i="17"/>
  <c r="AA115" i="17"/>
  <c r="P116" i="17"/>
  <c r="AA116" i="17"/>
  <c r="P117" i="17"/>
  <c r="AA117" i="17"/>
  <c r="P118" i="17"/>
  <c r="AA118" i="17"/>
  <c r="P119" i="17"/>
  <c r="AA119" i="17"/>
  <c r="E123" i="17"/>
  <c r="G123" i="17"/>
  <c r="E124" i="17"/>
  <c r="G124" i="17"/>
  <c r="E125" i="17"/>
  <c r="G125" i="17"/>
  <c r="P130" i="17"/>
  <c r="F9" i="15"/>
  <c r="G9" i="15" s="1"/>
  <c r="H9" i="15" s="1"/>
  <c r="F12" i="15"/>
  <c r="H12" i="15"/>
  <c r="F13" i="15"/>
  <c r="H13" i="15"/>
  <c r="I13" i="15"/>
  <c r="E14" i="15"/>
  <c r="G14" i="15"/>
  <c r="E19" i="15"/>
  <c r="F17" i="15"/>
  <c r="F18" i="15"/>
  <c r="G19" i="15"/>
  <c r="H17" i="15"/>
  <c r="H18" i="15"/>
  <c r="I18" i="15"/>
  <c r="E24" i="15"/>
  <c r="F22" i="15"/>
  <c r="F24" i="15" s="1"/>
  <c r="F23" i="15"/>
  <c r="G24" i="15"/>
  <c r="H22" i="15"/>
  <c r="H23" i="15"/>
  <c r="I23" i="15"/>
  <c r="E29" i="15"/>
  <c r="F27" i="15"/>
  <c r="F28" i="15"/>
  <c r="F29" i="15" s="1"/>
  <c r="G29" i="15"/>
  <c r="H27" i="15"/>
  <c r="H28" i="15"/>
  <c r="I28" i="15" s="1"/>
  <c r="E34" i="15"/>
  <c r="F32" i="15"/>
  <c r="F33" i="15"/>
  <c r="G34" i="15"/>
  <c r="H32" i="15"/>
  <c r="H33" i="15"/>
  <c r="I33" i="15" s="1"/>
  <c r="E39" i="15"/>
  <c r="F37" i="15"/>
  <c r="F39" i="15" s="1"/>
  <c r="F38" i="15"/>
  <c r="G39" i="15"/>
  <c r="H37" i="15"/>
  <c r="H38" i="15"/>
  <c r="I38" i="15" s="1"/>
  <c r="E44" i="15"/>
  <c r="F42" i="15"/>
  <c r="F44" i="15" s="1"/>
  <c r="F43" i="15"/>
  <c r="G44" i="15"/>
  <c r="H42" i="15"/>
  <c r="I42" i="15" s="1"/>
  <c r="I44" i="15" s="1"/>
  <c r="H43" i="15"/>
  <c r="H44" i="15" s="1"/>
  <c r="I43" i="15"/>
  <c r="E49" i="15"/>
  <c r="F47" i="15"/>
  <c r="F49" i="15" s="1"/>
  <c r="F48" i="15"/>
  <c r="G49" i="15"/>
  <c r="H47" i="15"/>
  <c r="H48" i="15"/>
  <c r="I48" i="15" s="1"/>
  <c r="E54" i="15"/>
  <c r="F52" i="15"/>
  <c r="F54" i="15" s="1"/>
  <c r="F53" i="15"/>
  <c r="G54" i="15"/>
  <c r="H52" i="15"/>
  <c r="H53" i="15"/>
  <c r="I52" i="15"/>
  <c r="E59" i="15"/>
  <c r="F57" i="15"/>
  <c r="F59" i="15" s="1"/>
  <c r="F58" i="15"/>
  <c r="G59" i="15"/>
  <c r="H57" i="15"/>
  <c r="H58" i="15"/>
  <c r="I58" i="15" s="1"/>
  <c r="E64" i="15"/>
  <c r="F62" i="15"/>
  <c r="F64" i="15" s="1"/>
  <c r="F63" i="15"/>
  <c r="G64" i="15"/>
  <c r="H62" i="15"/>
  <c r="H63" i="15"/>
  <c r="I63" i="15"/>
  <c r="E69" i="15"/>
  <c r="F67" i="15"/>
  <c r="F68" i="15"/>
  <c r="G69" i="15"/>
  <c r="H67" i="15"/>
  <c r="H68" i="15"/>
  <c r="I68" i="15"/>
  <c r="E74" i="15"/>
  <c r="F72" i="15"/>
  <c r="F74" i="15" s="1"/>
  <c r="F73" i="15"/>
  <c r="G74" i="15"/>
  <c r="H72" i="15"/>
  <c r="I72" i="15" s="1"/>
  <c r="H73" i="15"/>
  <c r="E79" i="15"/>
  <c r="F77" i="15"/>
  <c r="F79" i="15" s="1"/>
  <c r="F78" i="15"/>
  <c r="G79" i="15"/>
  <c r="H77" i="15"/>
  <c r="H78" i="15"/>
  <c r="I78" i="15" s="1"/>
  <c r="E84" i="15"/>
  <c r="F82" i="15"/>
  <c r="F84" i="15" s="1"/>
  <c r="F83" i="15"/>
  <c r="G84" i="15"/>
  <c r="H82" i="15"/>
  <c r="H83" i="15"/>
  <c r="I83" i="15" s="1"/>
  <c r="E89" i="15"/>
  <c r="F87" i="15"/>
  <c r="F89" i="15" s="1"/>
  <c r="F88" i="15"/>
  <c r="G89" i="15"/>
  <c r="H87" i="15"/>
  <c r="H88" i="15"/>
  <c r="I88" i="15" s="1"/>
  <c r="E94" i="15"/>
  <c r="F92" i="15"/>
  <c r="F93" i="15"/>
  <c r="G94" i="15"/>
  <c r="H92" i="15"/>
  <c r="I92" i="15" s="1"/>
  <c r="H93" i="15"/>
  <c r="I93" i="15" s="1"/>
  <c r="H94" i="15"/>
  <c r="E99" i="15"/>
  <c r="F97" i="15"/>
  <c r="F98" i="15"/>
  <c r="G99" i="15"/>
  <c r="H97" i="15"/>
  <c r="H98" i="15"/>
  <c r="I98" i="15" s="1"/>
  <c r="E104" i="15"/>
  <c r="F102" i="15"/>
  <c r="F103" i="15"/>
  <c r="G104" i="15"/>
  <c r="H102" i="15"/>
  <c r="H103" i="15"/>
  <c r="I103" i="15"/>
  <c r="E109" i="15"/>
  <c r="F107" i="15"/>
  <c r="F109" i="15" s="1"/>
  <c r="F108" i="15"/>
  <c r="G109" i="15"/>
  <c r="H107" i="15"/>
  <c r="H108" i="15"/>
  <c r="I108" i="15"/>
  <c r="E114" i="15"/>
  <c r="F112" i="15"/>
  <c r="F114" i="15" s="1"/>
  <c r="F113" i="15"/>
  <c r="G114" i="15"/>
  <c r="H112" i="15"/>
  <c r="H113" i="15"/>
  <c r="I113" i="15" s="1"/>
  <c r="J120" i="15"/>
  <c r="J123" i="15"/>
  <c r="J124" i="15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3" i="22"/>
  <c r="D64" i="22"/>
  <c r="D65" i="22"/>
  <c r="D66" i="22"/>
  <c r="D67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5" i="22"/>
  <c r="C87" i="22"/>
  <c r="A7" i="14"/>
  <c r="B7" i="14"/>
  <c r="F7" i="14"/>
  <c r="I7" i="14"/>
  <c r="A8" i="14"/>
  <c r="B8" i="14"/>
  <c r="F8" i="14"/>
  <c r="I8" i="14"/>
  <c r="J8" i="14" s="1"/>
  <c r="K8" i="14" s="1"/>
  <c r="L8" i="14" s="1"/>
  <c r="A9" i="14"/>
  <c r="B9" i="14"/>
  <c r="F9" i="14"/>
  <c r="I9" i="14"/>
  <c r="A10" i="14"/>
  <c r="B10" i="14"/>
  <c r="F10" i="14"/>
  <c r="I10" i="14"/>
  <c r="J10" i="14"/>
  <c r="K10" i="14" s="1"/>
  <c r="L10" i="14" s="1"/>
  <c r="A11" i="14"/>
  <c r="B11" i="14"/>
  <c r="F11" i="14"/>
  <c r="I11" i="14"/>
  <c r="A12" i="14"/>
  <c r="B12" i="14"/>
  <c r="F12" i="14"/>
  <c r="I12" i="14"/>
  <c r="A13" i="14"/>
  <c r="B13" i="14"/>
  <c r="F13" i="14"/>
  <c r="I13" i="14"/>
  <c r="J13" i="14" s="1"/>
  <c r="K13" i="14" s="1"/>
  <c r="L13" i="14" s="1"/>
  <c r="A14" i="14"/>
  <c r="B14" i="14"/>
  <c r="F14" i="14"/>
  <c r="I14" i="14"/>
  <c r="A15" i="14"/>
  <c r="B15" i="14"/>
  <c r="F15" i="14"/>
  <c r="I15" i="14"/>
  <c r="J15" i="14" s="1"/>
  <c r="K15" i="14" s="1"/>
  <c r="L15" i="14" s="1"/>
  <c r="A16" i="14"/>
  <c r="B16" i="14"/>
  <c r="F16" i="14"/>
  <c r="I16" i="14"/>
  <c r="A17" i="14"/>
  <c r="B17" i="14"/>
  <c r="F17" i="14"/>
  <c r="I17" i="14"/>
  <c r="J17" i="14" s="1"/>
  <c r="K17" i="14" s="1"/>
  <c r="L17" i="14" s="1"/>
  <c r="A18" i="14"/>
  <c r="B18" i="14"/>
  <c r="F18" i="14"/>
  <c r="I18" i="14"/>
  <c r="J18" i="14" s="1"/>
  <c r="K18" i="14" s="1"/>
  <c r="L18" i="14" s="1"/>
  <c r="A19" i="14"/>
  <c r="B19" i="14"/>
  <c r="F19" i="14"/>
  <c r="I19" i="14"/>
  <c r="J19" i="14" s="1"/>
  <c r="K19" i="14" s="1"/>
  <c r="L19" i="14" s="1"/>
  <c r="A20" i="14"/>
  <c r="B20" i="14"/>
  <c r="F20" i="14"/>
  <c r="I20" i="14"/>
  <c r="J20" i="14"/>
  <c r="K20" i="14" s="1"/>
  <c r="L20" i="14" s="1"/>
  <c r="A21" i="14"/>
  <c r="B21" i="14"/>
  <c r="F21" i="14"/>
  <c r="I21" i="14"/>
  <c r="A22" i="14"/>
  <c r="B22" i="14"/>
  <c r="F22" i="14"/>
  <c r="I22" i="14"/>
  <c r="A23" i="14"/>
  <c r="B23" i="14"/>
  <c r="F23" i="14"/>
  <c r="I23" i="14"/>
  <c r="J23" i="14" s="1"/>
  <c r="K23" i="14" s="1"/>
  <c r="L23" i="14" s="1"/>
  <c r="A24" i="14"/>
  <c r="B24" i="14"/>
  <c r="F24" i="14"/>
  <c r="I24" i="14"/>
  <c r="J24" i="14" s="1"/>
  <c r="K24" i="14" s="1"/>
  <c r="L24" i="14" s="1"/>
  <c r="A25" i="14"/>
  <c r="B25" i="14"/>
  <c r="F25" i="14"/>
  <c r="I25" i="14"/>
  <c r="J25" i="14" s="1"/>
  <c r="K25" i="14" s="1"/>
  <c r="L25" i="14" s="1"/>
  <c r="A26" i="14"/>
  <c r="B26" i="14"/>
  <c r="F26" i="14"/>
  <c r="I26" i="14"/>
  <c r="A27" i="14"/>
  <c r="B27" i="14"/>
  <c r="F27" i="14"/>
  <c r="I27" i="14"/>
  <c r="J27" i="14" s="1"/>
  <c r="K27" i="14" s="1"/>
  <c r="L27" i="14" s="1"/>
  <c r="D6" i="21"/>
  <c r="D7" i="21"/>
  <c r="D130" i="21" s="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I47" i="21"/>
  <c r="J47" i="21" s="1"/>
  <c r="D48" i="21"/>
  <c r="I48" i="21"/>
  <c r="J48" i="21" s="1"/>
  <c r="K48" i="21" s="1"/>
  <c r="D27" i="1" s="1"/>
  <c r="D49" i="21"/>
  <c r="I49" i="21"/>
  <c r="J49" i="21" s="1"/>
  <c r="K49" i="21"/>
  <c r="D50" i="21"/>
  <c r="D51" i="21"/>
  <c r="D52" i="21"/>
  <c r="D53" i="21"/>
  <c r="D54" i="21"/>
  <c r="D55" i="21"/>
  <c r="D56" i="21"/>
  <c r="F56" i="21"/>
  <c r="D57" i="21"/>
  <c r="F57" i="21"/>
  <c r="D58" i="21"/>
  <c r="F58" i="21"/>
  <c r="D59" i="21"/>
  <c r="D60" i="21"/>
  <c r="F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B130" i="21"/>
  <c r="C130" i="21"/>
  <c r="B131" i="21"/>
  <c r="C131" i="21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J47" i="13"/>
  <c r="K47" i="13" s="1"/>
  <c r="D48" i="13"/>
  <c r="J48" i="13"/>
  <c r="K48" i="13" s="1"/>
  <c r="D26" i="1" s="1"/>
  <c r="D49" i="13"/>
  <c r="J49" i="13"/>
  <c r="K49" i="13" s="1"/>
  <c r="D50" i="13"/>
  <c r="D51" i="13"/>
  <c r="D52" i="13"/>
  <c r="D53" i="13"/>
  <c r="D54" i="13"/>
  <c r="D55" i="13"/>
  <c r="D56" i="13"/>
  <c r="D57" i="13"/>
  <c r="D58" i="13"/>
  <c r="D59" i="13"/>
  <c r="D60" i="13"/>
  <c r="F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B134" i="13"/>
  <c r="C134" i="13"/>
  <c r="B135" i="13"/>
  <c r="C135" i="13"/>
  <c r="F20" i="6"/>
  <c r="F21" i="6"/>
  <c r="F23" i="6"/>
  <c r="F25" i="6"/>
  <c r="F22" i="6"/>
  <c r="F24" i="6"/>
  <c r="F26" i="6"/>
  <c r="G225" i="6" s="1"/>
  <c r="F27" i="6"/>
  <c r="F28" i="6"/>
  <c r="F29" i="6"/>
  <c r="F30" i="6"/>
  <c r="G123" i="6" s="1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G22" i="6"/>
  <c r="I22" i="6" s="1"/>
  <c r="G24" i="6"/>
  <c r="K24" i="6" s="1"/>
  <c r="G33" i="6"/>
  <c r="I33" i="6"/>
  <c r="G35" i="6"/>
  <c r="I35" i="6" s="1"/>
  <c r="G46" i="6"/>
  <c r="G47" i="6"/>
  <c r="G55" i="6"/>
  <c r="I55" i="6" s="1"/>
  <c r="G56" i="6"/>
  <c r="I56" i="6" s="1"/>
  <c r="G58" i="6"/>
  <c r="I58" i="6" s="1"/>
  <c r="G61" i="6"/>
  <c r="I61" i="6" s="1"/>
  <c r="G65" i="6"/>
  <c r="I65" i="6" s="1"/>
  <c r="G70" i="6"/>
  <c r="I70" i="6" s="1"/>
  <c r="G72" i="6"/>
  <c r="I72" i="6" s="1"/>
  <c r="G78" i="6"/>
  <c r="I78" i="6" s="1"/>
  <c r="G81" i="6"/>
  <c r="K81" i="6" s="1"/>
  <c r="G82" i="6"/>
  <c r="I82" i="6" s="1"/>
  <c r="G86" i="6"/>
  <c r="I86" i="6" s="1"/>
  <c r="G87" i="6"/>
  <c r="I87" i="6" s="1"/>
  <c r="G88" i="6"/>
  <c r="I88" i="6" s="1"/>
  <c r="G93" i="6"/>
  <c r="I93" i="6" s="1"/>
  <c r="G96" i="6"/>
  <c r="I96" i="6"/>
  <c r="G110" i="6"/>
  <c r="I110" i="6" s="1"/>
  <c r="G111" i="6"/>
  <c r="G114" i="6"/>
  <c r="I114" i="6" s="1"/>
  <c r="G117" i="6"/>
  <c r="I117" i="6" s="1"/>
  <c r="G122" i="6"/>
  <c r="I122" i="6" s="1"/>
  <c r="G128" i="6"/>
  <c r="I128" i="6" s="1"/>
  <c r="G129" i="6"/>
  <c r="I129" i="6" s="1"/>
  <c r="G132" i="6"/>
  <c r="I132" i="6" s="1"/>
  <c r="G134" i="6"/>
  <c r="I134" i="6" s="1"/>
  <c r="G136" i="6"/>
  <c r="G138" i="6"/>
  <c r="I138" i="6" s="1"/>
  <c r="G139" i="6"/>
  <c r="I139" i="6" s="1"/>
  <c r="G144" i="6"/>
  <c r="I144" i="6" s="1"/>
  <c r="G145" i="6"/>
  <c r="I145" i="6" s="1"/>
  <c r="G148" i="6"/>
  <c r="I148" i="6"/>
  <c r="G152" i="6"/>
  <c r="G165" i="6"/>
  <c r="K165" i="6" s="1"/>
  <c r="I165" i="6"/>
  <c r="G167" i="6"/>
  <c r="G173" i="6"/>
  <c r="I173" i="6" s="1"/>
  <c r="G176" i="6"/>
  <c r="G177" i="6"/>
  <c r="I177" i="6" s="1"/>
  <c r="G178" i="6"/>
  <c r="I178" i="6" s="1"/>
  <c r="G184" i="6"/>
  <c r="K184" i="6" s="1"/>
  <c r="G187" i="6"/>
  <c r="I187" i="6" s="1"/>
  <c r="G190" i="6"/>
  <c r="I190" i="6" s="1"/>
  <c r="G199" i="6"/>
  <c r="G200" i="6"/>
  <c r="I200" i="6" s="1"/>
  <c r="G203" i="6"/>
  <c r="I203" i="6" s="1"/>
  <c r="G213" i="6"/>
  <c r="I213" i="6" s="1"/>
  <c r="G214" i="6"/>
  <c r="I214" i="6" s="1"/>
  <c r="G219" i="6"/>
  <c r="I219" i="6" s="1"/>
  <c r="G237" i="6"/>
  <c r="I237" i="6" s="1"/>
  <c r="G239" i="6"/>
  <c r="G250" i="6"/>
  <c r="G251" i="6"/>
  <c r="I251" i="6"/>
  <c r="G252" i="6"/>
  <c r="I252" i="6"/>
  <c r="G254" i="6"/>
  <c r="K254" i="6" s="1"/>
  <c r="G258" i="6"/>
  <c r="K258" i="6" s="1"/>
  <c r="G272" i="6"/>
  <c r="K272" i="6" s="1"/>
  <c r="G275" i="6"/>
  <c r="I275" i="6" s="1"/>
  <c r="G278" i="6"/>
  <c r="I278" i="6" s="1"/>
  <c r="G281" i="6"/>
  <c r="I281" i="6" s="1"/>
  <c r="G282" i="6"/>
  <c r="I282" i="6" s="1"/>
  <c r="G285" i="6"/>
  <c r="K285" i="6" s="1"/>
  <c r="G287" i="6"/>
  <c r="I287" i="6" s="1"/>
  <c r="G288" i="6"/>
  <c r="I288" i="6"/>
  <c r="G302" i="6"/>
  <c r="I302" i="6"/>
  <c r="G304" i="6"/>
  <c r="I304" i="6" s="1"/>
  <c r="G306" i="6"/>
  <c r="I306" i="6"/>
  <c r="G310" i="6"/>
  <c r="I310" i="6" s="1"/>
  <c r="G312" i="6"/>
  <c r="I312" i="6" s="1"/>
  <c r="G315" i="6"/>
  <c r="I315" i="6" s="1"/>
  <c r="G317" i="6"/>
  <c r="I317" i="6" s="1"/>
  <c r="G318" i="6"/>
  <c r="I318" i="6"/>
  <c r="G320" i="6"/>
  <c r="K320" i="6" s="1"/>
  <c r="I320" i="6"/>
  <c r="G324" i="6"/>
  <c r="I324" i="6"/>
  <c r="G325" i="6"/>
  <c r="I325" i="6" s="1"/>
  <c r="G332" i="6"/>
  <c r="I332" i="6"/>
  <c r="G336" i="6"/>
  <c r="I336" i="6" s="1"/>
  <c r="G338" i="6"/>
  <c r="I338" i="6" s="1"/>
  <c r="G342" i="6"/>
  <c r="I342" i="6" s="1"/>
  <c r="G344" i="6"/>
  <c r="I344" i="6" s="1"/>
  <c r="G347" i="6"/>
  <c r="I347" i="6"/>
  <c r="G352" i="6"/>
  <c r="I352" i="6" s="1"/>
  <c r="G354" i="6"/>
  <c r="K354" i="6" s="1"/>
  <c r="G355" i="6"/>
  <c r="I355" i="6" s="1"/>
  <c r="G360" i="6"/>
  <c r="I360" i="6"/>
  <c r="G365" i="6"/>
  <c r="K365" i="6" s="1"/>
  <c r="I365" i="6"/>
  <c r="G366" i="6"/>
  <c r="K366" i="6" s="1"/>
  <c r="G367" i="6"/>
  <c r="K367" i="6" s="1"/>
  <c r="G375" i="6"/>
  <c r="I375" i="6"/>
  <c r="G382" i="6"/>
  <c r="I382" i="6" s="1"/>
  <c r="G386" i="6"/>
  <c r="K386" i="6" s="1"/>
  <c r="I386" i="6"/>
  <c r="G396" i="6"/>
  <c r="I396" i="6" s="1"/>
  <c r="G398" i="6"/>
  <c r="I398" i="6"/>
  <c r="G399" i="6"/>
  <c r="I399" i="6" s="1"/>
  <c r="G403" i="6"/>
  <c r="I403" i="6" s="1"/>
  <c r="G406" i="6"/>
  <c r="I406" i="6" s="1"/>
  <c r="G408" i="6"/>
  <c r="I408" i="6" s="1"/>
  <c r="G416" i="6"/>
  <c r="I416" i="6"/>
  <c r="G418" i="6"/>
  <c r="I418" i="6" s="1"/>
  <c r="G419" i="6"/>
  <c r="I419" i="6"/>
  <c r="G425" i="6"/>
  <c r="I425" i="6" s="1"/>
  <c r="G427" i="6"/>
  <c r="I427" i="6"/>
  <c r="G433" i="6"/>
  <c r="K433" i="6" s="1"/>
  <c r="G434" i="6"/>
  <c r="K434" i="6" s="1"/>
  <c r="G435" i="6"/>
  <c r="I435" i="6"/>
  <c r="G437" i="6"/>
  <c r="I437" i="6" s="1"/>
  <c r="G439" i="6"/>
  <c r="G443" i="6"/>
  <c r="G447" i="6"/>
  <c r="K447" i="6" s="1"/>
  <c r="G448" i="6"/>
  <c r="K448" i="6" s="1"/>
  <c r="G449" i="6"/>
  <c r="K449" i="6" s="1"/>
  <c r="G452" i="6"/>
  <c r="I452" i="6"/>
  <c r="G453" i="6"/>
  <c r="I453" i="6"/>
  <c r="G454" i="6"/>
  <c r="I454" i="6" s="1"/>
  <c r="G456" i="6"/>
  <c r="I456" i="6"/>
  <c r="G459" i="6"/>
  <c r="I459" i="6"/>
  <c r="G463" i="6"/>
  <c r="G469" i="6"/>
  <c r="I469" i="6" s="1"/>
  <c r="G470" i="6"/>
  <c r="K470" i="6" s="1"/>
  <c r="G472" i="6"/>
  <c r="I472" i="6" s="1"/>
  <c r="G473" i="6"/>
  <c r="G474" i="6"/>
  <c r="I474" i="6" s="1"/>
  <c r="G477" i="6"/>
  <c r="K477" i="6" s="1"/>
  <c r="G479" i="6"/>
  <c r="K479" i="6" s="1"/>
  <c r="I479" i="6"/>
  <c r="G482" i="6"/>
  <c r="K482" i="6" s="1"/>
  <c r="I482" i="6"/>
  <c r="G484" i="6"/>
  <c r="I484" i="6"/>
  <c r="G489" i="6"/>
  <c r="I489" i="6"/>
  <c r="G490" i="6"/>
  <c r="K490" i="6" s="1"/>
  <c r="G494" i="6"/>
  <c r="I494" i="6" s="1"/>
  <c r="G496" i="6"/>
  <c r="I496" i="6"/>
  <c r="G497" i="6"/>
  <c r="I497" i="6" s="1"/>
  <c r="G499" i="6"/>
  <c r="I499" i="6" s="1"/>
  <c r="G504" i="6"/>
  <c r="I504" i="6" s="1"/>
  <c r="G505" i="6"/>
  <c r="I505" i="6" s="1"/>
  <c r="G507" i="6"/>
  <c r="K507" i="6" s="1"/>
  <c r="I507" i="6"/>
  <c r="G512" i="6"/>
  <c r="K512" i="6" s="1"/>
  <c r="G513" i="6"/>
  <c r="I513" i="6" s="1"/>
  <c r="G514" i="6"/>
  <c r="I514" i="6" s="1"/>
  <c r="G516" i="6"/>
  <c r="I516" i="6"/>
  <c r="G517" i="6"/>
  <c r="K517" i="6" s="1"/>
  <c r="G521" i="6"/>
  <c r="K521" i="6" s="1"/>
  <c r="I521" i="6"/>
  <c r="K33" i="6"/>
  <c r="K55" i="6"/>
  <c r="K56" i="6"/>
  <c r="K58" i="6"/>
  <c r="K61" i="6"/>
  <c r="K65" i="6"/>
  <c r="K70" i="6"/>
  <c r="K72" i="6"/>
  <c r="K82" i="6"/>
  <c r="K87" i="6"/>
  <c r="K88" i="6"/>
  <c r="K93" i="6"/>
  <c r="K96" i="6"/>
  <c r="K110" i="6"/>
  <c r="K114" i="6"/>
  <c r="K117" i="6"/>
  <c r="K122" i="6"/>
  <c r="K129" i="6"/>
  <c r="K132" i="6"/>
  <c r="K139" i="6"/>
  <c r="K144" i="6"/>
  <c r="K145" i="6"/>
  <c r="K148" i="6"/>
  <c r="K187" i="6"/>
  <c r="K190" i="6"/>
  <c r="K200" i="6"/>
  <c r="K203" i="6"/>
  <c r="K213" i="6"/>
  <c r="K214" i="6"/>
  <c r="K219" i="6"/>
  <c r="K251" i="6"/>
  <c r="K252" i="6"/>
  <c r="K275" i="6"/>
  <c r="K282" i="6"/>
  <c r="K288" i="6"/>
  <c r="K302" i="6"/>
  <c r="K304" i="6"/>
  <c r="K306" i="6"/>
  <c r="K310" i="6"/>
  <c r="K312" i="6"/>
  <c r="K315" i="6"/>
  <c r="K318" i="6"/>
  <c r="K324" i="6"/>
  <c r="K332" i="6"/>
  <c r="K338" i="6"/>
  <c r="K344" i="6"/>
  <c r="K347" i="6"/>
  <c r="K352" i="6"/>
  <c r="K355" i="6"/>
  <c r="K360" i="6"/>
  <c r="K375" i="6"/>
  <c r="K398" i="6"/>
  <c r="K403" i="6"/>
  <c r="K406" i="6"/>
  <c r="K408" i="6"/>
  <c r="K416" i="6"/>
  <c r="K418" i="6"/>
  <c r="K419" i="6"/>
  <c r="K425" i="6"/>
  <c r="K427" i="6"/>
  <c r="K435" i="6"/>
  <c r="K452" i="6"/>
  <c r="K453" i="6"/>
  <c r="K454" i="6"/>
  <c r="K456" i="6"/>
  <c r="K459" i="6"/>
  <c r="K484" i="6"/>
  <c r="K489" i="6"/>
  <c r="K494" i="6"/>
  <c r="K496" i="6"/>
  <c r="K504" i="6"/>
  <c r="K505" i="6"/>
  <c r="K516" i="6"/>
  <c r="F522" i="6"/>
  <c r="A6" i="5"/>
  <c r="B6" i="5"/>
  <c r="M6" i="5"/>
  <c r="A7" i="5"/>
  <c r="B7" i="5"/>
  <c r="M7" i="5"/>
  <c r="A8" i="5"/>
  <c r="B8" i="5"/>
  <c r="M8" i="5"/>
  <c r="D251" i="4" s="1"/>
  <c r="D291" i="4" s="1"/>
  <c r="D331" i="4" s="1"/>
  <c r="A9" i="5"/>
  <c r="B9" i="5"/>
  <c r="M9" i="5"/>
  <c r="A10" i="5"/>
  <c r="B10" i="5"/>
  <c r="M10" i="5"/>
  <c r="A11" i="5"/>
  <c r="B11" i="5"/>
  <c r="M11" i="5"/>
  <c r="D254" i="4" s="1"/>
  <c r="D294" i="4" s="1"/>
  <c r="D334" i="4" s="1"/>
  <c r="A12" i="5"/>
  <c r="B12" i="5"/>
  <c r="M12" i="5"/>
  <c r="D255" i="4" s="1"/>
  <c r="D295" i="4" s="1"/>
  <c r="D335" i="4" s="1"/>
  <c r="A13" i="5"/>
  <c r="B13" i="5"/>
  <c r="M13" i="5"/>
  <c r="A14" i="5"/>
  <c r="B14" i="5"/>
  <c r="M14" i="5"/>
  <c r="A15" i="5"/>
  <c r="B15" i="5"/>
  <c r="M15" i="5"/>
  <c r="A16" i="5"/>
  <c r="B16" i="5"/>
  <c r="M16" i="5"/>
  <c r="D259" i="4" s="1"/>
  <c r="D299" i="4" s="1"/>
  <c r="D339" i="4" s="1"/>
  <c r="A17" i="5"/>
  <c r="B17" i="5"/>
  <c r="M17" i="5"/>
  <c r="D260" i="4" s="1"/>
  <c r="D300" i="4" s="1"/>
  <c r="D340" i="4" s="1"/>
  <c r="A18" i="5"/>
  <c r="B18" i="5"/>
  <c r="M18" i="5"/>
  <c r="D261" i="4" s="1"/>
  <c r="A19" i="5"/>
  <c r="B19" i="5"/>
  <c r="M19" i="5"/>
  <c r="A20" i="5"/>
  <c r="B20" i="5"/>
  <c r="M20" i="5"/>
  <c r="A21" i="5"/>
  <c r="B21" i="5"/>
  <c r="M21" i="5"/>
  <c r="D264" i="4" s="1"/>
  <c r="D304" i="4" s="1"/>
  <c r="D344" i="4" s="1"/>
  <c r="A22" i="5"/>
  <c r="B22" i="5"/>
  <c r="M22" i="5"/>
  <c r="D265" i="4" s="1"/>
  <c r="D305" i="4" s="1"/>
  <c r="D345" i="4" s="1"/>
  <c r="A23" i="5"/>
  <c r="B23" i="5"/>
  <c r="M23" i="5"/>
  <c r="D266" i="4" s="1"/>
  <c r="A24" i="5"/>
  <c r="B24" i="5"/>
  <c r="M24" i="5"/>
  <c r="D267" i="4" s="1"/>
  <c r="D307" i="4" s="1"/>
  <c r="D347" i="4" s="1"/>
  <c r="A25" i="5"/>
  <c r="B25" i="5"/>
  <c r="M25" i="5"/>
  <c r="D268" i="4" s="1"/>
  <c r="D308" i="4" s="1"/>
  <c r="D348" i="4" s="1"/>
  <c r="A26" i="5"/>
  <c r="B26" i="5"/>
  <c r="M26" i="5"/>
  <c r="D269" i="4" s="1"/>
  <c r="C27" i="5"/>
  <c r="D27" i="5"/>
  <c r="E27" i="5"/>
  <c r="F27" i="5"/>
  <c r="G27" i="5"/>
  <c r="H27" i="5"/>
  <c r="I27" i="5"/>
  <c r="J27" i="5"/>
  <c r="K27" i="5"/>
  <c r="L27" i="5"/>
  <c r="A9" i="4"/>
  <c r="B9" i="4"/>
  <c r="C9" i="4"/>
  <c r="A10" i="4"/>
  <c r="B10" i="4"/>
  <c r="B90" i="4" s="1"/>
  <c r="C10" i="4"/>
  <c r="C130" i="4" s="1"/>
  <c r="A11" i="4"/>
  <c r="A131" i="4" s="1"/>
  <c r="B11" i="4"/>
  <c r="B51" i="4" s="1"/>
  <c r="B171" i="4" s="1"/>
  <c r="B291" i="4" s="1"/>
  <c r="C11" i="4"/>
  <c r="C131" i="4" s="1"/>
  <c r="C251" i="4" s="1"/>
  <c r="A12" i="4"/>
  <c r="A132" i="4" s="1"/>
  <c r="A252" i="4" s="1"/>
  <c r="B12" i="4"/>
  <c r="B92" i="4" s="1"/>
  <c r="B212" i="4" s="1"/>
  <c r="B332" i="4" s="1"/>
  <c r="C12" i="4"/>
  <c r="C132" i="4" s="1"/>
  <c r="C252" i="4" s="1"/>
  <c r="A13" i="4"/>
  <c r="B13" i="4"/>
  <c r="C13" i="4"/>
  <c r="A14" i="4"/>
  <c r="B14" i="4"/>
  <c r="B94" i="4" s="1"/>
  <c r="C14" i="4"/>
  <c r="A15" i="4"/>
  <c r="B15" i="4"/>
  <c r="C15" i="4"/>
  <c r="A16" i="4"/>
  <c r="B16" i="4"/>
  <c r="B96" i="4" s="1"/>
  <c r="B216" i="4" s="1"/>
  <c r="B336" i="4" s="1"/>
  <c r="C16" i="4"/>
  <c r="C136" i="4" s="1"/>
  <c r="C256" i="4" s="1"/>
  <c r="A17" i="4"/>
  <c r="A137" i="4" s="1"/>
  <c r="A257" i="4" s="1"/>
  <c r="B17" i="4"/>
  <c r="B57" i="4" s="1"/>
  <c r="B177" i="4" s="1"/>
  <c r="B297" i="4" s="1"/>
  <c r="C17" i="4"/>
  <c r="C137" i="4" s="1"/>
  <c r="C257" i="4" s="1"/>
  <c r="A18" i="4"/>
  <c r="B18" i="4"/>
  <c r="C18" i="4"/>
  <c r="C138" i="4" s="1"/>
  <c r="C258" i="4" s="1"/>
  <c r="A19" i="4"/>
  <c r="A99" i="4" s="1"/>
  <c r="A219" i="4" s="1"/>
  <c r="A339" i="4" s="1"/>
  <c r="B19" i="4"/>
  <c r="B59" i="4" s="1"/>
  <c r="B179" i="4" s="1"/>
  <c r="B299" i="4" s="1"/>
  <c r="C19" i="4"/>
  <c r="C139" i="4" s="1"/>
  <c r="C259" i="4" s="1"/>
  <c r="A20" i="4"/>
  <c r="A60" i="4" s="1"/>
  <c r="A180" i="4" s="1"/>
  <c r="A300" i="4" s="1"/>
  <c r="B20" i="4"/>
  <c r="B60" i="4" s="1"/>
  <c r="B180" i="4" s="1"/>
  <c r="B300" i="4" s="1"/>
  <c r="C20" i="4"/>
  <c r="A21" i="4"/>
  <c r="A101" i="4" s="1"/>
  <c r="A221" i="4" s="1"/>
  <c r="A341" i="4" s="1"/>
  <c r="B21" i="4"/>
  <c r="C21" i="4"/>
  <c r="A22" i="4"/>
  <c r="A62" i="4" s="1"/>
  <c r="B22" i="4"/>
  <c r="B142" i="4" s="1"/>
  <c r="B262" i="4" s="1"/>
  <c r="C22" i="4"/>
  <c r="A23" i="4"/>
  <c r="B23" i="4"/>
  <c r="B63" i="4" s="1"/>
  <c r="B183" i="4" s="1"/>
  <c r="B303" i="4" s="1"/>
  <c r="C23" i="4"/>
  <c r="A24" i="4"/>
  <c r="B24" i="4"/>
  <c r="B104" i="4" s="1"/>
  <c r="B224" i="4" s="1"/>
  <c r="B344" i="4" s="1"/>
  <c r="C24" i="4"/>
  <c r="A25" i="4"/>
  <c r="B25" i="4"/>
  <c r="C25" i="4"/>
  <c r="A26" i="4"/>
  <c r="A146" i="4" s="1"/>
  <c r="B26" i="4"/>
  <c r="B106" i="4" s="1"/>
  <c r="B226" i="4" s="1"/>
  <c r="B346" i="4" s="1"/>
  <c r="C26" i="4"/>
  <c r="C146" i="4" s="1"/>
  <c r="A27" i="4"/>
  <c r="B27" i="4"/>
  <c r="C27" i="4"/>
  <c r="C147" i="4" s="1"/>
  <c r="C267" i="4" s="1"/>
  <c r="A28" i="4"/>
  <c r="A148" i="4" s="1"/>
  <c r="A268" i="4" s="1"/>
  <c r="B28" i="4"/>
  <c r="B68" i="4" s="1"/>
  <c r="B188" i="4" s="1"/>
  <c r="B308" i="4" s="1"/>
  <c r="C28" i="4"/>
  <c r="C148" i="4" s="1"/>
  <c r="C268" i="4" s="1"/>
  <c r="A29" i="4"/>
  <c r="B29" i="4"/>
  <c r="C29" i="4"/>
  <c r="A49" i="4"/>
  <c r="A169" i="4" s="1"/>
  <c r="A289" i="4" s="1"/>
  <c r="C49" i="4"/>
  <c r="D49" i="4"/>
  <c r="D89" i="4" s="1"/>
  <c r="C50" i="4"/>
  <c r="D50" i="4"/>
  <c r="C51" i="4"/>
  <c r="C171" i="4" s="1"/>
  <c r="C291" i="4" s="1"/>
  <c r="D51" i="4"/>
  <c r="A52" i="4"/>
  <c r="A172" i="4" s="1"/>
  <c r="A292" i="4" s="1"/>
  <c r="C52" i="4"/>
  <c r="C172" i="4" s="1"/>
  <c r="C292" i="4" s="1"/>
  <c r="D52" i="4"/>
  <c r="D92" i="4" s="1"/>
  <c r="B53" i="4"/>
  <c r="C53" i="4"/>
  <c r="C173" i="4" s="1"/>
  <c r="C293" i="4" s="1"/>
  <c r="D53" i="4"/>
  <c r="D93" i="4" s="1"/>
  <c r="B54" i="4"/>
  <c r="B174" i="4" s="1"/>
  <c r="B294" i="4" s="1"/>
  <c r="C54" i="4"/>
  <c r="C174" i="4" s="1"/>
  <c r="C294" i="4" s="1"/>
  <c r="D54" i="4"/>
  <c r="C55" i="4"/>
  <c r="C175" i="4" s="1"/>
  <c r="C295" i="4" s="1"/>
  <c r="D55" i="4"/>
  <c r="D95" i="4" s="1"/>
  <c r="A56" i="4"/>
  <c r="A176" i="4" s="1"/>
  <c r="A296" i="4" s="1"/>
  <c r="B56" i="4"/>
  <c r="C56" i="4"/>
  <c r="C176" i="4" s="1"/>
  <c r="C296" i="4" s="1"/>
  <c r="D56" i="4"/>
  <c r="D96" i="4" s="1"/>
  <c r="C57" i="4"/>
  <c r="D57" i="4"/>
  <c r="D97" i="4" s="1"/>
  <c r="B58" i="4"/>
  <c r="B178" i="4" s="1"/>
  <c r="B298" i="4" s="1"/>
  <c r="C58" i="4"/>
  <c r="C178" i="4" s="1"/>
  <c r="C298" i="4" s="1"/>
  <c r="D58" i="4"/>
  <c r="C59" i="4"/>
  <c r="D59" i="4"/>
  <c r="D99" i="4" s="1"/>
  <c r="C60" i="4"/>
  <c r="D60" i="4"/>
  <c r="A61" i="4"/>
  <c r="A181" i="4" s="1"/>
  <c r="A301" i="4" s="1"/>
  <c r="B61" i="4"/>
  <c r="B181" i="4" s="1"/>
  <c r="B301" i="4" s="1"/>
  <c r="C61" i="4"/>
  <c r="C181" i="4" s="1"/>
  <c r="C301" i="4" s="1"/>
  <c r="D61" i="4"/>
  <c r="D101" i="4" s="1"/>
  <c r="B62" i="4"/>
  <c r="B182" i="4" s="1"/>
  <c r="B302" i="4" s="1"/>
  <c r="C62" i="4"/>
  <c r="D62" i="4"/>
  <c r="D102" i="4" s="1"/>
  <c r="C63" i="4"/>
  <c r="D63" i="4"/>
  <c r="A64" i="4"/>
  <c r="A184" i="4" s="1"/>
  <c r="A304" i="4" s="1"/>
  <c r="B64" i="4"/>
  <c r="B184" i="4" s="1"/>
  <c r="B304" i="4" s="1"/>
  <c r="C64" i="4"/>
  <c r="C184" i="4" s="1"/>
  <c r="C304" i="4" s="1"/>
  <c r="D64" i="4"/>
  <c r="C65" i="4"/>
  <c r="C185" i="4" s="1"/>
  <c r="D65" i="4"/>
  <c r="A66" i="4"/>
  <c r="B66" i="4"/>
  <c r="C66" i="4"/>
  <c r="C186" i="4" s="1"/>
  <c r="C306" i="4" s="1"/>
  <c r="D66" i="4"/>
  <c r="D106" i="4" s="1"/>
  <c r="C67" i="4"/>
  <c r="C187" i="4" s="1"/>
  <c r="C307" i="4" s="1"/>
  <c r="D67" i="4"/>
  <c r="D107" i="4" s="1"/>
  <c r="A68" i="4"/>
  <c r="A188" i="4" s="1"/>
  <c r="A308" i="4" s="1"/>
  <c r="C68" i="4"/>
  <c r="C188" i="4" s="1"/>
  <c r="C308" i="4" s="1"/>
  <c r="D68" i="4"/>
  <c r="D108" i="4" s="1"/>
  <c r="A69" i="4"/>
  <c r="A189" i="4" s="1"/>
  <c r="A309" i="4" s="1"/>
  <c r="B69" i="4"/>
  <c r="C69" i="4"/>
  <c r="D69" i="4"/>
  <c r="A76" i="4"/>
  <c r="C89" i="4"/>
  <c r="C90" i="4"/>
  <c r="D90" i="4"/>
  <c r="A91" i="4"/>
  <c r="A211" i="4" s="1"/>
  <c r="A331" i="4" s="1"/>
  <c r="C91" i="4"/>
  <c r="C211" i="4" s="1"/>
  <c r="C331" i="4" s="1"/>
  <c r="D91" i="4"/>
  <c r="A92" i="4"/>
  <c r="A212" i="4" s="1"/>
  <c r="A332" i="4" s="1"/>
  <c r="C92" i="4"/>
  <c r="B93" i="4"/>
  <c r="B213" i="4" s="1"/>
  <c r="B333" i="4" s="1"/>
  <c r="C93" i="4"/>
  <c r="C213" i="4" s="1"/>
  <c r="C333" i="4" s="1"/>
  <c r="C94" i="4"/>
  <c r="D94" i="4"/>
  <c r="C95" i="4"/>
  <c r="A96" i="4"/>
  <c r="A216" i="4" s="1"/>
  <c r="A336" i="4" s="1"/>
  <c r="C96" i="4"/>
  <c r="C216" i="4" s="1"/>
  <c r="C336" i="4" s="1"/>
  <c r="C97" i="4"/>
  <c r="C217" i="4" s="1"/>
  <c r="C337" i="4" s="1"/>
  <c r="B98" i="4"/>
  <c r="B218" i="4" s="1"/>
  <c r="B338" i="4" s="1"/>
  <c r="C98" i="4"/>
  <c r="C218" i="4" s="1"/>
  <c r="C338" i="4" s="1"/>
  <c r="D98" i="4"/>
  <c r="C99" i="4"/>
  <c r="C219" i="4" s="1"/>
  <c r="C339" i="4" s="1"/>
  <c r="A100" i="4"/>
  <c r="A220" i="4" s="1"/>
  <c r="A340" i="4" s="1"/>
  <c r="B100" i="4"/>
  <c r="B220" i="4" s="1"/>
  <c r="B340" i="4" s="1"/>
  <c r="C100" i="4"/>
  <c r="C220" i="4" s="1"/>
  <c r="C340" i="4" s="1"/>
  <c r="D100" i="4"/>
  <c r="B101" i="4"/>
  <c r="B221" i="4" s="1"/>
  <c r="B341" i="4" s="1"/>
  <c r="C101" i="4"/>
  <c r="C221" i="4" s="1"/>
  <c r="C341" i="4" s="1"/>
  <c r="C102" i="4"/>
  <c r="C222" i="4" s="1"/>
  <c r="C342" i="4" s="1"/>
  <c r="C103" i="4"/>
  <c r="C223" i="4" s="1"/>
  <c r="C343" i="4" s="1"/>
  <c r="D103" i="4"/>
  <c r="A104" i="4"/>
  <c r="C104" i="4"/>
  <c r="D104" i="4"/>
  <c r="C105" i="4"/>
  <c r="C225" i="4" s="1"/>
  <c r="C345" i="4" s="1"/>
  <c r="D105" i="4"/>
  <c r="A106" i="4"/>
  <c r="A226" i="4" s="1"/>
  <c r="A346" i="4" s="1"/>
  <c r="C106" i="4"/>
  <c r="C226" i="4" s="1"/>
  <c r="C346" i="4" s="1"/>
  <c r="C107" i="4"/>
  <c r="C227" i="4" s="1"/>
  <c r="C347" i="4" s="1"/>
  <c r="A108" i="4"/>
  <c r="A228" i="4" s="1"/>
  <c r="A348" i="4" s="1"/>
  <c r="C108" i="4"/>
  <c r="C228" i="4" s="1"/>
  <c r="C348" i="4" s="1"/>
  <c r="A109" i="4"/>
  <c r="A229" i="4" s="1"/>
  <c r="B109" i="4"/>
  <c r="B229" i="4" s="1"/>
  <c r="C109" i="4"/>
  <c r="C229" i="4" s="1"/>
  <c r="C349" i="4" s="1"/>
  <c r="D109" i="4"/>
  <c r="A116" i="4"/>
  <c r="C128" i="4"/>
  <c r="C248" i="4" s="1"/>
  <c r="B129" i="4"/>
  <c r="B249" i="4" s="1"/>
  <c r="C129" i="4"/>
  <c r="C249" i="4" s="1"/>
  <c r="B130" i="4"/>
  <c r="B133" i="4"/>
  <c r="B253" i="4" s="1"/>
  <c r="C133" i="4"/>
  <c r="B134" i="4"/>
  <c r="B254" i="4" s="1"/>
  <c r="C134" i="4"/>
  <c r="C254" i="4" s="1"/>
  <c r="C135" i="4"/>
  <c r="C255" i="4" s="1"/>
  <c r="A136" i="4"/>
  <c r="A256" i="4" s="1"/>
  <c r="B136" i="4"/>
  <c r="B256" i="4" s="1"/>
  <c r="B138" i="4"/>
  <c r="A139" i="4"/>
  <c r="A259" i="4" s="1"/>
  <c r="C140" i="4"/>
  <c r="C260" i="4" s="1"/>
  <c r="A141" i="4"/>
  <c r="A261" i="4" s="1"/>
  <c r="B141" i="4"/>
  <c r="B261" i="4" s="1"/>
  <c r="C141" i="4"/>
  <c r="C261" i="4" s="1"/>
  <c r="A142" i="4"/>
  <c r="A262" i="4" s="1"/>
  <c r="C142" i="4"/>
  <c r="C262" i="4" s="1"/>
  <c r="C143" i="4"/>
  <c r="C263" i="4" s="1"/>
  <c r="A144" i="4"/>
  <c r="B144" i="4"/>
  <c r="C144" i="4"/>
  <c r="C145" i="4"/>
  <c r="C265" i="4" s="1"/>
  <c r="B146" i="4"/>
  <c r="B266" i="4" s="1"/>
  <c r="A149" i="4"/>
  <c r="B149" i="4"/>
  <c r="B269" i="4" s="1"/>
  <c r="C149" i="4"/>
  <c r="C269" i="4" s="1"/>
  <c r="A154" i="4"/>
  <c r="A274" i="4" s="1"/>
  <c r="A156" i="4"/>
  <c r="C168" i="4"/>
  <c r="C169" i="4"/>
  <c r="C289" i="4" s="1"/>
  <c r="D169" i="4"/>
  <c r="D209" i="4" s="1"/>
  <c r="C170" i="4"/>
  <c r="C290" i="4" s="1"/>
  <c r="D170" i="4"/>
  <c r="D171" i="4"/>
  <c r="D211" i="4" s="1"/>
  <c r="D172" i="4"/>
  <c r="D212" i="4" s="1"/>
  <c r="B173" i="4"/>
  <c r="D173" i="4"/>
  <c r="D213" i="4" s="1"/>
  <c r="D174" i="4"/>
  <c r="D175" i="4"/>
  <c r="B176" i="4"/>
  <c r="B296" i="4" s="1"/>
  <c r="D176" i="4"/>
  <c r="D216" i="4" s="1"/>
  <c r="C177" i="4"/>
  <c r="C297" i="4" s="1"/>
  <c r="D177" i="4"/>
  <c r="D217" i="4" s="1"/>
  <c r="D178" i="4"/>
  <c r="C179" i="4"/>
  <c r="D179" i="4"/>
  <c r="C180" i="4"/>
  <c r="D180" i="4"/>
  <c r="D220" i="4" s="1"/>
  <c r="D181" i="4"/>
  <c r="D221" i="4" s="1"/>
  <c r="A182" i="4"/>
  <c r="A302" i="4" s="1"/>
  <c r="C182" i="4"/>
  <c r="C302" i="4" s="1"/>
  <c r="D182" i="4"/>
  <c r="C183" i="4"/>
  <c r="C303" i="4" s="1"/>
  <c r="D183" i="4"/>
  <c r="D223" i="4" s="1"/>
  <c r="D184" i="4"/>
  <c r="D185" i="4"/>
  <c r="D225" i="4" s="1"/>
  <c r="A186" i="4"/>
  <c r="A306" i="4" s="1"/>
  <c r="B186" i="4"/>
  <c r="B306" i="4" s="1"/>
  <c r="D186" i="4"/>
  <c r="D226" i="4" s="1"/>
  <c r="D187" i="4"/>
  <c r="D188" i="4"/>
  <c r="B189" i="4"/>
  <c r="C189" i="4"/>
  <c r="C309" i="4" s="1"/>
  <c r="D189" i="4"/>
  <c r="D229" i="4" s="1"/>
  <c r="A194" i="4"/>
  <c r="A195" i="4"/>
  <c r="A196" i="4"/>
  <c r="C208" i="4"/>
  <c r="C209" i="4"/>
  <c r="C329" i="4" s="1"/>
  <c r="B210" i="4"/>
  <c r="B330" i="4" s="1"/>
  <c r="C210" i="4"/>
  <c r="C330" i="4" s="1"/>
  <c r="D210" i="4"/>
  <c r="C212" i="4"/>
  <c r="C332" i="4" s="1"/>
  <c r="B214" i="4"/>
  <c r="B334" i="4" s="1"/>
  <c r="C214" i="4"/>
  <c r="C334" i="4" s="1"/>
  <c r="D214" i="4"/>
  <c r="C215" i="4"/>
  <c r="C335" i="4" s="1"/>
  <c r="D215" i="4"/>
  <c r="D218" i="4"/>
  <c r="D219" i="4"/>
  <c r="D222" i="4"/>
  <c r="A224" i="4"/>
  <c r="A344" i="4" s="1"/>
  <c r="C224" i="4"/>
  <c r="C344" i="4" s="1"/>
  <c r="D224" i="4"/>
  <c r="D227" i="4"/>
  <c r="D228" i="4"/>
  <c r="A234" i="4"/>
  <c r="A235" i="4"/>
  <c r="A236" i="4"/>
  <c r="D249" i="4"/>
  <c r="B250" i="4"/>
  <c r="C250" i="4"/>
  <c r="D250" i="4"/>
  <c r="D290" i="4" s="1"/>
  <c r="D330" i="4" s="1"/>
  <c r="A251" i="4"/>
  <c r="D252" i="4"/>
  <c r="C253" i="4"/>
  <c r="D253" i="4"/>
  <c r="D256" i="4"/>
  <c r="D296" i="4" s="1"/>
  <c r="D336" i="4" s="1"/>
  <c r="D257" i="4"/>
  <c r="D297" i="4" s="1"/>
  <c r="D337" i="4" s="1"/>
  <c r="B258" i="4"/>
  <c r="D258" i="4"/>
  <c r="D262" i="4"/>
  <c r="D302" i="4" s="1"/>
  <c r="D342" i="4" s="1"/>
  <c r="D263" i="4"/>
  <c r="D303" i="4" s="1"/>
  <c r="D343" i="4" s="1"/>
  <c r="A264" i="4"/>
  <c r="B264" i="4"/>
  <c r="C264" i="4"/>
  <c r="A266" i="4"/>
  <c r="C266" i="4"/>
  <c r="A269" i="4"/>
  <c r="A276" i="4"/>
  <c r="C288" i="4"/>
  <c r="D289" i="4"/>
  <c r="D329" i="4" s="1"/>
  <c r="D292" i="4"/>
  <c r="D332" i="4" s="1"/>
  <c r="B293" i="4"/>
  <c r="D293" i="4"/>
  <c r="D333" i="4" s="1"/>
  <c r="D298" i="4"/>
  <c r="D338" i="4" s="1"/>
  <c r="C299" i="4"/>
  <c r="C300" i="4"/>
  <c r="D301" i="4"/>
  <c r="C305" i="4"/>
  <c r="D306" i="4"/>
  <c r="D346" i="4" s="1"/>
  <c r="B309" i="4"/>
  <c r="D309" i="4"/>
  <c r="A314" i="4"/>
  <c r="A315" i="4"/>
  <c r="A316" i="4"/>
  <c r="C328" i="4"/>
  <c r="D341" i="4"/>
  <c r="A349" i="4"/>
  <c r="B349" i="4"/>
  <c r="D349" i="4"/>
  <c r="A354" i="4"/>
  <c r="A355" i="4"/>
  <c r="A356" i="4"/>
  <c r="B7" i="3"/>
  <c r="B51" i="3" s="1"/>
  <c r="B95" i="3" s="1"/>
  <c r="F7" i="3"/>
  <c r="L7" i="3" s="1"/>
  <c r="K7" i="3"/>
  <c r="B8" i="3"/>
  <c r="C8" i="3"/>
  <c r="C52" i="3" s="1"/>
  <c r="C96" i="3" s="1"/>
  <c r="F8" i="3"/>
  <c r="L8" i="3" s="1"/>
  <c r="K8" i="3"/>
  <c r="B9" i="3"/>
  <c r="B53" i="3" s="1"/>
  <c r="C9" i="3"/>
  <c r="F9" i="3"/>
  <c r="L9" i="3" s="1"/>
  <c r="K9" i="3"/>
  <c r="G9" i="3" s="1"/>
  <c r="M9" i="3" s="1"/>
  <c r="B10" i="3"/>
  <c r="B54" i="3" s="1"/>
  <c r="B98" i="3" s="1"/>
  <c r="C10" i="3"/>
  <c r="C54" i="3" s="1"/>
  <c r="C98" i="3" s="1"/>
  <c r="F10" i="3"/>
  <c r="L10" i="3" s="1"/>
  <c r="K10" i="3"/>
  <c r="N10" i="3"/>
  <c r="B11" i="3"/>
  <c r="B55" i="3" s="1"/>
  <c r="B99" i="3" s="1"/>
  <c r="C11" i="3"/>
  <c r="C55" i="3" s="1"/>
  <c r="C99" i="3" s="1"/>
  <c r="F11" i="3"/>
  <c r="N11" i="3" s="1"/>
  <c r="K11" i="3"/>
  <c r="B12" i="3"/>
  <c r="B56" i="3" s="1"/>
  <c r="B100" i="3" s="1"/>
  <c r="C12" i="3"/>
  <c r="C56" i="3" s="1"/>
  <c r="C100" i="3" s="1"/>
  <c r="F12" i="3"/>
  <c r="K12" i="3"/>
  <c r="B13" i="3"/>
  <c r="B57" i="3" s="1"/>
  <c r="B101" i="3" s="1"/>
  <c r="C13" i="3"/>
  <c r="F13" i="3"/>
  <c r="K13" i="3"/>
  <c r="G13" i="3" s="1"/>
  <c r="M13" i="3" s="1"/>
  <c r="B14" i="3"/>
  <c r="C14" i="3"/>
  <c r="F14" i="3"/>
  <c r="K14" i="3"/>
  <c r="B15" i="3"/>
  <c r="C15" i="3"/>
  <c r="C59" i="3" s="1"/>
  <c r="C103" i="3" s="1"/>
  <c r="F15" i="3"/>
  <c r="K15" i="3"/>
  <c r="B16" i="3"/>
  <c r="B60" i="3" s="1"/>
  <c r="B104" i="3" s="1"/>
  <c r="C16" i="3"/>
  <c r="F16" i="3"/>
  <c r="L16" i="3" s="1"/>
  <c r="K16" i="3"/>
  <c r="B17" i="3"/>
  <c r="C17" i="3"/>
  <c r="F17" i="3"/>
  <c r="L17" i="3" s="1"/>
  <c r="K17" i="3"/>
  <c r="G17" i="3"/>
  <c r="M17" i="3" s="1"/>
  <c r="N17" i="3"/>
  <c r="B18" i="3"/>
  <c r="B62" i="3" s="1"/>
  <c r="B106" i="3" s="1"/>
  <c r="C18" i="3"/>
  <c r="C62" i="3" s="1"/>
  <c r="C106" i="3" s="1"/>
  <c r="F18" i="3"/>
  <c r="L18" i="3" s="1"/>
  <c r="K18" i="3"/>
  <c r="B19" i="3"/>
  <c r="C19" i="3"/>
  <c r="C63" i="3" s="1"/>
  <c r="C107" i="3" s="1"/>
  <c r="F19" i="3"/>
  <c r="K19" i="3"/>
  <c r="B20" i="3"/>
  <c r="B64" i="3" s="1"/>
  <c r="B108" i="3" s="1"/>
  <c r="C20" i="3"/>
  <c r="C64" i="3" s="1"/>
  <c r="C108" i="3" s="1"/>
  <c r="F20" i="3"/>
  <c r="K20" i="3"/>
  <c r="B21" i="3"/>
  <c r="C21" i="3"/>
  <c r="C65" i="3" s="1"/>
  <c r="C109" i="3" s="1"/>
  <c r="F21" i="3"/>
  <c r="G21" i="3" s="1"/>
  <c r="M21" i="3" s="1"/>
  <c r="K21" i="3"/>
  <c r="B22" i="3"/>
  <c r="B66" i="3" s="1"/>
  <c r="B110" i="3" s="1"/>
  <c r="C22" i="3"/>
  <c r="C66" i="3" s="1"/>
  <c r="C110" i="3" s="1"/>
  <c r="F22" i="3"/>
  <c r="K22" i="3"/>
  <c r="G22" i="3"/>
  <c r="M22" i="3" s="1"/>
  <c r="B23" i="3"/>
  <c r="B67" i="3" s="1"/>
  <c r="B111" i="3" s="1"/>
  <c r="C23" i="3"/>
  <c r="C67" i="3" s="1"/>
  <c r="C111" i="3" s="1"/>
  <c r="F23" i="3"/>
  <c r="N23" i="3" s="1"/>
  <c r="K23" i="3"/>
  <c r="B24" i="3"/>
  <c r="B68" i="3" s="1"/>
  <c r="B112" i="3" s="1"/>
  <c r="C24" i="3"/>
  <c r="C68" i="3" s="1"/>
  <c r="C112" i="3" s="1"/>
  <c r="F24" i="3"/>
  <c r="L24" i="3" s="1"/>
  <c r="K24" i="3"/>
  <c r="G24" i="3"/>
  <c r="M24" i="3" s="1"/>
  <c r="N24" i="3"/>
  <c r="B25" i="3"/>
  <c r="B69" i="3" s="1"/>
  <c r="B113" i="3" s="1"/>
  <c r="C25" i="3"/>
  <c r="C69" i="3" s="1"/>
  <c r="C113" i="3" s="1"/>
  <c r="F25" i="3"/>
  <c r="L25" i="3" s="1"/>
  <c r="K25" i="3"/>
  <c r="B26" i="3"/>
  <c r="B70" i="3" s="1"/>
  <c r="B114" i="3" s="1"/>
  <c r="C26" i="3"/>
  <c r="F26" i="3"/>
  <c r="L26" i="3" s="1"/>
  <c r="K26" i="3"/>
  <c r="N26" i="3"/>
  <c r="B27" i="3"/>
  <c r="B71" i="3" s="1"/>
  <c r="B115" i="3" s="1"/>
  <c r="C27" i="3"/>
  <c r="C71" i="3" s="1"/>
  <c r="C115" i="3" s="1"/>
  <c r="F27" i="3"/>
  <c r="N27" i="3" s="1"/>
  <c r="K27" i="3"/>
  <c r="H29" i="3"/>
  <c r="I29" i="3"/>
  <c r="J29" i="3"/>
  <c r="H30" i="3"/>
  <c r="I30" i="3"/>
  <c r="J30" i="3"/>
  <c r="C51" i="3"/>
  <c r="C95" i="3" s="1"/>
  <c r="D51" i="3"/>
  <c r="F51" i="3" s="1"/>
  <c r="H51" i="3"/>
  <c r="I51" i="3"/>
  <c r="J51" i="3"/>
  <c r="K51" i="3"/>
  <c r="L51" i="3"/>
  <c r="B52" i="3"/>
  <c r="B96" i="3" s="1"/>
  <c r="D52" i="3"/>
  <c r="F52" i="3" s="1"/>
  <c r="H52" i="3"/>
  <c r="H96" i="3" s="1"/>
  <c r="I52" i="3"/>
  <c r="J52" i="3"/>
  <c r="C53" i="3"/>
  <c r="C97" i="3" s="1"/>
  <c r="D53" i="3"/>
  <c r="F53" i="3" s="1"/>
  <c r="H53" i="3"/>
  <c r="I53" i="3"/>
  <c r="I97" i="3" s="1"/>
  <c r="J53" i="3"/>
  <c r="J97" i="3" s="1"/>
  <c r="D54" i="3"/>
  <c r="H54" i="3"/>
  <c r="I54" i="3"/>
  <c r="I98" i="3" s="1"/>
  <c r="K98" i="3" s="1"/>
  <c r="J54" i="3"/>
  <c r="D55" i="3"/>
  <c r="F55" i="3" s="1"/>
  <c r="H55" i="3"/>
  <c r="H99" i="3" s="1"/>
  <c r="I55" i="3"/>
  <c r="J55" i="3"/>
  <c r="J99" i="3" s="1"/>
  <c r="D56" i="3"/>
  <c r="D100" i="3" s="1"/>
  <c r="F100" i="3" s="1"/>
  <c r="H56" i="3"/>
  <c r="I56" i="3"/>
  <c r="I100" i="3" s="1"/>
  <c r="J56" i="3"/>
  <c r="J100" i="3" s="1"/>
  <c r="C57" i="3"/>
  <c r="D57" i="3"/>
  <c r="F57" i="3" s="1"/>
  <c r="L57" i="3" s="1"/>
  <c r="H57" i="3"/>
  <c r="I57" i="3"/>
  <c r="J57" i="3"/>
  <c r="J101" i="3" s="1"/>
  <c r="B58" i="3"/>
  <c r="B102" i="3" s="1"/>
  <c r="C58" i="3"/>
  <c r="C102" i="3" s="1"/>
  <c r="D58" i="3"/>
  <c r="D102" i="3" s="1"/>
  <c r="F58" i="3"/>
  <c r="L58" i="3" s="1"/>
  <c r="H58" i="3"/>
  <c r="K58" i="3" s="1"/>
  <c r="I58" i="3"/>
  <c r="J58" i="3"/>
  <c r="B59" i="3"/>
  <c r="B103" i="3" s="1"/>
  <c r="D59" i="3"/>
  <c r="F59" i="3" s="1"/>
  <c r="H59" i="3"/>
  <c r="I59" i="3"/>
  <c r="K59" i="3" s="1"/>
  <c r="J59" i="3"/>
  <c r="J103" i="3" s="1"/>
  <c r="C60" i="3"/>
  <c r="C104" i="3" s="1"/>
  <c r="D60" i="3"/>
  <c r="D104" i="3" s="1"/>
  <c r="F60" i="3"/>
  <c r="H60" i="3"/>
  <c r="I60" i="3"/>
  <c r="I104" i="3" s="1"/>
  <c r="J60" i="3"/>
  <c r="J104" i="3" s="1"/>
  <c r="B61" i="3"/>
  <c r="C61" i="3"/>
  <c r="C105" i="3" s="1"/>
  <c r="D61" i="3"/>
  <c r="F61" i="3"/>
  <c r="N61" i="3" s="1"/>
  <c r="H61" i="3"/>
  <c r="H105" i="3" s="1"/>
  <c r="K105" i="3" s="1"/>
  <c r="I61" i="3"/>
  <c r="I105" i="3" s="1"/>
  <c r="J61" i="3"/>
  <c r="J105" i="3" s="1"/>
  <c r="D62" i="3"/>
  <c r="D106" i="3" s="1"/>
  <c r="F106" i="3" s="1"/>
  <c r="F62" i="3"/>
  <c r="H62" i="3"/>
  <c r="H106" i="3" s="1"/>
  <c r="I62" i="3"/>
  <c r="I106" i="3" s="1"/>
  <c r="J62" i="3"/>
  <c r="J106" i="3" s="1"/>
  <c r="B63" i="3"/>
  <c r="B107" i="3" s="1"/>
  <c r="D63" i="3"/>
  <c r="D107" i="3" s="1"/>
  <c r="F107" i="3" s="1"/>
  <c r="F63" i="3"/>
  <c r="L63" i="3" s="1"/>
  <c r="H63" i="3"/>
  <c r="K63" i="3" s="1"/>
  <c r="G63" i="3" s="1"/>
  <c r="M63" i="3" s="1"/>
  <c r="I63" i="3"/>
  <c r="J63" i="3"/>
  <c r="J107" i="3" s="1"/>
  <c r="D64" i="3"/>
  <c r="D108" i="3" s="1"/>
  <c r="H64" i="3"/>
  <c r="I64" i="3"/>
  <c r="J64" i="3"/>
  <c r="J108" i="3" s="1"/>
  <c r="B65" i="3"/>
  <c r="D65" i="3"/>
  <c r="F65" i="3" s="1"/>
  <c r="H65" i="3"/>
  <c r="H109" i="3" s="1"/>
  <c r="I65" i="3"/>
  <c r="J65" i="3"/>
  <c r="J109" i="3" s="1"/>
  <c r="D66" i="3"/>
  <c r="D110" i="3" s="1"/>
  <c r="F66" i="3"/>
  <c r="H66" i="3"/>
  <c r="I66" i="3"/>
  <c r="J66" i="3"/>
  <c r="D67" i="3"/>
  <c r="D111" i="3" s="1"/>
  <c r="F111" i="3" s="1"/>
  <c r="F67" i="3"/>
  <c r="H67" i="3"/>
  <c r="H111" i="3" s="1"/>
  <c r="I67" i="3"/>
  <c r="J67" i="3"/>
  <c r="J111" i="3" s="1"/>
  <c r="D68" i="3"/>
  <c r="D112" i="3" s="1"/>
  <c r="F112" i="3" s="1"/>
  <c r="F68" i="3"/>
  <c r="H68" i="3"/>
  <c r="K68" i="3" s="1"/>
  <c r="I68" i="3"/>
  <c r="I112" i="3" s="1"/>
  <c r="J68" i="3"/>
  <c r="D69" i="3"/>
  <c r="F69" i="3"/>
  <c r="H69" i="3"/>
  <c r="I69" i="3"/>
  <c r="J69" i="3"/>
  <c r="J113" i="3" s="1"/>
  <c r="C70" i="3"/>
  <c r="C114" i="3" s="1"/>
  <c r="D70" i="3"/>
  <c r="D114" i="3" s="1"/>
  <c r="F114" i="3" s="1"/>
  <c r="F70" i="3"/>
  <c r="H70" i="3"/>
  <c r="I70" i="3"/>
  <c r="I114" i="3" s="1"/>
  <c r="J70" i="3"/>
  <c r="D71" i="3"/>
  <c r="F71" i="3" s="1"/>
  <c r="H71" i="3"/>
  <c r="H115" i="3" s="1"/>
  <c r="I71" i="3"/>
  <c r="I115" i="3" s="1"/>
  <c r="J71" i="3"/>
  <c r="J115" i="3" s="1"/>
  <c r="D95" i="3"/>
  <c r="F95" i="3" s="1"/>
  <c r="H95" i="3"/>
  <c r="K95" i="3" s="1"/>
  <c r="I95" i="3"/>
  <c r="J95" i="3"/>
  <c r="J96" i="3"/>
  <c r="B97" i="3"/>
  <c r="D97" i="3"/>
  <c r="F97" i="3"/>
  <c r="H98" i="3"/>
  <c r="J98" i="3"/>
  <c r="C101" i="3"/>
  <c r="D101" i="3"/>
  <c r="F101" i="3" s="1"/>
  <c r="H101" i="3"/>
  <c r="F102" i="3"/>
  <c r="I102" i="3"/>
  <c r="J102" i="3"/>
  <c r="H103" i="3"/>
  <c r="F104" i="3"/>
  <c r="B105" i="3"/>
  <c r="D105" i="3"/>
  <c r="F105" i="3" s="1"/>
  <c r="F108" i="3"/>
  <c r="H108" i="3"/>
  <c r="I108" i="3"/>
  <c r="B109" i="3"/>
  <c r="F110" i="3"/>
  <c r="I110" i="3"/>
  <c r="J110" i="3"/>
  <c r="J112" i="3"/>
  <c r="D113" i="3"/>
  <c r="F113" i="3"/>
  <c r="H113" i="3"/>
  <c r="J114" i="3"/>
  <c r="D115" i="3"/>
  <c r="F115" i="3" s="1"/>
  <c r="E26" i="1"/>
  <c r="I13" i="1" s="1"/>
  <c r="C26" i="1"/>
  <c r="I14" i="1"/>
  <c r="E27" i="1"/>
  <c r="I15" i="1"/>
  <c r="I20" i="1"/>
  <c r="J21" i="1"/>
  <c r="I22" i="1"/>
  <c r="N71" i="3" l="1"/>
  <c r="L71" i="3"/>
  <c r="D109" i="3"/>
  <c r="F109" i="3" s="1"/>
  <c r="I73" i="3"/>
  <c r="N8" i="3"/>
  <c r="I470" i="6"/>
  <c r="I448" i="6"/>
  <c r="I354" i="6"/>
  <c r="I272" i="6"/>
  <c r="J11" i="14"/>
  <c r="K11" i="14" s="1"/>
  <c r="L11" i="14" s="1"/>
  <c r="B52" i="4"/>
  <c r="B172" i="4" s="1"/>
  <c r="B292" i="4" s="1"/>
  <c r="L55" i="3"/>
  <c r="G8" i="3"/>
  <c r="M8" i="3" s="1"/>
  <c r="K128" i="6"/>
  <c r="I512" i="6"/>
  <c r="I447" i="6"/>
  <c r="I258" i="6"/>
  <c r="J14" i="14"/>
  <c r="K14" i="14" s="1"/>
  <c r="L14" i="14" s="1"/>
  <c r="G466" i="6"/>
  <c r="G298" i="6"/>
  <c r="I81" i="6"/>
  <c r="I24" i="6"/>
  <c r="K69" i="3"/>
  <c r="G69" i="3" s="1"/>
  <c r="M69" i="3" s="1"/>
  <c r="E128" i="17"/>
  <c r="G491" i="6"/>
  <c r="K491" i="6" s="1"/>
  <c r="D99" i="3"/>
  <c r="F99" i="3" s="1"/>
  <c r="L99" i="3" s="1"/>
  <c r="A102" i="4"/>
  <c r="A222" i="4" s="1"/>
  <c r="A342" i="4" s="1"/>
  <c r="K474" i="6"/>
  <c r="H107" i="3"/>
  <c r="D103" i="3"/>
  <c r="F103" i="3" s="1"/>
  <c r="F64" i="3"/>
  <c r="J117" i="3"/>
  <c r="B140" i="4"/>
  <c r="B260" i="4" s="1"/>
  <c r="A51" i="4"/>
  <c r="A171" i="4" s="1"/>
  <c r="A291" i="4" s="1"/>
  <c r="K472" i="6"/>
  <c r="K342" i="6"/>
  <c r="K287" i="6"/>
  <c r="K178" i="6"/>
  <c r="K35" i="6"/>
  <c r="I367" i="6"/>
  <c r="J26" i="14"/>
  <c r="K26" i="14" s="1"/>
  <c r="L26" i="14" s="1"/>
  <c r="F104" i="15"/>
  <c r="F94" i="15"/>
  <c r="J74" i="3"/>
  <c r="L61" i="3"/>
  <c r="G59" i="3"/>
  <c r="M59" i="3" s="1"/>
  <c r="B132" i="4"/>
  <c r="B252" i="4" s="1"/>
  <c r="K177" i="6"/>
  <c r="B102" i="4"/>
  <c r="B222" i="4" s="1"/>
  <c r="B342" i="4" s="1"/>
  <c r="G475" i="6"/>
  <c r="K475" i="6" s="1"/>
  <c r="N7" i="3"/>
  <c r="A140" i="4"/>
  <c r="A260" i="4" s="1"/>
  <c r="K115" i="3"/>
  <c r="K61" i="3"/>
  <c r="G61" i="3" s="1"/>
  <c r="M61" i="3" s="1"/>
  <c r="G7" i="3"/>
  <c r="B148" i="4"/>
  <c r="B268" i="4" s="1"/>
  <c r="K514" i="6"/>
  <c r="K469" i="6"/>
  <c r="K399" i="6"/>
  <c r="K336" i="6"/>
  <c r="K281" i="6"/>
  <c r="K173" i="6"/>
  <c r="I366" i="6"/>
  <c r="I285" i="6"/>
  <c r="I184" i="6"/>
  <c r="D87" i="20"/>
  <c r="B108" i="4"/>
  <c r="B228" i="4" s="1"/>
  <c r="B348" i="4" s="1"/>
  <c r="K71" i="3"/>
  <c r="G71" i="3" s="1"/>
  <c r="M71" i="3" s="1"/>
  <c r="K66" i="3"/>
  <c r="N9" i="3"/>
  <c r="B139" i="4"/>
  <c r="B259" i="4" s="1"/>
  <c r="B50" i="4"/>
  <c r="B170" i="4" s="1"/>
  <c r="B290" i="4" s="1"/>
  <c r="K513" i="6"/>
  <c r="K278" i="6"/>
  <c r="K22" i="6"/>
  <c r="I477" i="6"/>
  <c r="I434" i="6"/>
  <c r="J9" i="14"/>
  <c r="K9" i="14" s="1"/>
  <c r="L9" i="14" s="1"/>
  <c r="K396" i="6"/>
  <c r="K325" i="6"/>
  <c r="G249" i="6"/>
  <c r="N16" i="3"/>
  <c r="H102" i="3"/>
  <c r="K102" i="3" s="1"/>
  <c r="G16" i="3"/>
  <c r="M16" i="3" s="1"/>
  <c r="K382" i="6"/>
  <c r="K86" i="6"/>
  <c r="I433" i="6"/>
  <c r="G102" i="6"/>
  <c r="I102" i="6" s="1"/>
  <c r="J12" i="14"/>
  <c r="K12" i="14" s="1"/>
  <c r="L12" i="14" s="1"/>
  <c r="F14" i="15"/>
  <c r="G515" i="6"/>
  <c r="K515" i="6" s="1"/>
  <c r="G483" i="6"/>
  <c r="G467" i="6"/>
  <c r="A59" i="4"/>
  <c r="A179" i="4" s="1"/>
  <c r="A299" i="4" s="1"/>
  <c r="F34" i="15"/>
  <c r="I96" i="3"/>
  <c r="L65" i="3"/>
  <c r="G25" i="3"/>
  <c r="M25" i="3" s="1"/>
  <c r="B99" i="4"/>
  <c r="B219" i="4" s="1"/>
  <c r="B339" i="4" s="1"/>
  <c r="K499" i="6"/>
  <c r="K317" i="6"/>
  <c r="K237" i="6"/>
  <c r="K138" i="6"/>
  <c r="K78" i="6"/>
  <c r="I449" i="6"/>
  <c r="N25" i="3"/>
  <c r="B137" i="4"/>
  <c r="B257" i="4" s="1"/>
  <c r="F56" i="3"/>
  <c r="F30" i="3"/>
  <c r="N18" i="3"/>
  <c r="K497" i="6"/>
  <c r="K134" i="6"/>
  <c r="G115" i="3"/>
  <c r="M115" i="3" s="1"/>
  <c r="N115" i="3"/>
  <c r="L115" i="3"/>
  <c r="K102" i="6"/>
  <c r="L19" i="3"/>
  <c r="G19" i="3"/>
  <c r="M19" i="3" s="1"/>
  <c r="N19" i="3"/>
  <c r="M7" i="3"/>
  <c r="N111" i="3"/>
  <c r="I74" i="3"/>
  <c r="K57" i="3"/>
  <c r="G57" i="3" s="1"/>
  <c r="M57" i="3" s="1"/>
  <c r="B105" i="4"/>
  <c r="B225" i="4" s="1"/>
  <c r="B345" i="4" s="1"/>
  <c r="B145" i="4"/>
  <c r="B265" i="4" s="1"/>
  <c r="B65" i="4"/>
  <c r="B185" i="4" s="1"/>
  <c r="B305" i="4" s="1"/>
  <c r="A54" i="4"/>
  <c r="A174" i="4" s="1"/>
  <c r="A294" i="4" s="1"/>
  <c r="A94" i="4"/>
  <c r="A214" i="4" s="1"/>
  <c r="A334" i="4" s="1"/>
  <c r="A130" i="4"/>
  <c r="A250" i="4" s="1"/>
  <c r="A90" i="4"/>
  <c r="A210" i="4" s="1"/>
  <c r="A330" i="4" s="1"/>
  <c r="A50" i="4"/>
  <c r="A170" i="4" s="1"/>
  <c r="A290" i="4" s="1"/>
  <c r="G66" i="3"/>
  <c r="M66" i="3" s="1"/>
  <c r="N66" i="3"/>
  <c r="G56" i="3"/>
  <c r="M56" i="3" s="1"/>
  <c r="L56" i="3"/>
  <c r="N56" i="3"/>
  <c r="G14" i="3"/>
  <c r="M14" i="3" s="1"/>
  <c r="A105" i="4"/>
  <c r="A225" i="4" s="1"/>
  <c r="A345" i="4" s="1"/>
  <c r="A145" i="4"/>
  <c r="A265" i="4" s="1"/>
  <c r="G379" i="6"/>
  <c r="I225" i="6"/>
  <c r="K225" i="6"/>
  <c r="K96" i="3"/>
  <c r="I111" i="3"/>
  <c r="N67" i="3"/>
  <c r="K67" i="3"/>
  <c r="G67" i="3" s="1"/>
  <c r="M67" i="3" s="1"/>
  <c r="K52" i="3"/>
  <c r="H74" i="3"/>
  <c r="B143" i="4"/>
  <c r="B263" i="4" s="1"/>
  <c r="A63" i="4"/>
  <c r="A183" i="4" s="1"/>
  <c r="A303" i="4" s="1"/>
  <c r="A143" i="4"/>
  <c r="A263" i="4" s="1"/>
  <c r="K70" i="3"/>
  <c r="K56" i="3"/>
  <c r="H100" i="3"/>
  <c r="K100" i="3" s="1"/>
  <c r="G100" i="3" s="1"/>
  <c r="M100" i="3" s="1"/>
  <c r="G451" i="6"/>
  <c r="G371" i="6"/>
  <c r="G363" i="6"/>
  <c r="G487" i="6"/>
  <c r="G478" i="6"/>
  <c r="G68" i="6"/>
  <c r="H114" i="3"/>
  <c r="K106" i="3"/>
  <c r="G106" i="3" s="1"/>
  <c r="M106" i="3" s="1"/>
  <c r="L106" i="3"/>
  <c r="N106" i="3"/>
  <c r="L100" i="3"/>
  <c r="N100" i="3"/>
  <c r="B147" i="4"/>
  <c r="B267" i="4" s="1"/>
  <c r="B107" i="4"/>
  <c r="B227" i="4" s="1"/>
  <c r="B347" i="4" s="1"/>
  <c r="B67" i="4"/>
  <c r="B187" i="4" s="1"/>
  <c r="B307" i="4" s="1"/>
  <c r="K443" i="6"/>
  <c r="I443" i="6"/>
  <c r="I254" i="6"/>
  <c r="G48" i="6"/>
  <c r="K466" i="6"/>
  <c r="I466" i="6"/>
  <c r="K298" i="6"/>
  <c r="I298" i="6"/>
  <c r="N64" i="3"/>
  <c r="L62" i="3"/>
  <c r="G395" i="6"/>
  <c r="G253" i="6"/>
  <c r="G458" i="6"/>
  <c r="G402" i="6"/>
  <c r="G166" i="6"/>
  <c r="I123" i="6"/>
  <c r="K123" i="6"/>
  <c r="D87" i="19"/>
  <c r="K108" i="3"/>
  <c r="G108" i="3" s="1"/>
  <c r="M108" i="3" s="1"/>
  <c r="K60" i="3"/>
  <c r="I249" i="6"/>
  <c r="K249" i="6"/>
  <c r="K467" i="6"/>
  <c r="I467" i="6"/>
  <c r="G387" i="6"/>
  <c r="G195" i="6"/>
  <c r="H104" i="3"/>
  <c r="K104" i="3" s="1"/>
  <c r="G104" i="3" s="1"/>
  <c r="M104" i="3" s="1"/>
  <c r="H73" i="3"/>
  <c r="N68" i="3"/>
  <c r="L20" i="3"/>
  <c r="G20" i="3"/>
  <c r="M20" i="3" s="1"/>
  <c r="N20" i="3"/>
  <c r="A134" i="4"/>
  <c r="A254" i="4" s="1"/>
  <c r="H112" i="3"/>
  <c r="L67" i="3"/>
  <c r="N58" i="3"/>
  <c r="B103" i="4"/>
  <c r="B223" i="4" s="1"/>
  <c r="B343" i="4" s="1"/>
  <c r="G414" i="6"/>
  <c r="G105" i="3"/>
  <c r="M105" i="3" s="1"/>
  <c r="L105" i="3"/>
  <c r="N105" i="3"/>
  <c r="I113" i="3"/>
  <c r="K113" i="3" s="1"/>
  <c r="G113" i="3" s="1"/>
  <c r="M113" i="3" s="1"/>
  <c r="N69" i="3"/>
  <c r="L69" i="3"/>
  <c r="I109" i="3"/>
  <c r="K109" i="3" s="1"/>
  <c r="G109" i="3" s="1"/>
  <c r="M109" i="3" s="1"/>
  <c r="K65" i="3"/>
  <c r="G65" i="3" s="1"/>
  <c r="M65" i="3" s="1"/>
  <c r="N59" i="3"/>
  <c r="I103" i="3"/>
  <c r="K103" i="3" s="1"/>
  <c r="G103" i="3" s="1"/>
  <c r="M103" i="3" s="1"/>
  <c r="L59" i="3"/>
  <c r="D98" i="3"/>
  <c r="F98" i="3" s="1"/>
  <c r="F54" i="3"/>
  <c r="G411" i="6"/>
  <c r="H110" i="3"/>
  <c r="K110" i="3" s="1"/>
  <c r="G110" i="3" s="1"/>
  <c r="M110" i="3" s="1"/>
  <c r="J118" i="3"/>
  <c r="G95" i="3"/>
  <c r="L95" i="3"/>
  <c r="N95" i="3"/>
  <c r="N70" i="3"/>
  <c r="L68" i="3"/>
  <c r="L66" i="3"/>
  <c r="L64" i="3"/>
  <c r="N62" i="3"/>
  <c r="N60" i="3"/>
  <c r="N55" i="3"/>
  <c r="I99" i="3"/>
  <c r="K55" i="3"/>
  <c r="G55" i="3" s="1"/>
  <c r="M55" i="3" s="1"/>
  <c r="J73" i="3"/>
  <c r="L23" i="3"/>
  <c r="G23" i="3"/>
  <c r="M23" i="3" s="1"/>
  <c r="L15" i="3"/>
  <c r="G15" i="3"/>
  <c r="M15" i="3" s="1"/>
  <c r="N15" i="3"/>
  <c r="F29" i="3"/>
  <c r="A103" i="4"/>
  <c r="A223" i="4" s="1"/>
  <c r="A343" i="4" s="1"/>
  <c r="A65" i="4"/>
  <c r="A185" i="4" s="1"/>
  <c r="A305" i="4" s="1"/>
  <c r="A55" i="4"/>
  <c r="A175" i="4" s="1"/>
  <c r="A295" i="4" s="1"/>
  <c r="A135" i="4"/>
  <c r="A255" i="4" s="1"/>
  <c r="A95" i="4"/>
  <c r="A215" i="4" s="1"/>
  <c r="A335" i="4" s="1"/>
  <c r="G510" i="6"/>
  <c r="G410" i="6"/>
  <c r="G233" i="6"/>
  <c r="G92" i="6"/>
  <c r="G128" i="17"/>
  <c r="A147" i="4"/>
  <c r="A267" i="4" s="1"/>
  <c r="A107" i="4"/>
  <c r="A227" i="4" s="1"/>
  <c r="A347" i="4" s="1"/>
  <c r="G246" i="6"/>
  <c r="L104" i="3"/>
  <c r="G70" i="3"/>
  <c r="M70" i="3" s="1"/>
  <c r="B97" i="4"/>
  <c r="B217" i="4" s="1"/>
  <c r="B337" i="4" s="1"/>
  <c r="A57" i="4"/>
  <c r="A177" i="4" s="1"/>
  <c r="A297" i="4" s="1"/>
  <c r="A97" i="4"/>
  <c r="A217" i="4" s="1"/>
  <c r="A337" i="4" s="1"/>
  <c r="A89" i="4"/>
  <c r="A209" i="4" s="1"/>
  <c r="A329" i="4" s="1"/>
  <c r="A129" i="4"/>
  <c r="A249" i="4" s="1"/>
  <c r="G216" i="6"/>
  <c r="G191" i="6"/>
  <c r="G91" i="6"/>
  <c r="I73" i="15"/>
  <c r="I74" i="15" s="1"/>
  <c r="H74" i="15"/>
  <c r="AA124" i="17"/>
  <c r="L108" i="3"/>
  <c r="G102" i="3"/>
  <c r="M102" i="3" s="1"/>
  <c r="L102" i="3"/>
  <c r="N65" i="3"/>
  <c r="G60" i="3"/>
  <c r="M60" i="3" s="1"/>
  <c r="K53" i="3"/>
  <c r="H97" i="3"/>
  <c r="H117" i="3" s="1"/>
  <c r="N52" i="3"/>
  <c r="L13" i="3"/>
  <c r="N13" i="3"/>
  <c r="G485" i="6"/>
  <c r="K64" i="3"/>
  <c r="G64" i="3" s="1"/>
  <c r="M64" i="3" s="1"/>
  <c r="I107" i="3"/>
  <c r="K107" i="3" s="1"/>
  <c r="G107" i="3" s="1"/>
  <c r="M107" i="3" s="1"/>
  <c r="N63" i="3"/>
  <c r="N53" i="3"/>
  <c r="G53" i="3"/>
  <c r="M53" i="3" s="1"/>
  <c r="L53" i="3"/>
  <c r="N51" i="3"/>
  <c r="F73" i="3"/>
  <c r="L21" i="3"/>
  <c r="N21" i="3"/>
  <c r="L11" i="3"/>
  <c r="G11" i="3"/>
  <c r="M11" i="3" s="1"/>
  <c r="B55" i="4"/>
  <c r="B175" i="4" s="1"/>
  <c r="B295" i="4" s="1"/>
  <c r="B95" i="4"/>
  <c r="B215" i="4" s="1"/>
  <c r="B335" i="4" s="1"/>
  <c r="B135" i="4"/>
  <c r="B255" i="4" s="1"/>
  <c r="A53" i="4"/>
  <c r="A173" i="4" s="1"/>
  <c r="A293" i="4" s="1"/>
  <c r="A93" i="4"/>
  <c r="A213" i="4" s="1"/>
  <c r="A333" i="4" s="1"/>
  <c r="A133" i="4"/>
  <c r="A253" i="4" s="1"/>
  <c r="G502" i="6"/>
  <c r="G495" i="6"/>
  <c r="G215" i="6"/>
  <c r="G109" i="6"/>
  <c r="H79" i="15"/>
  <c r="I77" i="15"/>
  <c r="I79" i="15" s="1"/>
  <c r="G323" i="6"/>
  <c r="G421" i="6"/>
  <c r="G329" i="6"/>
  <c r="G314" i="6"/>
  <c r="G279" i="6"/>
  <c r="G268" i="6"/>
  <c r="G231" i="6"/>
  <c r="G217" i="6"/>
  <c r="G154" i="6"/>
  <c r="G124" i="6"/>
  <c r="G97" i="6"/>
  <c r="G59" i="6"/>
  <c r="I82" i="15"/>
  <c r="I84" i="15" s="1"/>
  <c r="H84" i="15"/>
  <c r="G339" i="6"/>
  <c r="G307" i="6"/>
  <c r="G405" i="6"/>
  <c r="G171" i="6"/>
  <c r="N104" i="3"/>
  <c r="G58" i="3"/>
  <c r="M58" i="3" s="1"/>
  <c r="G501" i="6"/>
  <c r="G305" i="6"/>
  <c r="G290" i="6"/>
  <c r="I47" i="6"/>
  <c r="K47" i="6"/>
  <c r="G331" i="6"/>
  <c r="G299" i="6"/>
  <c r="G291" i="6"/>
  <c r="G429" i="6"/>
  <c r="G445" i="6"/>
  <c r="G192" i="6"/>
  <c r="G273" i="6"/>
  <c r="G506" i="6"/>
  <c r="G519" i="6"/>
  <c r="G64" i="6"/>
  <c r="G79" i="6"/>
  <c r="G140" i="6"/>
  <c r="G153" i="6"/>
  <c r="G193" i="6"/>
  <c r="G208" i="6"/>
  <c r="G222" i="6"/>
  <c r="G238" i="6"/>
  <c r="G26" i="6"/>
  <c r="G85" i="6"/>
  <c r="G175" i="6"/>
  <c r="G185" i="6"/>
  <c r="G461" i="6"/>
  <c r="G511" i="6"/>
  <c r="G27" i="6"/>
  <c r="G162" i="6"/>
  <c r="G186" i="6"/>
  <c r="G201" i="6"/>
  <c r="G265" i="6"/>
  <c r="G385" i="6"/>
  <c r="G100" i="6"/>
  <c r="G130" i="6"/>
  <c r="G326" i="6"/>
  <c r="G462" i="6"/>
  <c r="G471" i="6"/>
  <c r="G21" i="6"/>
  <c r="G80" i="6"/>
  <c r="G101" i="6"/>
  <c r="G245" i="6"/>
  <c r="G267" i="6"/>
  <c r="G353" i="6"/>
  <c r="G361" i="6"/>
  <c r="G409" i="6"/>
  <c r="G493" i="6"/>
  <c r="G509" i="6"/>
  <c r="G286" i="6"/>
  <c r="N108" i="3"/>
  <c r="N102" i="3"/>
  <c r="G68" i="3"/>
  <c r="M68" i="3" s="1"/>
  <c r="I101" i="3"/>
  <c r="N57" i="3"/>
  <c r="L52" i="3"/>
  <c r="L27" i="3"/>
  <c r="G27" i="3"/>
  <c r="M27" i="3" s="1"/>
  <c r="L14" i="3"/>
  <c r="N14" i="3"/>
  <c r="K29" i="3"/>
  <c r="K30" i="3"/>
  <c r="G522" i="6"/>
  <c r="L70" i="3"/>
  <c r="K62" i="3"/>
  <c r="G62" i="3" s="1"/>
  <c r="M62" i="3" s="1"/>
  <c r="L60" i="3"/>
  <c r="G52" i="3"/>
  <c r="M52" i="3" s="1"/>
  <c r="G51" i="3"/>
  <c r="L22" i="3"/>
  <c r="N22" i="3"/>
  <c r="L12" i="3"/>
  <c r="L30" i="3" s="1"/>
  <c r="C9" i="1" s="1"/>
  <c r="G12" i="3"/>
  <c r="M12" i="3" s="1"/>
  <c r="N12" i="3"/>
  <c r="A67" i="4"/>
  <c r="A187" i="4" s="1"/>
  <c r="A307" i="4" s="1"/>
  <c r="I473" i="6"/>
  <c r="K473" i="6"/>
  <c r="G377" i="6"/>
  <c r="G337" i="6"/>
  <c r="I250" i="6"/>
  <c r="K250" i="6"/>
  <c r="G226" i="6"/>
  <c r="I46" i="6"/>
  <c r="K46" i="6"/>
  <c r="H89" i="15"/>
  <c r="I87" i="15"/>
  <c r="I89" i="15" s="1"/>
  <c r="D96" i="3"/>
  <c r="F96" i="3" s="1"/>
  <c r="G26" i="3"/>
  <c r="M26" i="3" s="1"/>
  <c r="G18" i="3"/>
  <c r="M18" i="3" s="1"/>
  <c r="G10" i="3"/>
  <c r="M10" i="3" s="1"/>
  <c r="I517" i="6"/>
  <c r="I490" i="6"/>
  <c r="I439" i="6"/>
  <c r="K439" i="6"/>
  <c r="K239" i="6"/>
  <c r="I239" i="6"/>
  <c r="A58" i="4"/>
  <c r="A178" i="4" s="1"/>
  <c r="A298" i="4" s="1"/>
  <c r="A138" i="4"/>
  <c r="A258" i="4" s="1"/>
  <c r="D131" i="21"/>
  <c r="K54" i="3"/>
  <c r="A98" i="4"/>
  <c r="A218" i="4" s="1"/>
  <c r="A338" i="4" s="1"/>
  <c r="B91" i="4"/>
  <c r="B211" i="4" s="1"/>
  <c r="B331" i="4" s="1"/>
  <c r="B131" i="4"/>
  <c r="B251" i="4" s="1"/>
  <c r="B89" i="4"/>
  <c r="B209" i="4" s="1"/>
  <c r="B329" i="4" s="1"/>
  <c r="B49" i="4"/>
  <c r="B169" i="4" s="1"/>
  <c r="B289" i="4" s="1"/>
  <c r="M27" i="5"/>
  <c r="I152" i="6"/>
  <c r="K152" i="6"/>
  <c r="I53" i="15"/>
  <c r="H54" i="15"/>
  <c r="G36" i="6"/>
  <c r="J7" i="14"/>
  <c r="K7" i="14" s="1"/>
  <c r="L7" i="14" s="1"/>
  <c r="H59" i="15"/>
  <c r="I57" i="15"/>
  <c r="I59" i="15" s="1"/>
  <c r="J22" i="14"/>
  <c r="K22" i="14" s="1"/>
  <c r="L22" i="14" s="1"/>
  <c r="D87" i="22"/>
  <c r="K437" i="6"/>
  <c r="G486" i="6"/>
  <c r="K463" i="6"/>
  <c r="I463" i="6"/>
  <c r="G438" i="6"/>
  <c r="G423" i="6"/>
  <c r="G393" i="6"/>
  <c r="G350" i="6"/>
  <c r="G232" i="6"/>
  <c r="G180" i="6"/>
  <c r="G161" i="6"/>
  <c r="G146" i="6"/>
  <c r="G137" i="6"/>
  <c r="G90" i="6"/>
  <c r="G84" i="6"/>
  <c r="G75" i="6"/>
  <c r="G37" i="6"/>
  <c r="G518" i="6"/>
  <c r="G481" i="6"/>
  <c r="G457" i="6"/>
  <c r="G381" i="6"/>
  <c r="G374" i="6"/>
  <c r="G309" i="6"/>
  <c r="G280" i="6"/>
  <c r="G259" i="6"/>
  <c r="G240" i="6"/>
  <c r="G209" i="6"/>
  <c r="I199" i="6"/>
  <c r="K199" i="6"/>
  <c r="G158" i="6"/>
  <c r="I136" i="6"/>
  <c r="K136" i="6"/>
  <c r="G293" i="6"/>
  <c r="I111" i="6"/>
  <c r="K111" i="6"/>
  <c r="I54" i="15"/>
  <c r="G283" i="6"/>
  <c r="G243" i="6"/>
  <c r="G235" i="6"/>
  <c r="G227" i="6"/>
  <c r="G211" i="6"/>
  <c r="G179" i="6"/>
  <c r="G163" i="6"/>
  <c r="G155" i="6"/>
  <c r="G147" i="6"/>
  <c r="G131" i="6"/>
  <c r="G115" i="6"/>
  <c r="G107" i="6"/>
  <c r="G99" i="6"/>
  <c r="G83" i="6"/>
  <c r="G67" i="6"/>
  <c r="G51" i="6"/>
  <c r="G60" i="6"/>
  <c r="G69" i="6"/>
  <c r="G31" i="6"/>
  <c r="G38" i="6"/>
  <c r="G53" i="6"/>
  <c r="G116" i="6"/>
  <c r="G159" i="6"/>
  <c r="G181" i="6"/>
  <c r="G189" i="6"/>
  <c r="G255" i="6"/>
  <c r="G262" i="6"/>
  <c r="G294" i="6"/>
  <c r="G301" i="6"/>
  <c r="G322" i="6"/>
  <c r="G333" i="6"/>
  <c r="G362" i="6"/>
  <c r="G369" i="6"/>
  <c r="G441" i="6"/>
  <c r="G446" i="6"/>
  <c r="G450" i="6"/>
  <c r="G23" i="6"/>
  <c r="G32" i="6"/>
  <c r="G42" i="6"/>
  <c r="G71" i="6"/>
  <c r="G106" i="6"/>
  <c r="G126" i="6"/>
  <c r="G143" i="6"/>
  <c r="G149" i="6"/>
  <c r="G160" i="6"/>
  <c r="G169" i="6"/>
  <c r="G198" i="6"/>
  <c r="G204" i="6"/>
  <c r="G244" i="6"/>
  <c r="G256" i="6"/>
  <c r="G277" i="6"/>
  <c r="G341" i="6"/>
  <c r="G346" i="6"/>
  <c r="G357" i="6"/>
  <c r="G390" i="6"/>
  <c r="G401" i="6"/>
  <c r="G430" i="6"/>
  <c r="G44" i="6"/>
  <c r="G54" i="6"/>
  <c r="G62" i="6"/>
  <c r="G108" i="6"/>
  <c r="G150" i="6"/>
  <c r="G170" i="6"/>
  <c r="G221" i="6"/>
  <c r="G257" i="6"/>
  <c r="G263" i="6"/>
  <c r="G289" i="6"/>
  <c r="G313" i="6"/>
  <c r="G334" i="6"/>
  <c r="G370" i="6"/>
  <c r="G397" i="6"/>
  <c r="G442" i="6"/>
  <c r="G455" i="6"/>
  <c r="G465" i="6"/>
  <c r="G498" i="6"/>
  <c r="G503" i="6"/>
  <c r="J44" i="15"/>
  <c r="P124" i="17"/>
  <c r="I176" i="6"/>
  <c r="K176" i="6"/>
  <c r="I167" i="6"/>
  <c r="K167" i="6"/>
  <c r="G413" i="6"/>
  <c r="G389" i="6"/>
  <c r="G373" i="6"/>
  <c r="G349" i="6"/>
  <c r="G269" i="6"/>
  <c r="G261" i="6"/>
  <c r="G229" i="6"/>
  <c r="G205" i="6"/>
  <c r="G197" i="6"/>
  <c r="G157" i="6"/>
  <c r="G141" i="6"/>
  <c r="G133" i="6"/>
  <c r="G125" i="6"/>
  <c r="G77" i="6"/>
  <c r="G45" i="6"/>
  <c r="G29" i="6"/>
  <c r="K50" i="13"/>
  <c r="D135" i="13"/>
  <c r="G508" i="6"/>
  <c r="G500" i="6"/>
  <c r="G492" i="6"/>
  <c r="G476" i="6"/>
  <c r="G468" i="6"/>
  <c r="G460" i="6"/>
  <c r="G444" i="6"/>
  <c r="G436" i="6"/>
  <c r="G428" i="6"/>
  <c r="G420" i="6"/>
  <c r="G412" i="6"/>
  <c r="G404" i="6"/>
  <c r="G388" i="6"/>
  <c r="G380" i="6"/>
  <c r="G372" i="6"/>
  <c r="G364" i="6"/>
  <c r="G356" i="6"/>
  <c r="G348" i="6"/>
  <c r="G340" i="6"/>
  <c r="G316" i="6"/>
  <c r="G308" i="6"/>
  <c r="G300" i="6"/>
  <c r="G292" i="6"/>
  <c r="G284" i="6"/>
  <c r="G276" i="6"/>
  <c r="G260" i="6"/>
  <c r="G236" i="6"/>
  <c r="G228" i="6"/>
  <c r="G220" i="6"/>
  <c r="G212" i="6"/>
  <c r="G196" i="6"/>
  <c r="G188" i="6"/>
  <c r="G172" i="6"/>
  <c r="G164" i="6"/>
  <c r="G156" i="6"/>
  <c r="G76" i="6"/>
  <c r="G52" i="6"/>
  <c r="G28" i="6"/>
  <c r="G40" i="6"/>
  <c r="G104" i="6"/>
  <c r="G113" i="6"/>
  <c r="G119" i="6"/>
  <c r="G168" i="6"/>
  <c r="G295" i="6"/>
  <c r="G303" i="6"/>
  <c r="G311" i="6"/>
  <c r="G319" i="6"/>
  <c r="G327" i="6"/>
  <c r="G335" i="6"/>
  <c r="G343" i="6"/>
  <c r="G351" i="6"/>
  <c r="G359" i="6"/>
  <c r="G383" i="6"/>
  <c r="G391" i="6"/>
  <c r="G407" i="6"/>
  <c r="G415" i="6"/>
  <c r="G30" i="6"/>
  <c r="G57" i="6"/>
  <c r="G63" i="6"/>
  <c r="G89" i="6"/>
  <c r="G95" i="6"/>
  <c r="G121" i="6"/>
  <c r="G127" i="6"/>
  <c r="G151" i="6"/>
  <c r="G174" i="6"/>
  <c r="G296" i="6"/>
  <c r="G328" i="6"/>
  <c r="G368" i="6"/>
  <c r="G376" i="6"/>
  <c r="G384" i="6"/>
  <c r="G392" i="6"/>
  <c r="G400" i="6"/>
  <c r="G424" i="6"/>
  <c r="G432" i="6"/>
  <c r="G440" i="6"/>
  <c r="G39" i="6"/>
  <c r="G49" i="6"/>
  <c r="G73" i="6"/>
  <c r="G94" i="6"/>
  <c r="G103" i="6"/>
  <c r="G112" i="6"/>
  <c r="G118" i="6"/>
  <c r="G182" i="6"/>
  <c r="G194" i="6"/>
  <c r="G206" i="6"/>
  <c r="G218" i="6"/>
  <c r="G223" i="6"/>
  <c r="G230" i="6"/>
  <c r="G247" i="6"/>
  <c r="G270" i="6"/>
  <c r="G330" i="6"/>
  <c r="G358" i="6"/>
  <c r="G417" i="6"/>
  <c r="G426" i="6"/>
  <c r="G464" i="6"/>
  <c r="G480" i="6"/>
  <c r="G488" i="6"/>
  <c r="G520" i="6"/>
  <c r="G20" i="6"/>
  <c r="G25" i="6"/>
  <c r="G41" i="6"/>
  <c r="G105" i="6"/>
  <c r="G120" i="6"/>
  <c r="G135" i="6"/>
  <c r="G142" i="6"/>
  <c r="G183" i="6"/>
  <c r="G207" i="6"/>
  <c r="G224" i="6"/>
  <c r="G241" i="6"/>
  <c r="G248" i="6"/>
  <c r="G264" i="6"/>
  <c r="G271" i="6"/>
  <c r="G297" i="6"/>
  <c r="G321" i="6"/>
  <c r="G345" i="6"/>
  <c r="G378" i="6"/>
  <c r="G394" i="6"/>
  <c r="G422" i="6"/>
  <c r="G431" i="6"/>
  <c r="F69" i="15"/>
  <c r="J64" i="15"/>
  <c r="J24" i="15"/>
  <c r="G43" i="6"/>
  <c r="H104" i="15"/>
  <c r="I102" i="15"/>
  <c r="I104" i="15" s="1"/>
  <c r="J79" i="15"/>
  <c r="H24" i="15"/>
  <c r="I22" i="15"/>
  <c r="I24" i="15" s="1"/>
  <c r="G274" i="6"/>
  <c r="G266" i="6"/>
  <c r="G242" i="6"/>
  <c r="G234" i="6"/>
  <c r="G210" i="6"/>
  <c r="G202" i="6"/>
  <c r="G98" i="6"/>
  <c r="G74" i="6"/>
  <c r="G66" i="6"/>
  <c r="G50" i="6"/>
  <c r="G34" i="6"/>
  <c r="D134" i="13"/>
  <c r="J89" i="15"/>
  <c r="I12" i="15"/>
  <c r="I14" i="15" s="1"/>
  <c r="H14" i="15"/>
  <c r="F99" i="15"/>
  <c r="F19" i="15"/>
  <c r="K47" i="21"/>
  <c r="H64" i="15"/>
  <c r="I62" i="15"/>
  <c r="I64" i="15" s="1"/>
  <c r="H109" i="15"/>
  <c r="I107" i="15"/>
  <c r="I109" i="15" s="1"/>
  <c r="J109" i="15" s="1"/>
  <c r="H49" i="15"/>
  <c r="I47" i="15"/>
  <c r="I49" i="15" s="1"/>
  <c r="H29" i="15"/>
  <c r="J29" i="15" s="1"/>
  <c r="I27" i="15"/>
  <c r="I29" i="15" s="1"/>
  <c r="J16" i="14"/>
  <c r="K16" i="14" s="1"/>
  <c r="L16" i="14" s="1"/>
  <c r="H114" i="15"/>
  <c r="I112" i="15"/>
  <c r="I114" i="15" s="1"/>
  <c r="I94" i="15"/>
  <c r="J94" i="15" s="1"/>
  <c r="H34" i="15"/>
  <c r="I32" i="15"/>
  <c r="I34" i="15" s="1"/>
  <c r="H99" i="15"/>
  <c r="I97" i="15"/>
  <c r="I99" i="15" s="1"/>
  <c r="H19" i="15"/>
  <c r="I17" i="15"/>
  <c r="I19" i="15" s="1"/>
  <c r="AA123" i="17"/>
  <c r="AA128" i="17" s="1"/>
  <c r="J84" i="15"/>
  <c r="H69" i="15"/>
  <c r="I67" i="15"/>
  <c r="I69" i="15" s="1"/>
  <c r="J14" i="15"/>
  <c r="P123" i="17"/>
  <c r="P128" i="17" s="1"/>
  <c r="J21" i="14"/>
  <c r="K21" i="14" s="1"/>
  <c r="L21" i="14" s="1"/>
  <c r="J54" i="15"/>
  <c r="H39" i="15"/>
  <c r="I37" i="15"/>
  <c r="I39" i="15" s="1"/>
  <c r="J39" i="15" l="1"/>
  <c r="I515" i="6"/>
  <c r="J34" i="15"/>
  <c r="J99" i="15"/>
  <c r="N29" i="3"/>
  <c r="E4" i="1" s="1"/>
  <c r="L110" i="3"/>
  <c r="I475" i="6"/>
  <c r="J114" i="15"/>
  <c r="J104" i="15"/>
  <c r="I491" i="6"/>
  <c r="J19" i="15"/>
  <c r="K86" i="15" s="1"/>
  <c r="J74" i="15"/>
  <c r="N113" i="3"/>
  <c r="I483" i="6"/>
  <c r="K483" i="6"/>
  <c r="L97" i="3"/>
  <c r="N103" i="3"/>
  <c r="J59" i="15"/>
  <c r="L103" i="3"/>
  <c r="J49" i="15"/>
  <c r="K73" i="3"/>
  <c r="L113" i="3"/>
  <c r="L29" i="3"/>
  <c r="C4" i="1" s="1"/>
  <c r="I43" i="6"/>
  <c r="K43" i="6"/>
  <c r="I49" i="6"/>
  <c r="K49" i="6"/>
  <c r="I220" i="6"/>
  <c r="K220" i="6"/>
  <c r="K455" i="6"/>
  <c r="I455" i="6"/>
  <c r="I189" i="6"/>
  <c r="K189" i="6"/>
  <c r="I90" i="6"/>
  <c r="K90" i="6"/>
  <c r="I238" i="6"/>
  <c r="K238" i="6"/>
  <c r="I402" i="6"/>
  <c r="K402" i="6"/>
  <c r="K25" i="6"/>
  <c r="I25" i="6"/>
  <c r="K359" i="6"/>
  <c r="I359" i="6"/>
  <c r="I77" i="6"/>
  <c r="K77" i="6"/>
  <c r="I71" i="6"/>
  <c r="K71" i="6"/>
  <c r="I137" i="6"/>
  <c r="K137" i="6"/>
  <c r="I506" i="6"/>
  <c r="K506" i="6"/>
  <c r="I458" i="6"/>
  <c r="K458" i="6"/>
  <c r="I345" i="6"/>
  <c r="K345" i="6"/>
  <c r="K207" i="6"/>
  <c r="I207" i="6"/>
  <c r="I20" i="6"/>
  <c r="K20" i="6"/>
  <c r="I330" i="6"/>
  <c r="K330" i="6"/>
  <c r="I182" i="6"/>
  <c r="K182" i="6"/>
  <c r="I440" i="6"/>
  <c r="K440" i="6"/>
  <c r="K328" i="6"/>
  <c r="I328" i="6"/>
  <c r="I63" i="6"/>
  <c r="K63" i="6"/>
  <c r="K351" i="6"/>
  <c r="I351" i="6"/>
  <c r="I168" i="6"/>
  <c r="K168" i="6"/>
  <c r="I156" i="6"/>
  <c r="K156" i="6"/>
  <c r="I236" i="6"/>
  <c r="K236" i="6"/>
  <c r="I340" i="6"/>
  <c r="K340" i="6"/>
  <c r="I412" i="6"/>
  <c r="K412" i="6"/>
  <c r="I492" i="6"/>
  <c r="K492" i="6"/>
  <c r="I125" i="6"/>
  <c r="K125" i="6"/>
  <c r="I269" i="6"/>
  <c r="K269" i="6"/>
  <c r="I397" i="6"/>
  <c r="K397" i="6"/>
  <c r="I170" i="6"/>
  <c r="K170" i="6"/>
  <c r="I390" i="6"/>
  <c r="K390" i="6"/>
  <c r="I198" i="6"/>
  <c r="K198" i="6"/>
  <c r="I42" i="6"/>
  <c r="K42" i="6"/>
  <c r="I333" i="6"/>
  <c r="K333" i="6"/>
  <c r="I159" i="6"/>
  <c r="K159" i="6"/>
  <c r="I67" i="6"/>
  <c r="K67" i="6"/>
  <c r="I163" i="6"/>
  <c r="K163" i="6"/>
  <c r="I457" i="6"/>
  <c r="K457" i="6"/>
  <c r="I146" i="6"/>
  <c r="K146" i="6"/>
  <c r="L29" i="14"/>
  <c r="D30" i="1" s="1"/>
  <c r="I18" i="1" s="1"/>
  <c r="L30" i="14"/>
  <c r="E30" i="1" s="1"/>
  <c r="I17" i="1" s="1"/>
  <c r="K267" i="6"/>
  <c r="I267" i="6"/>
  <c r="I130" i="6"/>
  <c r="K130" i="6"/>
  <c r="K511" i="6"/>
  <c r="I511" i="6"/>
  <c r="K208" i="6"/>
  <c r="I208" i="6"/>
  <c r="I273" i="6"/>
  <c r="K273" i="6"/>
  <c r="K307" i="6"/>
  <c r="I307" i="6"/>
  <c r="I217" i="6"/>
  <c r="K217" i="6"/>
  <c r="I485" i="6"/>
  <c r="K485" i="6"/>
  <c r="I91" i="6"/>
  <c r="K91" i="6"/>
  <c r="I233" i="6"/>
  <c r="K233" i="6"/>
  <c r="K99" i="3"/>
  <c r="G99" i="3" s="1"/>
  <c r="M99" i="3" s="1"/>
  <c r="N99" i="3"/>
  <c r="L107" i="3"/>
  <c r="N30" i="3"/>
  <c r="E9" i="1" s="1"/>
  <c r="K387" i="6"/>
  <c r="I387" i="6"/>
  <c r="I253" i="6"/>
  <c r="K253" i="6"/>
  <c r="G30" i="3"/>
  <c r="I241" i="6"/>
  <c r="K241" i="6"/>
  <c r="I95" i="6"/>
  <c r="K95" i="6"/>
  <c r="I388" i="6"/>
  <c r="K388" i="6"/>
  <c r="I430" i="6"/>
  <c r="K430" i="6"/>
  <c r="I147" i="6"/>
  <c r="K147" i="6"/>
  <c r="K226" i="6"/>
  <c r="I226" i="6"/>
  <c r="K101" i="3"/>
  <c r="G101" i="3" s="1"/>
  <c r="M101" i="3" s="1"/>
  <c r="N101" i="3"/>
  <c r="I331" i="6"/>
  <c r="K331" i="6"/>
  <c r="I50" i="6"/>
  <c r="K50" i="6"/>
  <c r="I194" i="6"/>
  <c r="K194" i="6"/>
  <c r="K295" i="6"/>
  <c r="I295" i="6"/>
  <c r="I476" i="6"/>
  <c r="K476" i="6"/>
  <c r="K204" i="6"/>
  <c r="I204" i="6"/>
  <c r="I381" i="6"/>
  <c r="K381" i="6"/>
  <c r="K222" i="6"/>
  <c r="I222" i="6"/>
  <c r="K195" i="6"/>
  <c r="I195" i="6"/>
  <c r="I74" i="6"/>
  <c r="K74" i="6"/>
  <c r="J69" i="15"/>
  <c r="I321" i="6"/>
  <c r="K321" i="6"/>
  <c r="I183" i="6"/>
  <c r="K183" i="6"/>
  <c r="I520" i="6"/>
  <c r="K520" i="6"/>
  <c r="I270" i="6"/>
  <c r="K270" i="6"/>
  <c r="I118" i="6"/>
  <c r="K118" i="6"/>
  <c r="K432" i="6"/>
  <c r="I432" i="6"/>
  <c r="I296" i="6"/>
  <c r="K296" i="6"/>
  <c r="I57" i="6"/>
  <c r="K57" i="6"/>
  <c r="K343" i="6"/>
  <c r="I343" i="6"/>
  <c r="I119" i="6"/>
  <c r="K119" i="6"/>
  <c r="I164" i="6"/>
  <c r="K164" i="6"/>
  <c r="K260" i="6"/>
  <c r="I260" i="6"/>
  <c r="I348" i="6"/>
  <c r="K348" i="6"/>
  <c r="K420" i="6"/>
  <c r="I420" i="6"/>
  <c r="I500" i="6"/>
  <c r="K500" i="6"/>
  <c r="I133" i="6"/>
  <c r="K133" i="6"/>
  <c r="I349" i="6"/>
  <c r="K349" i="6"/>
  <c r="K370" i="6"/>
  <c r="I370" i="6"/>
  <c r="I150" i="6"/>
  <c r="K150" i="6"/>
  <c r="I357" i="6"/>
  <c r="K357" i="6"/>
  <c r="I169" i="6"/>
  <c r="K169" i="6"/>
  <c r="I32" i="6"/>
  <c r="K32" i="6"/>
  <c r="I322" i="6"/>
  <c r="K322" i="6"/>
  <c r="I116" i="6"/>
  <c r="K116" i="6"/>
  <c r="I83" i="6"/>
  <c r="K83" i="6"/>
  <c r="I179" i="6"/>
  <c r="K179" i="6"/>
  <c r="I209" i="6"/>
  <c r="K209" i="6"/>
  <c r="K481" i="6"/>
  <c r="I481" i="6"/>
  <c r="I161" i="6"/>
  <c r="K161" i="6"/>
  <c r="I36" i="6"/>
  <c r="K36" i="6"/>
  <c r="G96" i="3"/>
  <c r="M96" i="3" s="1"/>
  <c r="L96" i="3"/>
  <c r="N96" i="3"/>
  <c r="K337" i="6"/>
  <c r="I337" i="6"/>
  <c r="I245" i="6"/>
  <c r="K245" i="6"/>
  <c r="I100" i="6"/>
  <c r="K100" i="6"/>
  <c r="K461" i="6"/>
  <c r="I461" i="6"/>
  <c r="I193" i="6"/>
  <c r="K193" i="6"/>
  <c r="I192" i="6"/>
  <c r="K192" i="6"/>
  <c r="I290" i="6"/>
  <c r="K290" i="6"/>
  <c r="I339" i="6"/>
  <c r="K339" i="6"/>
  <c r="K231" i="6"/>
  <c r="I231" i="6"/>
  <c r="I191" i="6"/>
  <c r="K191" i="6"/>
  <c r="I410" i="6"/>
  <c r="K410" i="6"/>
  <c r="L54" i="3"/>
  <c r="N54" i="3"/>
  <c r="N73" i="3" s="1"/>
  <c r="E5" i="1" s="1"/>
  <c r="G54" i="3"/>
  <c r="M54" i="3" s="1"/>
  <c r="F74" i="3"/>
  <c r="K112" i="3"/>
  <c r="G112" i="3" s="1"/>
  <c r="M112" i="3" s="1"/>
  <c r="N112" i="3"/>
  <c r="I395" i="6"/>
  <c r="K395" i="6"/>
  <c r="K114" i="3"/>
  <c r="G114" i="3" s="1"/>
  <c r="M114" i="3" s="1"/>
  <c r="N114" i="3"/>
  <c r="K379" i="6"/>
  <c r="I379" i="6"/>
  <c r="M29" i="3"/>
  <c r="D4" i="1" s="1"/>
  <c r="M30" i="3"/>
  <c r="D9" i="1" s="1"/>
  <c r="N110" i="3"/>
  <c r="I34" i="6"/>
  <c r="K34" i="6"/>
  <c r="I417" i="6"/>
  <c r="K417" i="6"/>
  <c r="K303" i="6"/>
  <c r="I303" i="6"/>
  <c r="I45" i="6"/>
  <c r="K45" i="6"/>
  <c r="I106" i="6"/>
  <c r="K106" i="6"/>
  <c r="I158" i="6"/>
  <c r="K158" i="6"/>
  <c r="I462" i="6"/>
  <c r="K462" i="6"/>
  <c r="I124" i="6"/>
  <c r="K124" i="6"/>
  <c r="L101" i="3"/>
  <c r="K74" i="3"/>
  <c r="G29" i="3"/>
  <c r="I224" i="6"/>
  <c r="K224" i="6"/>
  <c r="I89" i="6"/>
  <c r="K89" i="6"/>
  <c r="I404" i="6"/>
  <c r="K404" i="6"/>
  <c r="I401" i="6"/>
  <c r="K401" i="6"/>
  <c r="I155" i="6"/>
  <c r="K155" i="6"/>
  <c r="I27" i="6"/>
  <c r="K27" i="6"/>
  <c r="K92" i="6"/>
  <c r="I92" i="6"/>
  <c r="N107" i="3"/>
  <c r="K274" i="6"/>
  <c r="I274" i="6"/>
  <c r="K64" i="15"/>
  <c r="K30" i="15"/>
  <c r="K38" i="15"/>
  <c r="K47" i="15"/>
  <c r="K55" i="15"/>
  <c r="K63" i="15"/>
  <c r="K87" i="15"/>
  <c r="K95" i="15"/>
  <c r="K103" i="15"/>
  <c r="K96" i="15"/>
  <c r="K112" i="15"/>
  <c r="K121" i="15"/>
  <c r="K60" i="15"/>
  <c r="K85" i="15"/>
  <c r="K113" i="15"/>
  <c r="K51" i="15"/>
  <c r="K65" i="15"/>
  <c r="K76" i="15"/>
  <c r="K90" i="15"/>
  <c r="K115" i="15"/>
  <c r="K28" i="15"/>
  <c r="K45" i="15"/>
  <c r="K93" i="15"/>
  <c r="K116" i="15"/>
  <c r="K27" i="15"/>
  <c r="K97" i="15"/>
  <c r="K66" i="15"/>
  <c r="K98" i="15"/>
  <c r="K41" i="15"/>
  <c r="K58" i="15"/>
  <c r="K107" i="15"/>
  <c r="K117" i="15"/>
  <c r="K14" i="15"/>
  <c r="K106" i="15"/>
  <c r="I297" i="6"/>
  <c r="K297" i="6"/>
  <c r="I142" i="6"/>
  <c r="K142" i="6"/>
  <c r="I488" i="6"/>
  <c r="K488" i="6"/>
  <c r="I247" i="6"/>
  <c r="K247" i="6"/>
  <c r="I112" i="6"/>
  <c r="K112" i="6"/>
  <c r="K424" i="6"/>
  <c r="I424" i="6"/>
  <c r="I174" i="6"/>
  <c r="K174" i="6"/>
  <c r="I30" i="6"/>
  <c r="K30" i="6"/>
  <c r="K335" i="6"/>
  <c r="I335" i="6"/>
  <c r="K113" i="6"/>
  <c r="I113" i="6"/>
  <c r="I172" i="6"/>
  <c r="K172" i="6"/>
  <c r="I276" i="6"/>
  <c r="K276" i="6"/>
  <c r="I356" i="6"/>
  <c r="K356" i="6"/>
  <c r="K428" i="6"/>
  <c r="I428" i="6"/>
  <c r="I508" i="6"/>
  <c r="K508" i="6"/>
  <c r="I141" i="6"/>
  <c r="K141" i="6"/>
  <c r="I373" i="6"/>
  <c r="K373" i="6"/>
  <c r="I334" i="6"/>
  <c r="K334" i="6"/>
  <c r="I108" i="6"/>
  <c r="K108" i="6"/>
  <c r="I346" i="6"/>
  <c r="K346" i="6"/>
  <c r="K160" i="6"/>
  <c r="I160" i="6"/>
  <c r="I23" i="6"/>
  <c r="K23" i="6"/>
  <c r="I301" i="6"/>
  <c r="K301" i="6"/>
  <c r="I53" i="6"/>
  <c r="K53" i="6"/>
  <c r="I99" i="6"/>
  <c r="K99" i="6"/>
  <c r="I211" i="6"/>
  <c r="K211" i="6"/>
  <c r="I240" i="6"/>
  <c r="K240" i="6"/>
  <c r="K518" i="6"/>
  <c r="I518" i="6"/>
  <c r="K180" i="6"/>
  <c r="I180" i="6"/>
  <c r="I486" i="6"/>
  <c r="K486" i="6"/>
  <c r="I377" i="6"/>
  <c r="K377" i="6"/>
  <c r="K522" i="6"/>
  <c r="I522" i="6"/>
  <c r="I286" i="6"/>
  <c r="K286" i="6"/>
  <c r="I101" i="6"/>
  <c r="K101" i="6"/>
  <c r="I385" i="6"/>
  <c r="K385" i="6"/>
  <c r="I185" i="6"/>
  <c r="K185" i="6"/>
  <c r="K153" i="6"/>
  <c r="I153" i="6"/>
  <c r="I445" i="6"/>
  <c r="K445" i="6"/>
  <c r="K305" i="6"/>
  <c r="I305" i="6"/>
  <c r="I268" i="6"/>
  <c r="K268" i="6"/>
  <c r="I109" i="6"/>
  <c r="K109" i="6"/>
  <c r="K216" i="6"/>
  <c r="I216" i="6"/>
  <c r="K510" i="6"/>
  <c r="I510" i="6"/>
  <c r="M95" i="3"/>
  <c r="G98" i="3"/>
  <c r="M98" i="3" s="1"/>
  <c r="L98" i="3"/>
  <c r="N98" i="3"/>
  <c r="N109" i="3"/>
  <c r="I48" i="6"/>
  <c r="K48" i="6"/>
  <c r="I68" i="6"/>
  <c r="K68" i="6"/>
  <c r="K394" i="6"/>
  <c r="I394" i="6"/>
  <c r="K376" i="6"/>
  <c r="I376" i="6"/>
  <c r="K308" i="6"/>
  <c r="I308" i="6"/>
  <c r="I257" i="6"/>
  <c r="K257" i="6"/>
  <c r="I60" i="6"/>
  <c r="K60" i="6"/>
  <c r="K423" i="6"/>
  <c r="I423" i="6"/>
  <c r="K519" i="6"/>
  <c r="I519" i="6"/>
  <c r="I371" i="6"/>
  <c r="K371" i="6"/>
  <c r="K54" i="15"/>
  <c r="K29" i="15"/>
  <c r="I358" i="6"/>
  <c r="K358" i="6"/>
  <c r="I76" i="6"/>
  <c r="K76" i="6"/>
  <c r="I261" i="6"/>
  <c r="K261" i="6"/>
  <c r="I362" i="6"/>
  <c r="K362" i="6"/>
  <c r="I438" i="6"/>
  <c r="K438" i="6"/>
  <c r="I405" i="6"/>
  <c r="K405" i="6"/>
  <c r="K451" i="6"/>
  <c r="I451" i="6"/>
  <c r="I117" i="3"/>
  <c r="K99" i="15"/>
  <c r="I98" i="6"/>
  <c r="K98" i="6"/>
  <c r="K271" i="6"/>
  <c r="I271" i="6"/>
  <c r="I480" i="6"/>
  <c r="K480" i="6"/>
  <c r="I230" i="6"/>
  <c r="K230" i="6"/>
  <c r="I103" i="6"/>
  <c r="K103" i="6"/>
  <c r="K400" i="6"/>
  <c r="I400" i="6"/>
  <c r="I151" i="6"/>
  <c r="K151" i="6"/>
  <c r="K415" i="6"/>
  <c r="I415" i="6"/>
  <c r="K327" i="6"/>
  <c r="I327" i="6"/>
  <c r="I104" i="6"/>
  <c r="K104" i="6"/>
  <c r="I188" i="6"/>
  <c r="K188" i="6"/>
  <c r="I284" i="6"/>
  <c r="K284" i="6"/>
  <c r="I364" i="6"/>
  <c r="K364" i="6"/>
  <c r="I436" i="6"/>
  <c r="K436" i="6"/>
  <c r="I157" i="6"/>
  <c r="K157" i="6"/>
  <c r="I389" i="6"/>
  <c r="K389" i="6"/>
  <c r="K503" i="6"/>
  <c r="I503" i="6"/>
  <c r="K313" i="6"/>
  <c r="I313" i="6"/>
  <c r="I62" i="6"/>
  <c r="K62" i="6"/>
  <c r="I341" i="6"/>
  <c r="K341" i="6"/>
  <c r="I149" i="6"/>
  <c r="K149" i="6"/>
  <c r="I450" i="6"/>
  <c r="K450" i="6"/>
  <c r="I294" i="6"/>
  <c r="K294" i="6"/>
  <c r="I38" i="6"/>
  <c r="K38" i="6"/>
  <c r="I107" i="6"/>
  <c r="K107" i="6"/>
  <c r="I227" i="6"/>
  <c r="K227" i="6"/>
  <c r="I293" i="6"/>
  <c r="K293" i="6"/>
  <c r="K259" i="6"/>
  <c r="I259" i="6"/>
  <c r="I37" i="6"/>
  <c r="K37" i="6"/>
  <c r="I232" i="6"/>
  <c r="K232" i="6"/>
  <c r="K509" i="6"/>
  <c r="I509" i="6"/>
  <c r="K80" i="6"/>
  <c r="I80" i="6"/>
  <c r="I265" i="6"/>
  <c r="K265" i="6"/>
  <c r="K175" i="6"/>
  <c r="I175" i="6"/>
  <c r="I140" i="6"/>
  <c r="K140" i="6"/>
  <c r="I429" i="6"/>
  <c r="K429" i="6"/>
  <c r="K501" i="6"/>
  <c r="I501" i="6"/>
  <c r="I279" i="6"/>
  <c r="K279" i="6"/>
  <c r="I215" i="6"/>
  <c r="K215" i="6"/>
  <c r="I246" i="6"/>
  <c r="K246" i="6"/>
  <c r="F118" i="3"/>
  <c r="L112" i="3"/>
  <c r="I118" i="3"/>
  <c r="I414" i="6"/>
  <c r="K414" i="6"/>
  <c r="L109" i="3"/>
  <c r="I478" i="6"/>
  <c r="K478" i="6"/>
  <c r="I242" i="6"/>
  <c r="K242" i="6"/>
  <c r="I206" i="6"/>
  <c r="K206" i="6"/>
  <c r="I52" i="6"/>
  <c r="K52" i="6"/>
  <c r="I229" i="6"/>
  <c r="K229" i="6"/>
  <c r="I369" i="6"/>
  <c r="K369" i="6"/>
  <c r="K374" i="6"/>
  <c r="I374" i="6"/>
  <c r="I162" i="6"/>
  <c r="K162" i="6"/>
  <c r="I421" i="6"/>
  <c r="K421" i="6"/>
  <c r="K378" i="6"/>
  <c r="I378" i="6"/>
  <c r="I368" i="6"/>
  <c r="K368" i="6"/>
  <c r="I316" i="6"/>
  <c r="K316" i="6"/>
  <c r="I221" i="6"/>
  <c r="K221" i="6"/>
  <c r="I51" i="6"/>
  <c r="K51" i="6"/>
  <c r="I326" i="6"/>
  <c r="K326" i="6"/>
  <c r="I323" i="6"/>
  <c r="K323" i="6"/>
  <c r="I66" i="6"/>
  <c r="K66" i="6"/>
  <c r="K202" i="6"/>
  <c r="I202" i="6"/>
  <c r="K79" i="15"/>
  <c r="I135" i="6"/>
  <c r="K135" i="6"/>
  <c r="K89" i="15"/>
  <c r="I210" i="6"/>
  <c r="K210" i="6"/>
  <c r="K431" i="6"/>
  <c r="I431" i="6"/>
  <c r="I264" i="6"/>
  <c r="K264" i="6"/>
  <c r="I120" i="6"/>
  <c r="K120" i="6"/>
  <c r="I464" i="6"/>
  <c r="K464" i="6"/>
  <c r="I223" i="6"/>
  <c r="K223" i="6"/>
  <c r="I94" i="6"/>
  <c r="K94" i="6"/>
  <c r="K392" i="6"/>
  <c r="I392" i="6"/>
  <c r="I127" i="6"/>
  <c r="K127" i="6"/>
  <c r="I407" i="6"/>
  <c r="K407" i="6"/>
  <c r="K319" i="6"/>
  <c r="I319" i="6"/>
  <c r="I40" i="6"/>
  <c r="K40" i="6"/>
  <c r="I196" i="6"/>
  <c r="K196" i="6"/>
  <c r="I292" i="6"/>
  <c r="K292" i="6"/>
  <c r="K372" i="6"/>
  <c r="I372" i="6"/>
  <c r="I444" i="6"/>
  <c r="K444" i="6"/>
  <c r="I197" i="6"/>
  <c r="K197" i="6"/>
  <c r="I413" i="6"/>
  <c r="K413" i="6"/>
  <c r="K498" i="6"/>
  <c r="I498" i="6"/>
  <c r="K289" i="6"/>
  <c r="I289" i="6"/>
  <c r="I54" i="6"/>
  <c r="K54" i="6"/>
  <c r="I277" i="6"/>
  <c r="K277" i="6"/>
  <c r="I143" i="6"/>
  <c r="K143" i="6"/>
  <c r="I446" i="6"/>
  <c r="K446" i="6"/>
  <c r="I262" i="6"/>
  <c r="K262" i="6"/>
  <c r="I31" i="6"/>
  <c r="K31" i="6"/>
  <c r="I115" i="6"/>
  <c r="K115" i="6"/>
  <c r="I235" i="6"/>
  <c r="K235" i="6"/>
  <c r="K280" i="6"/>
  <c r="I280" i="6"/>
  <c r="I75" i="6"/>
  <c r="K75" i="6"/>
  <c r="I350" i="6"/>
  <c r="K350" i="6"/>
  <c r="I493" i="6"/>
  <c r="K493" i="6"/>
  <c r="I21" i="6"/>
  <c r="K21" i="6"/>
  <c r="I201" i="6"/>
  <c r="K201" i="6"/>
  <c r="K85" i="6"/>
  <c r="I85" i="6"/>
  <c r="I79" i="6"/>
  <c r="K79" i="6"/>
  <c r="I291" i="6"/>
  <c r="K291" i="6"/>
  <c r="I59" i="6"/>
  <c r="K59" i="6"/>
  <c r="I314" i="6"/>
  <c r="K314" i="6"/>
  <c r="K495" i="6"/>
  <c r="I495" i="6"/>
  <c r="H118" i="3"/>
  <c r="K97" i="3"/>
  <c r="G97" i="3" s="1"/>
  <c r="M97" i="3" s="1"/>
  <c r="N97" i="3"/>
  <c r="N117" i="3" s="1"/>
  <c r="E6" i="1" s="1"/>
  <c r="F117" i="3"/>
  <c r="K487" i="6"/>
  <c r="I487" i="6"/>
  <c r="K111" i="3"/>
  <c r="G111" i="3" s="1"/>
  <c r="M111" i="3" s="1"/>
  <c r="L111" i="3"/>
  <c r="K22" i="15"/>
  <c r="K23" i="15"/>
  <c r="K21" i="15"/>
  <c r="K19" i="15"/>
  <c r="K20" i="15"/>
  <c r="K15" i="15"/>
  <c r="I41" i="6"/>
  <c r="K41" i="6"/>
  <c r="K383" i="6"/>
  <c r="I383" i="6"/>
  <c r="I468" i="6"/>
  <c r="K468" i="6"/>
  <c r="I244" i="6"/>
  <c r="K244" i="6"/>
  <c r="I283" i="6"/>
  <c r="K283" i="6"/>
  <c r="K361" i="6"/>
  <c r="I361" i="6"/>
  <c r="I171" i="6"/>
  <c r="K171" i="6"/>
  <c r="I266" i="6"/>
  <c r="K266" i="6"/>
  <c r="K24" i="15"/>
  <c r="I39" i="6"/>
  <c r="K39" i="6"/>
  <c r="I228" i="6"/>
  <c r="K228" i="6"/>
  <c r="K442" i="6"/>
  <c r="I442" i="6"/>
  <c r="I181" i="6"/>
  <c r="K181" i="6"/>
  <c r="I353" i="6"/>
  <c r="K353" i="6"/>
  <c r="I154" i="6"/>
  <c r="K154" i="6"/>
  <c r="K84" i="15"/>
  <c r="K50" i="21"/>
  <c r="C27" i="1"/>
  <c r="I16" i="1" s="1"/>
  <c r="K234" i="6"/>
  <c r="I234" i="6"/>
  <c r="I422" i="6"/>
  <c r="K422" i="6"/>
  <c r="K248" i="6"/>
  <c r="I248" i="6"/>
  <c r="I105" i="6"/>
  <c r="K105" i="6"/>
  <c r="I426" i="6"/>
  <c r="K426" i="6"/>
  <c r="I218" i="6"/>
  <c r="K218" i="6"/>
  <c r="I73" i="6"/>
  <c r="K73" i="6"/>
  <c r="K384" i="6"/>
  <c r="I384" i="6"/>
  <c r="I121" i="6"/>
  <c r="K121" i="6"/>
  <c r="K391" i="6"/>
  <c r="I391" i="6"/>
  <c r="I311" i="6"/>
  <c r="K311" i="6"/>
  <c r="I28" i="6"/>
  <c r="K28" i="6"/>
  <c r="I212" i="6"/>
  <c r="K212" i="6"/>
  <c r="I300" i="6"/>
  <c r="K300" i="6"/>
  <c r="I380" i="6"/>
  <c r="K380" i="6"/>
  <c r="I460" i="6"/>
  <c r="K460" i="6"/>
  <c r="I29" i="6"/>
  <c r="K29" i="6"/>
  <c r="I205" i="6"/>
  <c r="K205" i="6"/>
  <c r="K465" i="6"/>
  <c r="I465" i="6"/>
  <c r="I263" i="6"/>
  <c r="K263" i="6"/>
  <c r="I44" i="6"/>
  <c r="K44" i="6"/>
  <c r="I256" i="6"/>
  <c r="K256" i="6"/>
  <c r="I126" i="6"/>
  <c r="K126" i="6"/>
  <c r="I441" i="6"/>
  <c r="K441" i="6"/>
  <c r="I255" i="6"/>
  <c r="K255" i="6"/>
  <c r="I69" i="6"/>
  <c r="K69" i="6"/>
  <c r="I131" i="6"/>
  <c r="K131" i="6"/>
  <c r="I243" i="6"/>
  <c r="K243" i="6"/>
  <c r="I309" i="6"/>
  <c r="K309" i="6"/>
  <c r="K84" i="6"/>
  <c r="I84" i="6"/>
  <c r="I393" i="6"/>
  <c r="K393" i="6"/>
  <c r="M51" i="3"/>
  <c r="K409" i="6"/>
  <c r="I409" i="6"/>
  <c r="K471" i="6"/>
  <c r="I471" i="6"/>
  <c r="K186" i="6"/>
  <c r="I186" i="6"/>
  <c r="I26" i="6"/>
  <c r="K26" i="6"/>
  <c r="I64" i="6"/>
  <c r="K64" i="6"/>
  <c r="K299" i="6"/>
  <c r="I299" i="6"/>
  <c r="I97" i="6"/>
  <c r="K97" i="6"/>
  <c r="I329" i="6"/>
  <c r="K329" i="6"/>
  <c r="I502" i="6"/>
  <c r="K502" i="6"/>
  <c r="I411" i="6"/>
  <c r="K411" i="6"/>
  <c r="L114" i="3"/>
  <c r="I166" i="6"/>
  <c r="K166" i="6"/>
  <c r="I363" i="6"/>
  <c r="K363" i="6"/>
  <c r="K82" i="15" l="1"/>
  <c r="K52" i="15"/>
  <c r="K61" i="15"/>
  <c r="K40" i="15"/>
  <c r="K78" i="15"/>
  <c r="N118" i="3"/>
  <c r="E11" i="1" s="1"/>
  <c r="K81" i="15"/>
  <c r="K108" i="15"/>
  <c r="K50" i="15"/>
  <c r="K32" i="15"/>
  <c r="K70" i="15"/>
  <c r="K105" i="15"/>
  <c r="K91" i="15"/>
  <c r="K36" i="15"/>
  <c r="K120" i="15"/>
  <c r="K62" i="15"/>
  <c r="K44" i="15"/>
  <c r="K67" i="15"/>
  <c r="K68" i="15"/>
  <c r="K25" i="15"/>
  <c r="K111" i="15"/>
  <c r="K46" i="15"/>
  <c r="K77" i="15"/>
  <c r="J125" i="15"/>
  <c r="K101" i="15"/>
  <c r="K35" i="15"/>
  <c r="K71" i="15"/>
  <c r="E7" i="1"/>
  <c r="I5" i="1" s="1"/>
  <c r="K109" i="15"/>
  <c r="K118" i="3"/>
  <c r="K49" i="15"/>
  <c r="L117" i="3"/>
  <c r="C6" i="1" s="1"/>
  <c r="K57" i="15"/>
  <c r="K73" i="15"/>
  <c r="K37" i="15"/>
  <c r="K80" i="15"/>
  <c r="K119" i="15"/>
  <c r="K39" i="15"/>
  <c r="K43" i="15"/>
  <c r="K53" i="15"/>
  <c r="K26" i="15"/>
  <c r="K72" i="15"/>
  <c r="K110" i="15"/>
  <c r="K88" i="15"/>
  <c r="K117" i="3"/>
  <c r="K83" i="15"/>
  <c r="K33" i="15"/>
  <c r="K100" i="15"/>
  <c r="K56" i="15"/>
  <c r="K102" i="15"/>
  <c r="K31" i="15"/>
  <c r="K42" i="15"/>
  <c r="K92" i="15"/>
  <c r="K75" i="15"/>
  <c r="K48" i="15"/>
  <c r="K69" i="15"/>
  <c r="C31" i="16"/>
  <c r="D31" i="16" s="1"/>
  <c r="E31" i="16" s="1"/>
  <c r="C47" i="16"/>
  <c r="D47" i="16" s="1"/>
  <c r="E47" i="16" s="1"/>
  <c r="C29" i="16"/>
  <c r="D29" i="16" s="1"/>
  <c r="E29" i="16" s="1"/>
  <c r="C42" i="16"/>
  <c r="D42" i="16" s="1"/>
  <c r="E42" i="16" s="1"/>
  <c r="C32" i="16"/>
  <c r="D32" i="16" s="1"/>
  <c r="E32" i="16" s="1"/>
  <c r="C43" i="16"/>
  <c r="D43" i="16" s="1"/>
  <c r="E43" i="16" s="1"/>
  <c r="N74" i="3"/>
  <c r="E10" i="1" s="1"/>
  <c r="E12" i="1" s="1"/>
  <c r="I8" i="1" s="1"/>
  <c r="K94" i="15"/>
  <c r="L73" i="3"/>
  <c r="C5" i="1" s="1"/>
  <c r="L74" i="3"/>
  <c r="C10" i="1" s="1"/>
  <c r="K34" i="15"/>
  <c r="C36" i="16" s="1"/>
  <c r="D36" i="16" s="1"/>
  <c r="E36" i="16" s="1"/>
  <c r="L118" i="3"/>
  <c r="C11" i="1" s="1"/>
  <c r="C7" i="6"/>
  <c r="K104" i="15"/>
  <c r="M73" i="3"/>
  <c r="D5" i="1" s="1"/>
  <c r="M74" i="3"/>
  <c r="D10" i="1" s="1"/>
  <c r="C5" i="6"/>
  <c r="K74" i="15"/>
  <c r="E51" i="16"/>
  <c r="J126" i="15"/>
  <c r="E52" i="16" s="1"/>
  <c r="M118" i="3"/>
  <c r="D11" i="1" s="1"/>
  <c r="M117" i="3"/>
  <c r="D6" i="1" s="1"/>
  <c r="G73" i="3"/>
  <c r="G74" i="3"/>
  <c r="G118" i="3"/>
  <c r="K114" i="15"/>
  <c r="G117" i="3"/>
  <c r="K59" i="15"/>
  <c r="D12" i="1" l="1"/>
  <c r="I7" i="1" s="1"/>
  <c r="D7" i="1"/>
  <c r="I4" i="1" s="1"/>
  <c r="C12" i="1"/>
  <c r="I6" i="1" s="1"/>
  <c r="C7" i="1"/>
  <c r="I3" i="1" s="1"/>
  <c r="C45" i="16"/>
  <c r="D45" i="16" s="1"/>
  <c r="E45" i="16" s="1"/>
  <c r="C34" i="16"/>
  <c r="D34" i="16" s="1"/>
  <c r="E34" i="16" s="1"/>
  <c r="C38" i="16"/>
  <c r="D38" i="16" s="1"/>
  <c r="E38" i="16" s="1"/>
  <c r="C30" i="16"/>
  <c r="D30" i="16" s="1"/>
  <c r="E30" i="16" s="1"/>
  <c r="C46" i="16"/>
  <c r="D46" i="16" s="1"/>
  <c r="E46" i="16" s="1"/>
  <c r="C28" i="16"/>
  <c r="D28" i="16" s="1"/>
  <c r="E28" i="16" s="1"/>
  <c r="C33" i="16"/>
  <c r="D33" i="16" s="1"/>
  <c r="E33" i="16" s="1"/>
  <c r="C39" i="16"/>
  <c r="D39" i="16" s="1"/>
  <c r="E39" i="16" s="1"/>
  <c r="I28" i="16"/>
  <c r="I29" i="16"/>
  <c r="C40" i="16"/>
  <c r="D40" i="16" s="1"/>
  <c r="E40" i="16" s="1"/>
  <c r="C41" i="16"/>
  <c r="D41" i="16" s="1"/>
  <c r="E41" i="16" s="1"/>
  <c r="C48" i="16"/>
  <c r="D48" i="16" s="1"/>
  <c r="E48" i="16" s="1"/>
  <c r="C49" i="16"/>
  <c r="D49" i="16" s="1"/>
  <c r="E49" i="16" s="1"/>
  <c r="C44" i="16"/>
  <c r="D44" i="16" s="1"/>
  <c r="E44" i="16" s="1"/>
  <c r="C9" i="6"/>
  <c r="C35" i="16"/>
  <c r="D35" i="16" s="1"/>
  <c r="E35" i="16" s="1"/>
  <c r="C37" i="16"/>
  <c r="D37" i="16" s="1"/>
  <c r="E37" i="16" s="1"/>
  <c r="E15" i="4" l="1"/>
  <c r="F15" i="4" s="1"/>
  <c r="E23" i="4"/>
  <c r="F23" i="4" s="1"/>
  <c r="E11" i="4"/>
  <c r="F11" i="4" s="1"/>
  <c r="E17" i="4"/>
  <c r="F17" i="4" s="1"/>
  <c r="E27" i="4"/>
  <c r="F27" i="4" s="1"/>
  <c r="E50" i="4"/>
  <c r="F50" i="4" s="1"/>
  <c r="E58" i="4"/>
  <c r="F58" i="4" s="1"/>
  <c r="E66" i="4"/>
  <c r="F66" i="4" s="1"/>
  <c r="E89" i="4"/>
  <c r="F89" i="4" s="1"/>
  <c r="E22" i="4"/>
  <c r="F22" i="4" s="1"/>
  <c r="E51" i="4"/>
  <c r="F51" i="4" s="1"/>
  <c r="E55" i="4"/>
  <c r="F55" i="4" s="1"/>
  <c r="E91" i="4"/>
  <c r="F91" i="4" s="1"/>
  <c r="E98" i="4"/>
  <c r="F98" i="4" s="1"/>
  <c r="E99" i="4"/>
  <c r="F99" i="4" s="1"/>
  <c r="E100" i="4"/>
  <c r="F100" i="4" s="1"/>
  <c r="E101" i="4"/>
  <c r="F101" i="4" s="1"/>
  <c r="E102" i="4"/>
  <c r="F102" i="4" s="1"/>
  <c r="E103" i="4"/>
  <c r="F103" i="4" s="1"/>
  <c r="E104" i="4"/>
  <c r="F104" i="4" s="1"/>
  <c r="E105" i="4"/>
  <c r="F105" i="4" s="1"/>
  <c r="E106" i="4"/>
  <c r="F106" i="4" s="1"/>
  <c r="E107" i="4"/>
  <c r="F107" i="4" s="1"/>
  <c r="E108" i="4"/>
  <c r="F108" i="4" s="1"/>
  <c r="E109" i="4"/>
  <c r="F109" i="4" s="1"/>
  <c r="E134" i="4"/>
  <c r="F134" i="4" s="1"/>
  <c r="E142" i="4"/>
  <c r="F142" i="4" s="1"/>
  <c r="E169" i="4"/>
  <c r="F169" i="4" s="1"/>
  <c r="E170" i="4"/>
  <c r="F170" i="4" s="1"/>
  <c r="E171" i="4"/>
  <c r="F171" i="4" s="1"/>
  <c r="E172" i="4"/>
  <c r="F172" i="4" s="1"/>
  <c r="E173" i="4"/>
  <c r="F173" i="4" s="1"/>
  <c r="E174" i="4"/>
  <c r="F174" i="4" s="1"/>
  <c r="E175" i="4"/>
  <c r="F175" i="4" s="1"/>
  <c r="E176" i="4"/>
  <c r="F176" i="4" s="1"/>
  <c r="E177" i="4"/>
  <c r="F177" i="4" s="1"/>
  <c r="E178" i="4"/>
  <c r="F178" i="4" s="1"/>
  <c r="E179" i="4"/>
  <c r="F179" i="4" s="1"/>
  <c r="E180" i="4"/>
  <c r="F180" i="4" s="1"/>
  <c r="E181" i="4"/>
  <c r="F181" i="4" s="1"/>
  <c r="E182" i="4"/>
  <c r="F182" i="4" s="1"/>
  <c r="E183" i="4"/>
  <c r="F183" i="4" s="1"/>
  <c r="E184" i="4"/>
  <c r="F184" i="4" s="1"/>
  <c r="E185" i="4"/>
  <c r="F185" i="4" s="1"/>
  <c r="E186" i="4"/>
  <c r="F186" i="4" s="1"/>
  <c r="E187" i="4"/>
  <c r="F187" i="4" s="1"/>
  <c r="E188" i="4"/>
  <c r="F188" i="4" s="1"/>
  <c r="E189" i="4"/>
  <c r="F189" i="4" s="1"/>
  <c r="E209" i="4"/>
  <c r="F209" i="4" s="1"/>
  <c r="E210" i="4"/>
  <c r="F210" i="4" s="1"/>
  <c r="E211" i="4"/>
  <c r="F211" i="4" s="1"/>
  <c r="E212" i="4"/>
  <c r="F212" i="4" s="1"/>
  <c r="E213" i="4"/>
  <c r="F213" i="4" s="1"/>
  <c r="E214" i="4"/>
  <c r="F214" i="4" s="1"/>
  <c r="E215" i="4"/>
  <c r="F215" i="4" s="1"/>
  <c r="E216" i="4"/>
  <c r="F216" i="4" s="1"/>
  <c r="E217" i="4"/>
  <c r="F217" i="4" s="1"/>
  <c r="E218" i="4"/>
  <c r="F218" i="4" s="1"/>
  <c r="E219" i="4"/>
  <c r="F219" i="4" s="1"/>
  <c r="E220" i="4"/>
  <c r="F220" i="4" s="1"/>
  <c r="E221" i="4"/>
  <c r="F221" i="4" s="1"/>
  <c r="E222" i="4"/>
  <c r="F222" i="4" s="1"/>
  <c r="E223" i="4"/>
  <c r="F223" i="4" s="1"/>
  <c r="E224" i="4"/>
  <c r="F224" i="4" s="1"/>
  <c r="E225" i="4"/>
  <c r="F225" i="4" s="1"/>
  <c r="E226" i="4"/>
  <c r="F226" i="4" s="1"/>
  <c r="E227" i="4"/>
  <c r="F227" i="4" s="1"/>
  <c r="E228" i="4"/>
  <c r="F228" i="4" s="1"/>
  <c r="E229" i="4"/>
  <c r="F229" i="4" s="1"/>
  <c r="E249" i="4"/>
  <c r="F249" i="4" s="1"/>
  <c r="E250" i="4"/>
  <c r="F250" i="4" s="1"/>
  <c r="E251" i="4"/>
  <c r="F251" i="4" s="1"/>
  <c r="E252" i="4"/>
  <c r="F252" i="4" s="1"/>
  <c r="E253" i="4"/>
  <c r="F253" i="4" s="1"/>
  <c r="E254" i="4"/>
  <c r="F254" i="4" s="1"/>
  <c r="E255" i="4"/>
  <c r="F255" i="4" s="1"/>
  <c r="E256" i="4"/>
  <c r="F256" i="4" s="1"/>
  <c r="E257" i="4"/>
  <c r="F257" i="4" s="1"/>
  <c r="E258" i="4"/>
  <c r="F258" i="4" s="1"/>
  <c r="E259" i="4"/>
  <c r="F259" i="4" s="1"/>
  <c r="E260" i="4"/>
  <c r="F260" i="4" s="1"/>
  <c r="E9" i="4"/>
  <c r="F9" i="4" s="1"/>
  <c r="E13" i="4"/>
  <c r="F13" i="4" s="1"/>
  <c r="E21" i="4"/>
  <c r="F21" i="4" s="1"/>
  <c r="E25" i="4"/>
  <c r="F25" i="4" s="1"/>
  <c r="E29" i="4"/>
  <c r="F29" i="4" s="1"/>
  <c r="E60" i="4"/>
  <c r="F60" i="4" s="1"/>
  <c r="E65" i="4"/>
  <c r="F65" i="4" s="1"/>
  <c r="E97" i="4"/>
  <c r="F97" i="4" s="1"/>
  <c r="E133" i="4"/>
  <c r="F133" i="4" s="1"/>
  <c r="E141" i="4"/>
  <c r="F141" i="4" s="1"/>
  <c r="E149" i="4"/>
  <c r="F149" i="4" s="1"/>
  <c r="E18" i="4"/>
  <c r="F18" i="4" s="1"/>
  <c r="E54" i="4"/>
  <c r="F54" i="4" s="1"/>
  <c r="E57" i="4"/>
  <c r="F57" i="4" s="1"/>
  <c r="E137" i="4"/>
  <c r="F137" i="4" s="1"/>
  <c r="E289" i="4"/>
  <c r="F289" i="4" s="1"/>
  <c r="E290" i="4"/>
  <c r="F290" i="4" s="1"/>
  <c r="E291" i="4"/>
  <c r="F291" i="4" s="1"/>
  <c r="E292" i="4"/>
  <c r="F292" i="4" s="1"/>
  <c r="E293" i="4"/>
  <c r="F293" i="4" s="1"/>
  <c r="E294" i="4"/>
  <c r="F294" i="4" s="1"/>
  <c r="E295" i="4"/>
  <c r="F295" i="4" s="1"/>
  <c r="E296" i="4"/>
  <c r="F296" i="4" s="1"/>
  <c r="E297" i="4"/>
  <c r="F297" i="4" s="1"/>
  <c r="E298" i="4"/>
  <c r="F298" i="4" s="1"/>
  <c r="E299" i="4"/>
  <c r="F299" i="4" s="1"/>
  <c r="E300" i="4"/>
  <c r="F300" i="4" s="1"/>
  <c r="E301" i="4"/>
  <c r="F301" i="4" s="1"/>
  <c r="E302" i="4"/>
  <c r="F302" i="4" s="1"/>
  <c r="E303" i="4"/>
  <c r="F303" i="4" s="1"/>
  <c r="E304" i="4"/>
  <c r="F304" i="4" s="1"/>
  <c r="E305" i="4"/>
  <c r="F305" i="4" s="1"/>
  <c r="E306" i="4"/>
  <c r="F306" i="4" s="1"/>
  <c r="E307" i="4"/>
  <c r="F307" i="4" s="1"/>
  <c r="E308" i="4"/>
  <c r="F308" i="4" s="1"/>
  <c r="E309" i="4"/>
  <c r="F309" i="4" s="1"/>
  <c r="E329" i="4"/>
  <c r="F329" i="4" s="1"/>
  <c r="E330" i="4"/>
  <c r="F330" i="4" s="1"/>
  <c r="E331" i="4"/>
  <c r="F331" i="4" s="1"/>
  <c r="E332" i="4"/>
  <c r="F332" i="4" s="1"/>
  <c r="E333" i="4"/>
  <c r="F333" i="4" s="1"/>
  <c r="E334" i="4"/>
  <c r="F334" i="4" s="1"/>
  <c r="E335" i="4"/>
  <c r="F335" i="4" s="1"/>
  <c r="E336" i="4"/>
  <c r="F336" i="4" s="1"/>
  <c r="E337" i="4"/>
  <c r="F337" i="4" s="1"/>
  <c r="E338" i="4"/>
  <c r="F338" i="4" s="1"/>
  <c r="E339" i="4"/>
  <c r="F339" i="4" s="1"/>
  <c r="E340" i="4"/>
  <c r="F340" i="4" s="1"/>
  <c r="E341" i="4"/>
  <c r="F341" i="4" s="1"/>
  <c r="E342" i="4"/>
  <c r="F342" i="4" s="1"/>
  <c r="E343" i="4"/>
  <c r="F343" i="4" s="1"/>
  <c r="E344" i="4"/>
  <c r="F344" i="4" s="1"/>
  <c r="E345" i="4"/>
  <c r="F345" i="4" s="1"/>
  <c r="E346" i="4"/>
  <c r="F346" i="4" s="1"/>
  <c r="E347" i="4"/>
  <c r="F347" i="4" s="1"/>
  <c r="E348" i="4"/>
  <c r="F348" i="4" s="1"/>
  <c r="E349" i="4"/>
  <c r="F349" i="4" s="1"/>
  <c r="E12" i="4"/>
  <c r="F12" i="4" s="1"/>
  <c r="E19" i="4"/>
  <c r="F19" i="4" s="1"/>
  <c r="E53" i="4"/>
  <c r="F53" i="4" s="1"/>
  <c r="E56" i="4"/>
  <c r="F56" i="4" s="1"/>
  <c r="E139" i="4"/>
  <c r="F139" i="4" s="1"/>
  <c r="E143" i="4"/>
  <c r="F143" i="4" s="1"/>
  <c r="E148" i="4"/>
  <c r="F148" i="4" s="1"/>
  <c r="E64" i="4"/>
  <c r="F64" i="4" s="1"/>
  <c r="E67" i="4"/>
  <c r="F67" i="4" s="1"/>
  <c r="E95" i="4"/>
  <c r="F95" i="4" s="1"/>
  <c r="E130" i="4"/>
  <c r="F130" i="4" s="1"/>
  <c r="E136" i="4"/>
  <c r="F136" i="4" s="1"/>
  <c r="E14" i="4"/>
  <c r="F14" i="4" s="1"/>
  <c r="E49" i="4"/>
  <c r="F49" i="4" s="1"/>
  <c r="E61" i="4"/>
  <c r="F61" i="4" s="1"/>
  <c r="E90" i="4"/>
  <c r="F90" i="4" s="1"/>
  <c r="E138" i="4"/>
  <c r="F138" i="4" s="1"/>
  <c r="E145" i="4"/>
  <c r="F145" i="4" s="1"/>
  <c r="E147" i="4"/>
  <c r="F147" i="4" s="1"/>
  <c r="E269" i="4"/>
  <c r="F269" i="4" s="1"/>
  <c r="E59" i="4"/>
  <c r="F59" i="4" s="1"/>
  <c r="E68" i="4"/>
  <c r="F68" i="4" s="1"/>
  <c r="E129" i="4"/>
  <c r="F129" i="4" s="1"/>
  <c r="E20" i="4"/>
  <c r="F20" i="4" s="1"/>
  <c r="E63" i="4"/>
  <c r="F63" i="4" s="1"/>
  <c r="E146" i="4"/>
  <c r="F146" i="4" s="1"/>
  <c r="E262" i="4"/>
  <c r="F262" i="4" s="1"/>
  <c r="E28" i="4"/>
  <c r="F28" i="4" s="1"/>
  <c r="E92" i="4"/>
  <c r="F92" i="4" s="1"/>
  <c r="E96" i="4"/>
  <c r="F96" i="4" s="1"/>
  <c r="E132" i="4"/>
  <c r="F132" i="4" s="1"/>
  <c r="E140" i="4"/>
  <c r="F140" i="4" s="1"/>
  <c r="E261" i="4"/>
  <c r="F261" i="4" s="1"/>
  <c r="E267" i="4"/>
  <c r="F267" i="4" s="1"/>
  <c r="E24" i="4"/>
  <c r="F24" i="4" s="1"/>
  <c r="E26" i="4"/>
  <c r="F26" i="4" s="1"/>
  <c r="E52" i="4"/>
  <c r="F52" i="4" s="1"/>
  <c r="E10" i="4"/>
  <c r="F10" i="4" s="1"/>
  <c r="E263" i="4"/>
  <c r="F263" i="4" s="1"/>
  <c r="E16" i="4"/>
  <c r="F16" i="4" s="1"/>
  <c r="E62" i="4"/>
  <c r="F62" i="4" s="1"/>
  <c r="E135" i="4"/>
  <c r="F135" i="4" s="1"/>
  <c r="E69" i="4"/>
  <c r="F69" i="4" s="1"/>
  <c r="E268" i="4"/>
  <c r="F268" i="4" s="1"/>
  <c r="E93" i="4"/>
  <c r="F93" i="4" s="1"/>
  <c r="E131" i="4"/>
  <c r="F131" i="4" s="1"/>
  <c r="E144" i="4"/>
  <c r="F144" i="4" s="1"/>
  <c r="E265" i="4"/>
  <c r="F265" i="4" s="1"/>
  <c r="E94" i="4"/>
  <c r="F94" i="4" s="1"/>
  <c r="E264" i="4"/>
  <c r="F264" i="4" s="1"/>
  <c r="E266" i="4"/>
  <c r="F266" i="4" s="1"/>
  <c r="G68" i="4" l="1"/>
  <c r="H68" i="4"/>
  <c r="G296" i="4"/>
  <c r="H296" i="4"/>
  <c r="H251" i="4"/>
  <c r="G251" i="4"/>
  <c r="G224" i="4"/>
  <c r="H224" i="4"/>
  <c r="G66" i="4"/>
  <c r="H66" i="4"/>
  <c r="H93" i="4"/>
  <c r="G93" i="4"/>
  <c r="G52" i="4"/>
  <c r="H52" i="4"/>
  <c r="H92" i="4"/>
  <c r="G92" i="4"/>
  <c r="G59" i="4"/>
  <c r="H59" i="4"/>
  <c r="H14" i="4"/>
  <c r="G14" i="4"/>
  <c r="G139" i="4"/>
  <c r="H139" i="4"/>
  <c r="G346" i="4"/>
  <c r="H346" i="4"/>
  <c r="G338" i="4"/>
  <c r="H338" i="4"/>
  <c r="G330" i="4"/>
  <c r="H330" i="4"/>
  <c r="G303" i="4"/>
  <c r="H303" i="4"/>
  <c r="H295" i="4"/>
  <c r="G295" i="4"/>
  <c r="G57" i="4"/>
  <c r="H57" i="4"/>
  <c r="G60" i="4"/>
  <c r="H60" i="4"/>
  <c r="G258" i="4"/>
  <c r="H258" i="4"/>
  <c r="H250" i="4"/>
  <c r="G250" i="4"/>
  <c r="G223" i="4"/>
  <c r="H223" i="4"/>
  <c r="G215" i="4"/>
  <c r="H215" i="4"/>
  <c r="H188" i="4"/>
  <c r="G188" i="4"/>
  <c r="H180" i="4"/>
  <c r="G180" i="4"/>
  <c r="G172" i="4"/>
  <c r="H172" i="4"/>
  <c r="G107" i="4"/>
  <c r="H107" i="4"/>
  <c r="G99" i="4"/>
  <c r="H99" i="4"/>
  <c r="G58" i="4"/>
  <c r="H58" i="4"/>
  <c r="G143" i="4"/>
  <c r="H143" i="4"/>
  <c r="H137" i="4"/>
  <c r="G137" i="4"/>
  <c r="G108" i="4"/>
  <c r="H108" i="4"/>
  <c r="G268" i="4"/>
  <c r="H268" i="4"/>
  <c r="H28" i="4"/>
  <c r="G28" i="4"/>
  <c r="G269" i="4"/>
  <c r="H269" i="4"/>
  <c r="G136" i="4"/>
  <c r="H136" i="4"/>
  <c r="G56" i="4"/>
  <c r="H56" i="4"/>
  <c r="H345" i="4"/>
  <c r="G345" i="4"/>
  <c r="G337" i="4"/>
  <c r="H337" i="4"/>
  <c r="G329" i="4"/>
  <c r="H329" i="4"/>
  <c r="G302" i="4"/>
  <c r="H302" i="4"/>
  <c r="H294" i="4"/>
  <c r="G294" i="4"/>
  <c r="G54" i="4"/>
  <c r="H54" i="4"/>
  <c r="G29" i="4"/>
  <c r="H29" i="4"/>
  <c r="H257" i="4"/>
  <c r="G257" i="4"/>
  <c r="H249" i="4"/>
  <c r="G249" i="4"/>
  <c r="H222" i="4"/>
  <c r="G222" i="4"/>
  <c r="H214" i="4"/>
  <c r="G214" i="4"/>
  <c r="H187" i="4"/>
  <c r="G187" i="4"/>
  <c r="H179" i="4"/>
  <c r="G179" i="4"/>
  <c r="H171" i="4"/>
  <c r="G171" i="4"/>
  <c r="H106" i="4"/>
  <c r="G106" i="4"/>
  <c r="H98" i="4"/>
  <c r="G98" i="4"/>
  <c r="G50" i="4"/>
  <c r="H50" i="4"/>
  <c r="G131" i="4"/>
  <c r="H131" i="4"/>
  <c r="G347" i="4"/>
  <c r="H347" i="4"/>
  <c r="H100" i="4"/>
  <c r="G100" i="4"/>
  <c r="G266" i="4"/>
  <c r="H266" i="4"/>
  <c r="H24" i="4"/>
  <c r="G24" i="4"/>
  <c r="H262" i="4"/>
  <c r="G262" i="4"/>
  <c r="G147" i="4"/>
  <c r="H147" i="4"/>
  <c r="G130" i="4"/>
  <c r="H130" i="4"/>
  <c r="G53" i="4"/>
  <c r="H53" i="4"/>
  <c r="G344" i="4"/>
  <c r="H344" i="4"/>
  <c r="G336" i="4"/>
  <c r="H336" i="4"/>
  <c r="G309" i="4"/>
  <c r="H309" i="4"/>
  <c r="G301" i="4"/>
  <c r="H301" i="4"/>
  <c r="G293" i="4"/>
  <c r="H293" i="4"/>
  <c r="H18" i="4"/>
  <c r="G18" i="4"/>
  <c r="G25" i="4"/>
  <c r="H25" i="4"/>
  <c r="H256" i="4"/>
  <c r="G256" i="4"/>
  <c r="H229" i="4"/>
  <c r="G229" i="4"/>
  <c r="H221" i="4"/>
  <c r="G221" i="4"/>
  <c r="G213" i="4"/>
  <c r="H213" i="4"/>
  <c r="G186" i="4"/>
  <c r="H186" i="4"/>
  <c r="G178" i="4"/>
  <c r="H178" i="4"/>
  <c r="H170" i="4"/>
  <c r="G170" i="4"/>
  <c r="G105" i="4"/>
  <c r="H105" i="4"/>
  <c r="G91" i="4"/>
  <c r="H91" i="4"/>
  <c r="G27" i="4"/>
  <c r="H27" i="4"/>
  <c r="H10" i="4"/>
  <c r="G10" i="4"/>
  <c r="G339" i="4"/>
  <c r="H339" i="4"/>
  <c r="G259" i="4"/>
  <c r="H259" i="4"/>
  <c r="G181" i="4"/>
  <c r="H181" i="4"/>
  <c r="H26" i="4"/>
  <c r="G26" i="4"/>
  <c r="G69" i="4"/>
  <c r="H69" i="4"/>
  <c r="H264" i="4"/>
  <c r="G264" i="4"/>
  <c r="G135" i="4"/>
  <c r="H135" i="4"/>
  <c r="G267" i="4"/>
  <c r="H267" i="4"/>
  <c r="G146" i="4"/>
  <c r="H146" i="4"/>
  <c r="H145" i="4"/>
  <c r="G145" i="4"/>
  <c r="H95" i="4"/>
  <c r="G95" i="4"/>
  <c r="H19" i="4"/>
  <c r="G19" i="4"/>
  <c r="G343" i="4"/>
  <c r="H343" i="4"/>
  <c r="H335" i="4"/>
  <c r="G335" i="4"/>
  <c r="G308" i="4"/>
  <c r="H308" i="4"/>
  <c r="H300" i="4"/>
  <c r="G300" i="4"/>
  <c r="G292" i="4"/>
  <c r="H292" i="4"/>
  <c r="H149" i="4"/>
  <c r="G149" i="4"/>
  <c r="H21" i="4"/>
  <c r="G21" i="4"/>
  <c r="G255" i="4"/>
  <c r="H255" i="4"/>
  <c r="G228" i="4"/>
  <c r="H228" i="4"/>
  <c r="G220" i="4"/>
  <c r="H220" i="4"/>
  <c r="H212" i="4"/>
  <c r="G212" i="4"/>
  <c r="G185" i="4"/>
  <c r="H185" i="4"/>
  <c r="G177" i="4"/>
  <c r="H177" i="4"/>
  <c r="G169" i="4"/>
  <c r="H169" i="4"/>
  <c r="G104" i="4"/>
  <c r="H104" i="4"/>
  <c r="G55" i="4"/>
  <c r="H55" i="4"/>
  <c r="G17" i="4"/>
  <c r="H17" i="4"/>
  <c r="G331" i="4"/>
  <c r="H331" i="4"/>
  <c r="H216" i="4"/>
  <c r="G216" i="4"/>
  <c r="G62" i="4"/>
  <c r="H62" i="4"/>
  <c r="H261" i="4"/>
  <c r="G261" i="4"/>
  <c r="G63" i="4"/>
  <c r="H63" i="4"/>
  <c r="H138" i="4"/>
  <c r="G138" i="4"/>
  <c r="G67" i="4"/>
  <c r="H67" i="4"/>
  <c r="G12" i="4"/>
  <c r="H12" i="4"/>
  <c r="H342" i="4"/>
  <c r="G342" i="4"/>
  <c r="H334" i="4"/>
  <c r="G334" i="4"/>
  <c r="H307" i="4"/>
  <c r="G307" i="4"/>
  <c r="H299" i="4"/>
  <c r="G299" i="4"/>
  <c r="H291" i="4"/>
  <c r="G291" i="4"/>
  <c r="H141" i="4"/>
  <c r="G141" i="4"/>
  <c r="G13" i="4"/>
  <c r="H13" i="4"/>
  <c r="H254" i="4"/>
  <c r="G254" i="4"/>
  <c r="G227" i="4"/>
  <c r="H227" i="4"/>
  <c r="G219" i="4"/>
  <c r="H219" i="4"/>
  <c r="G211" i="4"/>
  <c r="H211" i="4"/>
  <c r="G184" i="4"/>
  <c r="H184" i="4"/>
  <c r="G176" i="4"/>
  <c r="H176" i="4"/>
  <c r="G142" i="4"/>
  <c r="H142" i="4"/>
  <c r="H103" i="4"/>
  <c r="G103" i="4"/>
  <c r="G51" i="4"/>
  <c r="H51" i="4"/>
  <c r="G11" i="4"/>
  <c r="H11" i="4"/>
  <c r="G49" i="4"/>
  <c r="H49" i="4"/>
  <c r="G65" i="4"/>
  <c r="H65" i="4"/>
  <c r="G173" i="4"/>
  <c r="H173" i="4"/>
  <c r="H265" i="4"/>
  <c r="G265" i="4"/>
  <c r="H16" i="4"/>
  <c r="G16" i="4"/>
  <c r="G140" i="4"/>
  <c r="H140" i="4"/>
  <c r="G20" i="4"/>
  <c r="H20" i="4"/>
  <c r="G90" i="4"/>
  <c r="H90" i="4"/>
  <c r="G64" i="4"/>
  <c r="H64" i="4"/>
  <c r="G349" i="4"/>
  <c r="H349" i="4"/>
  <c r="G341" i="4"/>
  <c r="H341" i="4"/>
  <c r="G333" i="4"/>
  <c r="H333" i="4"/>
  <c r="G306" i="4"/>
  <c r="H306" i="4"/>
  <c r="G298" i="4"/>
  <c r="H298" i="4"/>
  <c r="G290" i="4"/>
  <c r="H290" i="4"/>
  <c r="G133" i="4"/>
  <c r="H133" i="4"/>
  <c r="G9" i="4"/>
  <c r="H9" i="4"/>
  <c r="H253" i="4"/>
  <c r="G253" i="4"/>
  <c r="H226" i="4"/>
  <c r="G226" i="4"/>
  <c r="H218" i="4"/>
  <c r="G218" i="4"/>
  <c r="H210" i="4"/>
  <c r="G210" i="4"/>
  <c r="H183" i="4"/>
  <c r="G183" i="4"/>
  <c r="H175" i="4"/>
  <c r="G175" i="4"/>
  <c r="H134" i="4"/>
  <c r="G134" i="4"/>
  <c r="H102" i="4"/>
  <c r="G102" i="4"/>
  <c r="G22" i="4"/>
  <c r="H22" i="4"/>
  <c r="H23" i="4"/>
  <c r="G23" i="4"/>
  <c r="H96" i="4"/>
  <c r="G96" i="4"/>
  <c r="G304" i="4"/>
  <c r="H304" i="4"/>
  <c r="G189" i="4"/>
  <c r="H189" i="4"/>
  <c r="H94" i="4"/>
  <c r="G94" i="4"/>
  <c r="G144" i="4"/>
  <c r="H144" i="4"/>
  <c r="H263" i="4"/>
  <c r="G263" i="4"/>
  <c r="H132" i="4"/>
  <c r="G132" i="4"/>
  <c r="H129" i="4"/>
  <c r="G129" i="4"/>
  <c r="G61" i="4"/>
  <c r="H61" i="4"/>
  <c r="G148" i="4"/>
  <c r="H148" i="4"/>
  <c r="G348" i="4"/>
  <c r="H348" i="4"/>
  <c r="G340" i="4"/>
  <c r="H340" i="4"/>
  <c r="G332" i="4"/>
  <c r="H332" i="4"/>
  <c r="G305" i="4"/>
  <c r="H305" i="4"/>
  <c r="G297" i="4"/>
  <c r="H297" i="4"/>
  <c r="G289" i="4"/>
  <c r="H289" i="4"/>
  <c r="H97" i="4"/>
  <c r="G97" i="4"/>
  <c r="G260" i="4"/>
  <c r="H260" i="4"/>
  <c r="G252" i="4"/>
  <c r="H252" i="4"/>
  <c r="G225" i="4"/>
  <c r="H225" i="4"/>
  <c r="G217" i="4"/>
  <c r="H217" i="4"/>
  <c r="G209" i="4"/>
  <c r="H209" i="4"/>
  <c r="G182" i="4"/>
  <c r="H182" i="4"/>
  <c r="G174" i="4"/>
  <c r="H174" i="4"/>
  <c r="G109" i="4"/>
  <c r="H109" i="4"/>
  <c r="G101" i="4"/>
  <c r="H101" i="4"/>
  <c r="H89" i="4"/>
  <c r="G89" i="4"/>
  <c r="G15" i="4"/>
  <c r="H15" i="4"/>
  <c r="H110" i="4" l="1"/>
  <c r="E21" i="1" s="1"/>
  <c r="H111" i="4"/>
  <c r="H231" i="4"/>
  <c r="H230" i="4"/>
  <c r="E22" i="1" s="1"/>
  <c r="H31" i="4"/>
  <c r="H30" i="4"/>
  <c r="C21" i="1" s="1"/>
  <c r="H71" i="4"/>
  <c r="H70" i="4"/>
  <c r="D21" i="1" s="1"/>
  <c r="H350" i="4"/>
  <c r="E23" i="1" s="1"/>
  <c r="H351" i="4"/>
  <c r="G110" i="4"/>
  <c r="E17" i="1" s="1"/>
  <c r="G111" i="4"/>
  <c r="G230" i="4"/>
  <c r="E18" i="1" s="1"/>
  <c r="G231" i="4"/>
  <c r="G31" i="4"/>
  <c r="G30" i="4"/>
  <c r="C17" i="1" s="1"/>
  <c r="G70" i="4"/>
  <c r="D17" i="1" s="1"/>
  <c r="G71" i="4"/>
  <c r="G350" i="4"/>
  <c r="E19" i="1" s="1"/>
  <c r="G351" i="4"/>
  <c r="H191" i="4"/>
  <c r="H190" i="4"/>
  <c r="D22" i="1" s="1"/>
  <c r="G190" i="4"/>
  <c r="D18" i="1" s="1"/>
  <c r="G191" i="4"/>
  <c r="H310" i="4"/>
  <c r="D23" i="1" s="1"/>
  <c r="H311" i="4"/>
  <c r="G150" i="4"/>
  <c r="C18" i="1" s="1"/>
  <c r="G151" i="4"/>
  <c r="G271" i="4"/>
  <c r="G270" i="4"/>
  <c r="C19" i="1" s="1"/>
  <c r="G311" i="4"/>
  <c r="G310" i="4"/>
  <c r="D19" i="1" s="1"/>
  <c r="H151" i="4"/>
  <c r="H150" i="4"/>
  <c r="C22" i="1" s="1"/>
  <c r="H271" i="4"/>
  <c r="H270" i="4"/>
  <c r="C23" i="1" s="1"/>
  <c r="I11" i="1" l="1"/>
  <c r="I12" i="1"/>
  <c r="I9" i="1"/>
  <c r="I10" i="1"/>
</calcChain>
</file>

<file path=xl/sharedStrings.xml><?xml version="1.0" encoding="utf-8"?>
<sst xmlns="http://schemas.openxmlformats.org/spreadsheetml/2006/main" count="4412" uniqueCount="1633">
  <si>
    <t>SUMMARY OF COE ANALYSES RESULTS</t>
  </si>
  <si>
    <t>Constant Growth DCF</t>
  </si>
  <si>
    <t>X</t>
  </si>
  <si>
    <t>Y</t>
  </si>
  <si>
    <t>Mean Low</t>
  </si>
  <si>
    <t>Mean</t>
  </si>
  <si>
    <t>Mean High</t>
  </si>
  <si>
    <t xml:space="preserve">Constant Growth Mean DCF </t>
  </si>
  <si>
    <t>30-Day Average</t>
  </si>
  <si>
    <t>90-Day Average</t>
  </si>
  <si>
    <t>180-Day Average</t>
  </si>
  <si>
    <t>Constant Growth Median DCF</t>
  </si>
  <si>
    <t>Constant Growth Average</t>
  </si>
  <si>
    <t>Median Low</t>
  </si>
  <si>
    <t>Median</t>
  </si>
  <si>
    <t>Median High</t>
  </si>
  <si>
    <t xml:space="preserve">CAPM </t>
  </si>
  <si>
    <t xml:space="preserve">ECAPM </t>
  </si>
  <si>
    <t>CAPM</t>
  </si>
  <si>
    <t>Risk Premium (electric)</t>
  </si>
  <si>
    <t>Current 30-day Average Treasury Bond Yield</t>
  </si>
  <si>
    <t>Near-Term Blue Chip Forecast Yield</t>
  </si>
  <si>
    <t>Long-Term Blue Chip Forecast Yield</t>
  </si>
  <si>
    <t>Risk Premium (natural gas)</t>
  </si>
  <si>
    <t>Value Line Beta</t>
  </si>
  <si>
    <t>Expected Earnings</t>
  </si>
  <si>
    <t>Bloomberg Beta</t>
  </si>
  <si>
    <t>Long-term Avg. Beta</t>
  </si>
  <si>
    <t>Low End ROE Recommendation</t>
  </si>
  <si>
    <t>ECAPM</t>
  </si>
  <si>
    <t>High End ROE Recommendation</t>
  </si>
  <si>
    <t xml:space="preserve">Risk Premium </t>
  </si>
  <si>
    <t>Proposed ROE (2025)</t>
  </si>
  <si>
    <t>Risk Premium Results - electric</t>
  </si>
  <si>
    <t>Proposed ROE (2026)</t>
  </si>
  <si>
    <t>Risk Premium Results - natural gas</t>
  </si>
  <si>
    <t>Expected Earnings Results</t>
  </si>
  <si>
    <t>PROXY GROUP SCREENING DATA AND RESULTS</t>
  </si>
  <si>
    <t>[1]</t>
  </si>
  <si>
    <t>[2]</t>
  </si>
  <si>
    <t>[3]</t>
  </si>
  <si>
    <t>[4]</t>
  </si>
  <si>
    <t>[5]</t>
  </si>
  <si>
    <t>[6]</t>
  </si>
  <si>
    <t>[7]</t>
  </si>
  <si>
    <t>[8]</t>
  </si>
  <si>
    <t>Company</t>
  </si>
  <si>
    <t>Ticker</t>
  </si>
  <si>
    <t>Dividends</t>
  </si>
  <si>
    <t>S&amp;P Credit Rating Between BBB- and AAA</t>
  </si>
  <si>
    <t>Covered by More Than 1 Analyst</t>
  </si>
  <si>
    <t>Positive Growth Rates from at least two sources (Value Line, Yahoo! First Call, and Zacks)</t>
  </si>
  <si>
    <t>Generation Assets Included in Rate Base</t>
  </si>
  <si>
    <t>% Company-Owned Generation &gt; 30%</t>
  </si>
  <si>
    <t>% Regulated Operating Income &gt; 60%</t>
  </si>
  <si>
    <t>Announced Merger</t>
  </si>
  <si>
    <t>NiSource Inc.</t>
  </si>
  <si>
    <t>NI</t>
  </si>
  <si>
    <t>Yes</t>
  </si>
  <si>
    <t>BBB+</t>
  </si>
  <si>
    <t>No</t>
  </si>
  <si>
    <t>ALLETE, Inc.</t>
  </si>
  <si>
    <t>ALE</t>
  </si>
  <si>
    <t>BBB</t>
  </si>
  <si>
    <t>Alliant Energy Corporation</t>
  </si>
  <si>
    <t>LNT</t>
  </si>
  <si>
    <t>A-</t>
  </si>
  <si>
    <t>Ameren Corporation</t>
  </si>
  <si>
    <t>AEE</t>
  </si>
  <si>
    <t>American Electric Power Company, Inc.</t>
  </si>
  <si>
    <t>AEP</t>
  </si>
  <si>
    <t>Avista Corporation</t>
  </si>
  <si>
    <t>AVA</t>
  </si>
  <si>
    <t>Black Hills Corporation</t>
  </si>
  <si>
    <t>BKH</t>
  </si>
  <si>
    <t>CMS Energy Corporation</t>
  </si>
  <si>
    <t>CMS</t>
  </si>
  <si>
    <t>Duke Energy Corporation</t>
  </si>
  <si>
    <t>DUK</t>
  </si>
  <si>
    <t>Entergy Corporation</t>
  </si>
  <si>
    <t>ETR</t>
  </si>
  <si>
    <t>Evergy, Inc.</t>
  </si>
  <si>
    <t>EVRG</t>
  </si>
  <si>
    <t>IDACORP, Inc.</t>
  </si>
  <si>
    <t>IDA</t>
  </si>
  <si>
    <t>MGE Energy, Inc.</t>
  </si>
  <si>
    <t>MGEE</t>
  </si>
  <si>
    <t>AA-</t>
  </si>
  <si>
    <t>NextEra Energy, Inc.</t>
  </si>
  <si>
    <t>NEE</t>
  </si>
  <si>
    <t>NorthWestern Corporation</t>
  </si>
  <si>
    <t>NWE</t>
  </si>
  <si>
    <t>OGE Energy Corporation</t>
  </si>
  <si>
    <t>OGE</t>
  </si>
  <si>
    <t>Pinnacle West Capital Corporation</t>
  </si>
  <si>
    <t>PNW</t>
  </si>
  <si>
    <t>Portland General Electric Company</t>
  </si>
  <si>
    <t>POR</t>
  </si>
  <si>
    <t>Southern Company</t>
  </si>
  <si>
    <t>SO</t>
  </si>
  <si>
    <t>Wisconsin Energy Corporation</t>
  </si>
  <si>
    <t>WEC</t>
  </si>
  <si>
    <t>Xcel Energy Inc.</t>
  </si>
  <si>
    <t>XEL</t>
  </si>
  <si>
    <t>Notes:</t>
  </si>
  <si>
    <t>[1] Source: Bloomberg Professional</t>
  </si>
  <si>
    <t>[2] Source: Bloomberg Professional</t>
  </si>
  <si>
    <t>[3] Source: Yahoo! Finance and Zacks</t>
  </si>
  <si>
    <t>[4] Source: Yahoo! Finance, Value Line Investment Survey, and Zacks</t>
  </si>
  <si>
    <t>[5] - [6] S&amp;P Capital IQ Pro</t>
  </si>
  <si>
    <t>[7] Source: Form 10-Ks for 2022, 2021, and 2020</t>
  </si>
  <si>
    <t>[8] Source: S&amp;P Capital IQ Pro Financial News Releases</t>
  </si>
  <si>
    <t>30-DAY CONSTANT GROWTH DCF -- PSE PROXY GROUP</t>
  </si>
  <si>
    <t>[9]</t>
  </si>
  <si>
    <t>[10]</t>
  </si>
  <si>
    <t>[11]</t>
  </si>
  <si>
    <t>Annualized Dividend</t>
  </si>
  <si>
    <t>Stock
Price</t>
  </si>
  <si>
    <t>Dividend Yield</t>
  </si>
  <si>
    <t>Expected Dividend Yield</t>
  </si>
  <si>
    <t xml:space="preserve">Value Line EPS Growth </t>
  </si>
  <si>
    <t>Yahoo! Finance EPS Growth</t>
  </si>
  <si>
    <t>Zacks EPS Growth</t>
  </si>
  <si>
    <t>Average Growth Rate</t>
  </si>
  <si>
    <t>Low ROE</t>
  </si>
  <si>
    <t>Mean ROE</t>
  </si>
  <si>
    <t>High ROE</t>
  </si>
  <si>
    <t>negative</t>
  </si>
  <si>
    <t>[2] Source: Bloomberg Professional, equals 30-day average as of November 30, 2023</t>
  </si>
  <si>
    <t>[3] Equals [1] / [2]</t>
  </si>
  <si>
    <t>[4] Equals [3] x (1 + 0.50 x [8])</t>
  </si>
  <si>
    <t>[5] Source: Value Line</t>
  </si>
  <si>
    <t>[6] Source: Yahoo! Finance</t>
  </si>
  <si>
    <t>[7] Source: Zacks</t>
  </si>
  <si>
    <t>[8] Equals Average ([5], [6], [7])</t>
  </si>
  <si>
    <t>[9] Equals [3] x (1 + 0.50 x Minimum ([5], [6], [7]) + Minimum ([5], [6], [7])</t>
  </si>
  <si>
    <t>[10] Equals [4] + [8]</t>
  </si>
  <si>
    <t>[11] Equals [3] x (1 + 0.50 x Maximum ([5], [6], [7]) + Maximum ([5], [6], [7])</t>
  </si>
  <si>
    <t>90-DAY CONSTANT GROWTH DCF -- PSE PROXY GROUP</t>
  </si>
  <si>
    <t>[2] Source: Bloomberg Professional, equals 90-day average as of November 30, 2023</t>
  </si>
  <si>
    <t>180-DAY CONSTANT GROWTH DCF -- PSE PROXY GROUP</t>
  </si>
  <si>
    <t>[2] Source: Bloomberg Professional, equals 180-day average as of November 30, 2023</t>
  </si>
  <si>
    <t>CAPITAL ASSET PRICING MODEL -- CURRENT RISK-FREE RATE &amp; VL BETA</t>
  </si>
  <si>
    <t>K = Rf + β (Rm − Rf)</t>
  </si>
  <si>
    <t>K = Rf + 0.25 x (Rm - Rf) + 0.75 x β x (Rm − Rf)</t>
  </si>
  <si>
    <t>Current 30-day average of 30-year U.S. Treasury bond yield</t>
  </si>
  <si>
    <t>Beta (β)</t>
  </si>
  <si>
    <t>Market Return (Rm)</t>
  </si>
  <si>
    <t>Market Risk Premium (Rm − Rf)</t>
  </si>
  <si>
    <t>ROE (K)</t>
  </si>
  <si>
    <t>ECAPM ROE (K)</t>
  </si>
  <si>
    <t>[1] Source: Bloomberg Professional, as of November 30, 2023</t>
  </si>
  <si>
    <t>[2] Source: Value Line</t>
  </si>
  <si>
    <t>[3] Source: Market Return</t>
  </si>
  <si>
    <t>[4] Equals [3] - [1]</t>
  </si>
  <si>
    <t>[5] Equals [1] + [2] x [4]</t>
  </si>
  <si>
    <t>[6] Equals [1] + 0.25 x ([4]) + 0.75 x ([2] x [4])</t>
  </si>
  <si>
    <t>CAPITAL ASSET PRICING MODEL -- NEAR-TERM PROJECTED RISK-FREE RATE &amp; VL BETA</t>
  </si>
  <si>
    <t>Near-term projected 30-year U.S. Treasury bond yield 
(Q1 2024 - Q1 2025)</t>
  </si>
  <si>
    <t>[1] Source: Blue Chip Financial Forecasts, Vol. 42, No. 12, December 1, 2023, at 2</t>
  </si>
  <si>
    <t>CAPITAL ASSET PRICING MODEL -- LONG-TERM PROJECTED RISK-FREE RATE &amp; VL BETA</t>
  </si>
  <si>
    <t>Projected 30-year U.S. Treasury bond yield 
(2025 - 2029)</t>
  </si>
  <si>
    <t>[1] Source: Blue Chip Financial Forecasts, Vol. 42, No. 12, December 1, 2023, at 14</t>
  </si>
  <si>
    <t>CAPITAL ASSET PRICING MODEL -- CURRENT RISK-FREE RATE &amp; BLOOMBERG BETA</t>
  </si>
  <si>
    <t>[2] Source: Bloomberg Professional, based on 10-year weekly returns</t>
  </si>
  <si>
    <t>CAPITAL ASSET PRICING MODEL -- NEAR-TERM PROJECTED RISK-FREE RATE &amp; BLOOMBERG BETA</t>
  </si>
  <si>
    <t>CAPITAL ASSET PRICING MODEL -- LONG-TERM PROJECTED RISK-FREE RATE &amp; BLOOMBERG BETA</t>
  </si>
  <si>
    <t>CAPITAL ASSET PRICING MODEL -- CURRENT RISK-FREE RATE &amp; VALUE LINE LT AVERAGE BETA</t>
  </si>
  <si>
    <t>[2] Source: LT Beta</t>
  </si>
  <si>
    <t>CAPITAL ASSET PRICING MODEL -- NEAR-TERM PROJECTED RISK-FREE RATE &amp; VALUE LINE LT AVERAGE BETA</t>
  </si>
  <si>
    <t>CAPITAL ASSET PRICING MODEL -- LONG-TERM PROJECTED RISK-FREE RATE &amp; VALUE LINE LT BETA</t>
  </si>
  <si>
    <t>HISTORICAL BETA - 2013 - 2022</t>
  </si>
  <si>
    <t>Average</t>
  </si>
  <si>
    <t>NMF</t>
  </si>
  <si>
    <t>[1] Value Line, dated December 26, 2013.</t>
  </si>
  <si>
    <t>[2] Value Line, dated December 31, 2014.</t>
  </si>
  <si>
    <t>[3] Value Line, dated December 30, 2015.</t>
  </si>
  <si>
    <t>[4] Value Line, dated December 29, 2016.</t>
  </si>
  <si>
    <t>[5] Value Line, dated December 28, 2017.</t>
  </si>
  <si>
    <t>[6] Value Line, dated December 27, 2018.</t>
  </si>
  <si>
    <t>[7] Value Line, dated December 26, 2019.</t>
  </si>
  <si>
    <t>[8] Value Line, dated December 30, 2020.</t>
  </si>
  <si>
    <t>[9] Value Line, dated December 29, 2021.</t>
  </si>
  <si>
    <t>[10] Value Line, dated December 30, 2022.</t>
  </si>
  <si>
    <t>[11] Average ([1] - [10])</t>
  </si>
  <si>
    <t>MARKET RISK PREMIUM DERIVED FROM ANALYSTS' LONG-TERM GROWTH ESTIMATES</t>
  </si>
  <si>
    <t>[1] Estimated Weighted Average Dividend Yield</t>
  </si>
  <si>
    <t>[2] Estimated Weighted Average Long-Term Growth Rate</t>
  </si>
  <si>
    <t>[3] S&amp;P 500 Estimated Required Market Return</t>
  </si>
  <si>
    <t>STANDARD AND POOR'S 500 INDEX</t>
  </si>
  <si>
    <t>Bloomberg</t>
  </si>
  <si>
    <t xml:space="preserve">Cap-Weighted </t>
  </si>
  <si>
    <t>Shares</t>
  </si>
  <si>
    <t>Market</t>
  </si>
  <si>
    <t>Weight in</t>
  </si>
  <si>
    <t>Estimated</t>
  </si>
  <si>
    <t>Cap-Weighted</t>
  </si>
  <si>
    <t>Long-Term</t>
  </si>
  <si>
    <t>Name</t>
  </si>
  <si>
    <t>Outst'g</t>
  </si>
  <si>
    <t>Price</t>
  </si>
  <si>
    <t>Capitalization</t>
  </si>
  <si>
    <t>Index</t>
  </si>
  <si>
    <t>Growth Est.</t>
  </si>
  <si>
    <t>LyondellBasell Industries NV</t>
  </si>
  <si>
    <t>LYB</t>
  </si>
  <si>
    <t>American Express Co</t>
  </si>
  <si>
    <t>AXP</t>
  </si>
  <si>
    <t>Verizon Communications Inc</t>
  </si>
  <si>
    <t>VZ</t>
  </si>
  <si>
    <t/>
  </si>
  <si>
    <t>Broadcom Inc</t>
  </si>
  <si>
    <t>AVGO</t>
  </si>
  <si>
    <t>Boeing Co/The</t>
  </si>
  <si>
    <t>BA</t>
  </si>
  <si>
    <t>Caterpillar Inc</t>
  </si>
  <si>
    <t>CAT</t>
  </si>
  <si>
    <t>JPMorgan Chase &amp; Co</t>
  </si>
  <si>
    <t>JPM</t>
  </si>
  <si>
    <t>Chevron Corp</t>
  </si>
  <si>
    <t>CVX</t>
  </si>
  <si>
    <t>Coca-Cola Co/The</t>
  </si>
  <si>
    <t>KO</t>
  </si>
  <si>
    <t>AbbVie Inc</t>
  </si>
  <si>
    <t>ABBV</t>
  </si>
  <si>
    <t>Walt Disney Co/The</t>
  </si>
  <si>
    <t>DIS</t>
  </si>
  <si>
    <t>FleetCor Technologies Inc</t>
  </si>
  <si>
    <t>FLT</t>
  </si>
  <si>
    <t>Extra Space Storage Inc</t>
  </si>
  <si>
    <t>EXR</t>
  </si>
  <si>
    <t>Exxon Mobil Corp</t>
  </si>
  <si>
    <t>XOM</t>
  </si>
  <si>
    <t>Phillips 66</t>
  </si>
  <si>
    <t>PSX</t>
  </si>
  <si>
    <t>General Electric Co</t>
  </si>
  <si>
    <t>GE</t>
  </si>
  <si>
    <t>HP Inc</t>
  </si>
  <si>
    <t>HPQ</t>
  </si>
  <si>
    <t>Home Depot Inc/The</t>
  </si>
  <si>
    <t>HD</t>
  </si>
  <si>
    <t>Monolithic Power Systems Inc</t>
  </si>
  <si>
    <t>MPWR</t>
  </si>
  <si>
    <t>International Business Machines Corp</t>
  </si>
  <si>
    <t>IBM</t>
  </si>
  <si>
    <t>Johnson &amp; Johnson</t>
  </si>
  <si>
    <t>JNJ</t>
  </si>
  <si>
    <t>McDonald's Corp</t>
  </si>
  <si>
    <t>MCD</t>
  </si>
  <si>
    <t>Merck &amp; Co Inc</t>
  </si>
  <si>
    <t>MRK</t>
  </si>
  <si>
    <t>3M Co</t>
  </si>
  <si>
    <t>MMM</t>
  </si>
  <si>
    <t>American Water Works Co Inc</t>
  </si>
  <si>
    <t>AWK</t>
  </si>
  <si>
    <t>Bank of America Corp</t>
  </si>
  <si>
    <t>BAC</t>
  </si>
  <si>
    <t>Pfizer Inc</t>
  </si>
  <si>
    <t>PFE</t>
  </si>
  <si>
    <t>Procter &amp; Gamble Co/The</t>
  </si>
  <si>
    <t>PG</t>
  </si>
  <si>
    <t>AT&amp;T Inc</t>
  </si>
  <si>
    <t>T</t>
  </si>
  <si>
    <t>Travelers Cos Inc/The</t>
  </si>
  <si>
    <t>TRV</t>
  </si>
  <si>
    <t>RTX Corp</t>
  </si>
  <si>
    <t>RTX</t>
  </si>
  <si>
    <t>Analog Devices Inc</t>
  </si>
  <si>
    <t>ADI</t>
  </si>
  <si>
    <t>Walmart Inc</t>
  </si>
  <si>
    <t>WMT</t>
  </si>
  <si>
    <t>Cisco Systems Inc</t>
  </si>
  <si>
    <t>CSCO</t>
  </si>
  <si>
    <t>Intel Corp</t>
  </si>
  <si>
    <t>INTC</t>
  </si>
  <si>
    <t>General Motors Co</t>
  </si>
  <si>
    <t>GM</t>
  </si>
  <si>
    <t>Microsoft Corp</t>
  </si>
  <si>
    <t>MSFT</t>
  </si>
  <si>
    <t>Dollar General Corp</t>
  </si>
  <si>
    <t>DG</t>
  </si>
  <si>
    <t>Cigna Group/The</t>
  </si>
  <si>
    <t>CI</t>
  </si>
  <si>
    <t>Kinder Morgan Inc</t>
  </si>
  <si>
    <t>KMI</t>
  </si>
  <si>
    <t>Citigroup Inc</t>
  </si>
  <si>
    <t>C</t>
  </si>
  <si>
    <t>American International Group Inc</t>
  </si>
  <si>
    <t>AIG</t>
  </si>
  <si>
    <t>Altria Group Inc</t>
  </si>
  <si>
    <t>MO</t>
  </si>
  <si>
    <t>HCA Healthcare Inc</t>
  </si>
  <si>
    <t>HCA</t>
  </si>
  <si>
    <t>International Paper Co</t>
  </si>
  <si>
    <t>IP</t>
  </si>
  <si>
    <t>Hewlett Packard Enterprise Co</t>
  </si>
  <si>
    <t>HPE</t>
  </si>
  <si>
    <t>Abbott Laboratories</t>
  </si>
  <si>
    <t>ABT</t>
  </si>
  <si>
    <t>Aflac Inc</t>
  </si>
  <si>
    <t>AFL</t>
  </si>
  <si>
    <t>Air Products and Chemicals Inc</t>
  </si>
  <si>
    <t>APD</t>
  </si>
  <si>
    <t>Royal Caribbean Cruises Ltd</t>
  </si>
  <si>
    <t>RCL</t>
  </si>
  <si>
    <t>Hess Corp</t>
  </si>
  <si>
    <t>HES</t>
  </si>
  <si>
    <t>Archer-Daniels-Midland Co</t>
  </si>
  <si>
    <t>ADM</t>
  </si>
  <si>
    <t>Automatic Data Processing Inc</t>
  </si>
  <si>
    <t>ADP</t>
  </si>
  <si>
    <t>Verisk Analytics Inc</t>
  </si>
  <si>
    <t>VRSK</t>
  </si>
  <si>
    <t>AutoZone Inc</t>
  </si>
  <si>
    <t>AZO</t>
  </si>
  <si>
    <t>Avery Dennison Corp</t>
  </si>
  <si>
    <t>AVY</t>
  </si>
  <si>
    <t>Enphase Energy Inc</t>
  </si>
  <si>
    <t>ENPH</t>
  </si>
  <si>
    <t>MSCI Inc</t>
  </si>
  <si>
    <t>MSCI</t>
  </si>
  <si>
    <t>Ball Corp</t>
  </si>
  <si>
    <t>BALL</t>
  </si>
  <si>
    <t>Axon Enterprise Inc</t>
  </si>
  <si>
    <t>AXON</t>
  </si>
  <si>
    <t>Ceridian HCM Holding Inc</t>
  </si>
  <si>
    <t>CDAY</t>
  </si>
  <si>
    <t>Carrier Global Corp</t>
  </si>
  <si>
    <t>CARR</t>
  </si>
  <si>
    <t>Bank of New York Mellon Corp/The</t>
  </si>
  <si>
    <t>BK</t>
  </si>
  <si>
    <t>Otis Worldwide Corp</t>
  </si>
  <si>
    <t>OTIS</t>
  </si>
  <si>
    <t>Baxter International Inc</t>
  </si>
  <si>
    <t>BAX</t>
  </si>
  <si>
    <t>Becton Dickinson &amp; Co</t>
  </si>
  <si>
    <t>BDX</t>
  </si>
  <si>
    <t>Berkshire Hathaway Inc</t>
  </si>
  <si>
    <t>BRK/B</t>
  </si>
  <si>
    <t>Best Buy Co Inc</t>
  </si>
  <si>
    <t>BBY</t>
  </si>
  <si>
    <t>Boston Scientific Corp</t>
  </si>
  <si>
    <t>BSX</t>
  </si>
  <si>
    <t>Bristol-Myers Squibb Co</t>
  </si>
  <si>
    <t>BMY</t>
  </si>
  <si>
    <t>Brown-Forman Corp</t>
  </si>
  <si>
    <t>BF/B</t>
  </si>
  <si>
    <t>Coterra Energy Inc</t>
  </si>
  <si>
    <t>CTRA</t>
  </si>
  <si>
    <t>Campbell Soup Co</t>
  </si>
  <si>
    <t>CPB</t>
  </si>
  <si>
    <t>Hilton Worldwide Holdings Inc</t>
  </si>
  <si>
    <t>HLT</t>
  </si>
  <si>
    <t>Carnival Corp</t>
  </si>
  <si>
    <t>CCL</t>
  </si>
  <si>
    <t>Qorvo Inc</t>
  </si>
  <si>
    <t>QRVO</t>
  </si>
  <si>
    <t>UDR Inc</t>
  </si>
  <si>
    <t>UDR</t>
  </si>
  <si>
    <t>Clorox Co/The</t>
  </si>
  <si>
    <t>CLX</t>
  </si>
  <si>
    <t>Paycom Software Inc</t>
  </si>
  <si>
    <t>PAYC</t>
  </si>
  <si>
    <t>CMS Energy Corp</t>
  </si>
  <si>
    <t>Newell Brands Inc</t>
  </si>
  <si>
    <t>NWL</t>
  </si>
  <si>
    <t>Colgate-Palmolive Co</t>
  </si>
  <si>
    <t>CL</t>
  </si>
  <si>
    <t>EPAM Systems Inc</t>
  </si>
  <si>
    <t>EPAM</t>
  </si>
  <si>
    <t>Comerica Inc</t>
  </si>
  <si>
    <t>CMA</t>
  </si>
  <si>
    <t>Conagra Brands Inc</t>
  </si>
  <si>
    <t>CAG</t>
  </si>
  <si>
    <t>Consolidated Edison Inc</t>
  </si>
  <si>
    <t>ED</t>
  </si>
  <si>
    <t>Corning Inc</t>
  </si>
  <si>
    <t>GLW</t>
  </si>
  <si>
    <t>Cummins Inc</t>
  </si>
  <si>
    <t>CMI</t>
  </si>
  <si>
    <t>Caesars Entertainment Inc</t>
  </si>
  <si>
    <t>CZR</t>
  </si>
  <si>
    <t>Danaher Corp</t>
  </si>
  <si>
    <t>DHR</t>
  </si>
  <si>
    <t>Target Corp</t>
  </si>
  <si>
    <t>TGT</t>
  </si>
  <si>
    <t>Deere &amp; Co</t>
  </si>
  <si>
    <t>DE</t>
  </si>
  <si>
    <t>Dominion Energy Inc</t>
  </si>
  <si>
    <t>D</t>
  </si>
  <si>
    <t>Dover Corp</t>
  </si>
  <si>
    <t>DOV</t>
  </si>
  <si>
    <t>Alliant Energy Corp</t>
  </si>
  <si>
    <t>Steel Dynamics Inc</t>
  </si>
  <si>
    <t>STLD</t>
  </si>
  <si>
    <t>Duke Energy Corp</t>
  </si>
  <si>
    <t>Regency Centers Corp</t>
  </si>
  <si>
    <t>REG</t>
  </si>
  <si>
    <t>Eaton Corp PLC</t>
  </si>
  <si>
    <t>ETN</t>
  </si>
  <si>
    <t>Ecolab Inc</t>
  </si>
  <si>
    <t>ECL</t>
  </si>
  <si>
    <t>Revvity Inc</t>
  </si>
  <si>
    <t>RVTY</t>
  </si>
  <si>
    <t>Emerson Electric Co</t>
  </si>
  <si>
    <t>EMR</t>
  </si>
  <si>
    <t>EOG Resources Inc</t>
  </si>
  <si>
    <t>EOG</t>
  </si>
  <si>
    <t>Aon PLC</t>
  </si>
  <si>
    <t>AON</t>
  </si>
  <si>
    <t>Entergy Corp</t>
  </si>
  <si>
    <t>Equifax Inc</t>
  </si>
  <si>
    <t>EFX</t>
  </si>
  <si>
    <t>EQT Corp</t>
  </si>
  <si>
    <t>EQT</t>
  </si>
  <si>
    <t>IQVIA Holdings Inc</t>
  </si>
  <si>
    <t>IQV</t>
  </si>
  <si>
    <t>Gartner Inc</t>
  </si>
  <si>
    <t>IT</t>
  </si>
  <si>
    <t>FedEx Corp</t>
  </si>
  <si>
    <t>FDX</t>
  </si>
  <si>
    <t>FMC Corp</t>
  </si>
  <si>
    <t>FMC</t>
  </si>
  <si>
    <t>Brown &amp; Brown Inc</t>
  </si>
  <si>
    <t>BRO</t>
  </si>
  <si>
    <t>Ford Motor Co</t>
  </si>
  <si>
    <t>F</t>
  </si>
  <si>
    <t>NextEra Energy Inc</t>
  </si>
  <si>
    <t>Franklin Resources Inc</t>
  </si>
  <si>
    <t>BEN</t>
  </si>
  <si>
    <t>Garmin Ltd</t>
  </si>
  <si>
    <t>GRMN</t>
  </si>
  <si>
    <t>Freeport-McMoRan Inc</t>
  </si>
  <si>
    <t>FCX</t>
  </si>
  <si>
    <t>Dexcom Inc</t>
  </si>
  <si>
    <t>DXCM</t>
  </si>
  <si>
    <t>General Dynamics Corp</t>
  </si>
  <si>
    <t>GD</t>
  </si>
  <si>
    <t>General Mills Inc</t>
  </si>
  <si>
    <t>GIS</t>
  </si>
  <si>
    <t>Genuine Parts Co</t>
  </si>
  <si>
    <t>GPC</t>
  </si>
  <si>
    <t>Atmos Energy Corp</t>
  </si>
  <si>
    <t>ATO</t>
  </si>
  <si>
    <t>WW Grainger Inc</t>
  </si>
  <si>
    <t>GWW</t>
  </si>
  <si>
    <t>Halliburton Co</t>
  </si>
  <si>
    <t>HAL</t>
  </si>
  <si>
    <t>L3Harris Technologies Inc</t>
  </si>
  <si>
    <t>LHX</t>
  </si>
  <si>
    <t>Healthpeak Properties Inc</t>
  </si>
  <si>
    <t>PEAK</t>
  </si>
  <si>
    <t>Insulet Corp</t>
  </si>
  <si>
    <t>PODD</t>
  </si>
  <si>
    <t>Catalent Inc</t>
  </si>
  <si>
    <t>CTLT</t>
  </si>
  <si>
    <t>Fortive Corp</t>
  </si>
  <si>
    <t>FTV</t>
  </si>
  <si>
    <t>Hershey Co/The</t>
  </si>
  <si>
    <t>HSY</t>
  </si>
  <si>
    <t>Synchrony Financial</t>
  </si>
  <si>
    <t>SYF</t>
  </si>
  <si>
    <t>Hormel Foods Corp</t>
  </si>
  <si>
    <t>HRL</t>
  </si>
  <si>
    <t>Arthur J Gallagher &amp; Co</t>
  </si>
  <si>
    <t>AJG</t>
  </si>
  <si>
    <t>Mondelez International Inc</t>
  </si>
  <si>
    <t>MDLZ</t>
  </si>
  <si>
    <t>CenterPoint Energy Inc</t>
  </si>
  <si>
    <t>CNP</t>
  </si>
  <si>
    <t>Humana Inc</t>
  </si>
  <si>
    <t>HUM</t>
  </si>
  <si>
    <t>Willis Towers Watson PLC</t>
  </si>
  <si>
    <t>WTW</t>
  </si>
  <si>
    <t>Illinois Tool Works Inc</t>
  </si>
  <si>
    <t>ITW</t>
  </si>
  <si>
    <t>CDW Corp/DE</t>
  </si>
  <si>
    <t>CDW</t>
  </si>
  <si>
    <t>Trane Technologies PLC</t>
  </si>
  <si>
    <t>TT</t>
  </si>
  <si>
    <t>Interpublic Group of Cos Inc/The</t>
  </si>
  <si>
    <t>IPG</t>
  </si>
  <si>
    <t>International Flavors &amp; Fragrances Inc</t>
  </si>
  <si>
    <t>IFF</t>
  </si>
  <si>
    <t>Generac Holdings Inc</t>
  </si>
  <si>
    <t>GNRC</t>
  </si>
  <si>
    <t>NXP Semiconductors NV</t>
  </si>
  <si>
    <t>NXPI</t>
  </si>
  <si>
    <t>Kellogg Co</t>
  </si>
  <si>
    <t>K</t>
  </si>
  <si>
    <t>Broadridge Financial Solutions Inc</t>
  </si>
  <si>
    <t>BR</t>
  </si>
  <si>
    <t>Kimberly-Clark Corp</t>
  </si>
  <si>
    <t>KMB</t>
  </si>
  <si>
    <t>Kimco Realty Corp</t>
  </si>
  <si>
    <t>KIM</t>
  </si>
  <si>
    <t>Oracle Corp</t>
  </si>
  <si>
    <t>ORCL</t>
  </si>
  <si>
    <t>Kroger Co/The</t>
  </si>
  <si>
    <t>KR</t>
  </si>
  <si>
    <t>Lennar Corp</t>
  </si>
  <si>
    <t>LEN</t>
  </si>
  <si>
    <t>Eli Lilly &amp; Co</t>
  </si>
  <si>
    <t>LLY</t>
  </si>
  <si>
    <t>Bath &amp; Body Works Inc</t>
  </si>
  <si>
    <t>BBWI</t>
  </si>
  <si>
    <t>Charter Communications Inc</t>
  </si>
  <si>
    <t>CHTR</t>
  </si>
  <si>
    <t>Lincoln National Corp</t>
  </si>
  <si>
    <t>LNC</t>
  </si>
  <si>
    <t>Loews Corp</t>
  </si>
  <si>
    <t>L</t>
  </si>
  <si>
    <t>Lowe's Cos Inc</t>
  </si>
  <si>
    <t>LOW</t>
  </si>
  <si>
    <t>IDEX Corp</t>
  </si>
  <si>
    <t>IEX</t>
  </si>
  <si>
    <t>Marsh &amp; McLennan Cos Inc</t>
  </si>
  <si>
    <t>MMC</t>
  </si>
  <si>
    <t>Masco Corp</t>
  </si>
  <si>
    <t>MAS</t>
  </si>
  <si>
    <t>S&amp;P Global Inc</t>
  </si>
  <si>
    <t>SPGI</t>
  </si>
  <si>
    <t>Medtronic PLC</t>
  </si>
  <si>
    <t>MDT</t>
  </si>
  <si>
    <t>Viatris Inc</t>
  </si>
  <si>
    <t>VTRS</t>
  </si>
  <si>
    <t>CVS Health Corp</t>
  </si>
  <si>
    <t>CVS</t>
  </si>
  <si>
    <t>DuPont de Nemours Inc</t>
  </si>
  <si>
    <t>DD</t>
  </si>
  <si>
    <t>Micron Technology Inc</t>
  </si>
  <si>
    <t>MU</t>
  </si>
  <si>
    <t>Motorola Solutions Inc</t>
  </si>
  <si>
    <t>MSI</t>
  </si>
  <si>
    <t>Cboe Global Markets Inc</t>
  </si>
  <si>
    <t>CBOE</t>
  </si>
  <si>
    <t>Laboratory Corp of America Holdings</t>
  </si>
  <si>
    <t>LH</t>
  </si>
  <si>
    <t>Newmont Corp</t>
  </si>
  <si>
    <t>NEM</t>
  </si>
  <si>
    <t>NIKE Inc</t>
  </si>
  <si>
    <t>NKE</t>
  </si>
  <si>
    <t>NiSource Inc</t>
  </si>
  <si>
    <t>Norfolk Southern Corp</t>
  </si>
  <si>
    <t>NSC</t>
  </si>
  <si>
    <t>Principal Financial Group Inc</t>
  </si>
  <si>
    <t>PFG</t>
  </si>
  <si>
    <t>Eversource Energy</t>
  </si>
  <si>
    <t>ES</t>
  </si>
  <si>
    <t>Northrop Grumman Corp</t>
  </si>
  <si>
    <t>NOC</t>
  </si>
  <si>
    <t>Wells Fargo &amp; Co</t>
  </si>
  <si>
    <t>WFC</t>
  </si>
  <si>
    <t>Nucor Corp</t>
  </si>
  <si>
    <t>NUE</t>
  </si>
  <si>
    <t>Occidental Petroleum Corp</t>
  </si>
  <si>
    <t>OXY</t>
  </si>
  <si>
    <t>Omnicom Group Inc</t>
  </si>
  <si>
    <t>OMC</t>
  </si>
  <si>
    <t>ONEOK Inc</t>
  </si>
  <si>
    <t>OKE</t>
  </si>
  <si>
    <t>Raymond James Financial Inc</t>
  </si>
  <si>
    <t>RJF</t>
  </si>
  <si>
    <t>PG&amp;E Corp</t>
  </si>
  <si>
    <t>PCG</t>
  </si>
  <si>
    <t>Parker-Hannifin Corp</t>
  </si>
  <si>
    <t>PH</t>
  </si>
  <si>
    <t>Rollins Inc</t>
  </si>
  <si>
    <t>ROL</t>
  </si>
  <si>
    <t>PPL Corp</t>
  </si>
  <si>
    <t>PPL</t>
  </si>
  <si>
    <t>ConocoPhillips</t>
  </si>
  <si>
    <t>COP</t>
  </si>
  <si>
    <t>PulteGroup Inc</t>
  </si>
  <si>
    <t>PHM</t>
  </si>
  <si>
    <t>Pinnacle West Capital Corp</t>
  </si>
  <si>
    <t>PNC Financial Services Group Inc/The</t>
  </si>
  <si>
    <t>PNC</t>
  </si>
  <si>
    <t>PPG Industries Inc</t>
  </si>
  <si>
    <t>PPG</t>
  </si>
  <si>
    <t>Progressive Corp/The</t>
  </si>
  <si>
    <t>PGR</t>
  </si>
  <si>
    <t>Public Service Enterprise Group Inc</t>
  </si>
  <si>
    <t>PEG</t>
  </si>
  <si>
    <t>Robert Half Inc</t>
  </si>
  <si>
    <t>RHI</t>
  </si>
  <si>
    <t>Edison International</t>
  </si>
  <si>
    <t>EIX</t>
  </si>
  <si>
    <t>Schlumberger NV</t>
  </si>
  <si>
    <t>SLB</t>
  </si>
  <si>
    <t>Charles Schwab Corp/The</t>
  </si>
  <si>
    <t>SCHW</t>
  </si>
  <si>
    <t>Sherwin-Williams Co/The</t>
  </si>
  <si>
    <t>SHW</t>
  </si>
  <si>
    <t>West Pharmaceutical Services Inc</t>
  </si>
  <si>
    <t>WST</t>
  </si>
  <si>
    <t>J M Smucker Co/The</t>
  </si>
  <si>
    <t>SJM</t>
  </si>
  <si>
    <t>Snap-on Inc</t>
  </si>
  <si>
    <t>SNA</t>
  </si>
  <si>
    <t>AMETEK Inc</t>
  </si>
  <si>
    <t>AME</t>
  </si>
  <si>
    <t>Southern Co/The</t>
  </si>
  <si>
    <t>Truist Financial Corp</t>
  </si>
  <si>
    <t>TFC</t>
  </si>
  <si>
    <t>Southwest Airlines Co</t>
  </si>
  <si>
    <t>LUV</t>
  </si>
  <si>
    <t>W R Berkley Corp</t>
  </si>
  <si>
    <t>WRB</t>
  </si>
  <si>
    <t>Stanley Black &amp; Decker Inc</t>
  </si>
  <si>
    <t>SWK</t>
  </si>
  <si>
    <t>Public Storage</t>
  </si>
  <si>
    <t>PSA</t>
  </si>
  <si>
    <t>Arista Networks Inc</t>
  </si>
  <si>
    <t>ANET</t>
  </si>
  <si>
    <t>Sysco Corp</t>
  </si>
  <si>
    <t>SYY</t>
  </si>
  <si>
    <t>Corteva Inc</t>
  </si>
  <si>
    <t>CTVA</t>
  </si>
  <si>
    <t>Texas Instruments Inc</t>
  </si>
  <si>
    <t>TXN</t>
  </si>
  <si>
    <t>Textron Inc</t>
  </si>
  <si>
    <t>TXT</t>
  </si>
  <si>
    <t>Thermo Fisher Scientific Inc</t>
  </si>
  <si>
    <t>TMO</t>
  </si>
  <si>
    <t>TJX Cos Inc/The</t>
  </si>
  <si>
    <t>TJX</t>
  </si>
  <si>
    <t>Globe Life Inc</t>
  </si>
  <si>
    <t>GL</t>
  </si>
  <si>
    <t>Johnson Controls International plc</t>
  </si>
  <si>
    <t>JCI</t>
  </si>
  <si>
    <t>Ulta Beauty Inc</t>
  </si>
  <si>
    <t>ULTA</t>
  </si>
  <si>
    <t>Union Pacific Corp</t>
  </si>
  <si>
    <t>UNP</t>
  </si>
  <si>
    <t>Keysight Technologies Inc</t>
  </si>
  <si>
    <t>KEYS</t>
  </si>
  <si>
    <t>UnitedHealth Group Inc</t>
  </si>
  <si>
    <t>UNH</t>
  </si>
  <si>
    <t>Marathon Oil Corp</t>
  </si>
  <si>
    <t>MRO</t>
  </si>
  <si>
    <t>Bio-Rad Laboratories Inc</t>
  </si>
  <si>
    <t>BIO</t>
  </si>
  <si>
    <t>Ventas Inc</t>
  </si>
  <si>
    <t>VTR</t>
  </si>
  <si>
    <t>VF Corp</t>
  </si>
  <si>
    <t>VFC</t>
  </si>
  <si>
    <t>Vulcan Materials Co</t>
  </si>
  <si>
    <t>VMC</t>
  </si>
  <si>
    <t>Weyerhaeuser Co</t>
  </si>
  <si>
    <t>WY</t>
  </si>
  <si>
    <t>Whirlpool Corp</t>
  </si>
  <si>
    <t>WHR</t>
  </si>
  <si>
    <t>Williams Cos Inc/The</t>
  </si>
  <si>
    <t>WMB</t>
  </si>
  <si>
    <t>Constellation Energy Corp</t>
  </si>
  <si>
    <t>CEG</t>
  </si>
  <si>
    <t>WEC Energy Group Inc</t>
  </si>
  <si>
    <t>Adobe Inc</t>
  </si>
  <si>
    <t>ADBE</t>
  </si>
  <si>
    <t>AES Corp/The</t>
  </si>
  <si>
    <t>AES</t>
  </si>
  <si>
    <t>Amgen Inc</t>
  </si>
  <si>
    <t>AMGN</t>
  </si>
  <si>
    <t>Apple Inc</t>
  </si>
  <si>
    <t>AAPL</t>
  </si>
  <si>
    <t>Autodesk Inc</t>
  </si>
  <si>
    <t>ADSK</t>
  </si>
  <si>
    <t>Cintas Corp</t>
  </si>
  <si>
    <t>CTAS</t>
  </si>
  <si>
    <t>Comcast Corp</t>
  </si>
  <si>
    <t>CMCSA</t>
  </si>
  <si>
    <t>Molson Coors Beverage Co</t>
  </si>
  <si>
    <t>TAP</t>
  </si>
  <si>
    <t>KLA Corp</t>
  </si>
  <si>
    <t>KLAC</t>
  </si>
  <si>
    <t>Marriott International Inc/MD</t>
  </si>
  <si>
    <t>MAR</t>
  </si>
  <si>
    <t>Fiserv Inc</t>
  </si>
  <si>
    <t>FI</t>
  </si>
  <si>
    <t>McCormick &amp; Co Inc/MD</t>
  </si>
  <si>
    <t>MKC</t>
  </si>
  <si>
    <t>PACCAR Inc</t>
  </si>
  <si>
    <t>PCAR</t>
  </si>
  <si>
    <t>Costco Wholesale Corp</t>
  </si>
  <si>
    <t>COST</t>
  </si>
  <si>
    <t>Stryker Corp</t>
  </si>
  <si>
    <t>SYK</t>
  </si>
  <si>
    <t>Tyson Foods Inc</t>
  </si>
  <si>
    <t>TSN</t>
  </si>
  <si>
    <t>Lamb Weston Holdings Inc</t>
  </si>
  <si>
    <t>LW</t>
  </si>
  <si>
    <t>Applied Materials Inc</t>
  </si>
  <si>
    <t>AMAT</t>
  </si>
  <si>
    <t>American Airlines Group Inc</t>
  </si>
  <si>
    <t>AAL</t>
  </si>
  <si>
    <t>Cardinal Health Inc</t>
  </si>
  <si>
    <t>CAH</t>
  </si>
  <si>
    <t>Cincinnati Financial Corp</t>
  </si>
  <si>
    <t>CINF</t>
  </si>
  <si>
    <t>Paramount Global</t>
  </si>
  <si>
    <t>PARA</t>
  </si>
  <si>
    <t>DR Horton Inc</t>
  </si>
  <si>
    <t>DHI</t>
  </si>
  <si>
    <t>Electronic Arts Inc</t>
  </si>
  <si>
    <t>EA</t>
  </si>
  <si>
    <t>Fair Isaac Corp</t>
  </si>
  <si>
    <t>FICO</t>
  </si>
  <si>
    <t>Expeditors International of Washington Inc</t>
  </si>
  <si>
    <t>EXPD</t>
  </si>
  <si>
    <t>Fastenal Co</t>
  </si>
  <si>
    <t>FAST</t>
  </si>
  <si>
    <t>M&amp;T Bank Corp</t>
  </si>
  <si>
    <t>MTB</t>
  </si>
  <si>
    <t>Xcel Energy Inc</t>
  </si>
  <si>
    <t>Fifth Third Bancorp</t>
  </si>
  <si>
    <t>FITB</t>
  </si>
  <si>
    <t>Gilead Sciences Inc</t>
  </si>
  <si>
    <t>GILD</t>
  </si>
  <si>
    <t>Hasbro Inc</t>
  </si>
  <si>
    <t>HAS</t>
  </si>
  <si>
    <t>Huntington Bancshares Inc/OH</t>
  </si>
  <si>
    <t>HBAN</t>
  </si>
  <si>
    <t>Welltower Inc</t>
  </si>
  <si>
    <t>WELL</t>
  </si>
  <si>
    <t>Biogen Inc</t>
  </si>
  <si>
    <t>BIIB</t>
  </si>
  <si>
    <t>Northern Trust Corp</t>
  </si>
  <si>
    <t>NTRS</t>
  </si>
  <si>
    <t>Packaging Corp of America</t>
  </si>
  <si>
    <t>PKG</t>
  </si>
  <si>
    <t>Paychex Inc</t>
  </si>
  <si>
    <t>PAYX</t>
  </si>
  <si>
    <t>QUALCOMM Inc</t>
  </si>
  <si>
    <t>QCOM</t>
  </si>
  <si>
    <t>Ross Stores Inc</t>
  </si>
  <si>
    <t>ROST</t>
  </si>
  <si>
    <t>IDEXX Laboratories Inc</t>
  </si>
  <si>
    <t>IDXX</t>
  </si>
  <si>
    <t>Starbucks Corp</t>
  </si>
  <si>
    <t>SBUX</t>
  </si>
  <si>
    <t>KeyCorp</t>
  </si>
  <si>
    <t>KEY</t>
  </si>
  <si>
    <t>Fox Corp</t>
  </si>
  <si>
    <t>FOXA</t>
  </si>
  <si>
    <t>FOX</t>
  </si>
  <si>
    <t>State Street Corp</t>
  </si>
  <si>
    <t>STT</t>
  </si>
  <si>
    <t>Norwegian Cruise Line Holdings Ltd</t>
  </si>
  <si>
    <t>NCLH</t>
  </si>
  <si>
    <t>US Bancorp</t>
  </si>
  <si>
    <t>USB</t>
  </si>
  <si>
    <t>A O Smith Corp</t>
  </si>
  <si>
    <t>AOS</t>
  </si>
  <si>
    <t>Gen Digital Inc</t>
  </si>
  <si>
    <t>GEN</t>
  </si>
  <si>
    <t>T Rowe Price Group Inc</t>
  </si>
  <si>
    <t>TROW</t>
  </si>
  <si>
    <t>Waste Management Inc</t>
  </si>
  <si>
    <t>WM</t>
  </si>
  <si>
    <t>Constellation Brands Inc</t>
  </si>
  <si>
    <t>STZ</t>
  </si>
  <si>
    <t>DENTSPLY SIRONA Inc</t>
  </si>
  <si>
    <t>XRAY</t>
  </si>
  <si>
    <t>Zions Bancorp NA</t>
  </si>
  <si>
    <t>ZION</t>
  </si>
  <si>
    <t>Alaska Air Group Inc</t>
  </si>
  <si>
    <t>ALK</t>
  </si>
  <si>
    <t>Invesco Ltd</t>
  </si>
  <si>
    <t>IVZ</t>
  </si>
  <si>
    <t>Intuit Inc</t>
  </si>
  <si>
    <t>INTU</t>
  </si>
  <si>
    <t>Morgan Stanley</t>
  </si>
  <si>
    <t>MS</t>
  </si>
  <si>
    <t>Microchip Technology Inc</t>
  </si>
  <si>
    <t>MCHP</t>
  </si>
  <si>
    <t>Chubb Ltd</t>
  </si>
  <si>
    <t>CB</t>
  </si>
  <si>
    <t>Hologic Inc</t>
  </si>
  <si>
    <t>HOLX</t>
  </si>
  <si>
    <t>Citizens Financial Group Inc</t>
  </si>
  <si>
    <t>CFG</t>
  </si>
  <si>
    <t>O'Reilly Automotive Inc</t>
  </si>
  <si>
    <t>ORLY</t>
  </si>
  <si>
    <t>Allstate Corp/The</t>
  </si>
  <si>
    <t>ALL</t>
  </si>
  <si>
    <t>Equity Residential</t>
  </si>
  <si>
    <t>EQR</t>
  </si>
  <si>
    <t>BorgWarner Inc</t>
  </si>
  <si>
    <t>BWA</t>
  </si>
  <si>
    <t>Keurig Dr Pepper Inc</t>
  </si>
  <si>
    <t>KDP</t>
  </si>
  <si>
    <t>Organon &amp; Co</t>
  </si>
  <si>
    <t>OGN</t>
  </si>
  <si>
    <t>Host Hotels &amp; Resorts Inc</t>
  </si>
  <si>
    <t>HST</t>
  </si>
  <si>
    <t>Incyte Corp</t>
  </si>
  <si>
    <t>INCY</t>
  </si>
  <si>
    <t>Simon Property Group Inc</t>
  </si>
  <si>
    <t>SPG</t>
  </si>
  <si>
    <t>Eastman Chemical Co</t>
  </si>
  <si>
    <t>EMN</t>
  </si>
  <si>
    <t>AvalonBay Communities Inc</t>
  </si>
  <si>
    <t>AVB</t>
  </si>
  <si>
    <t>Prudential Financial Inc</t>
  </si>
  <si>
    <t>PRU</t>
  </si>
  <si>
    <t>United Parcel Service Inc</t>
  </si>
  <si>
    <t>UPS</t>
  </si>
  <si>
    <t>Walgreens Boots Alliance Inc</t>
  </si>
  <si>
    <t>WBA</t>
  </si>
  <si>
    <t>STERIS PLC</t>
  </si>
  <si>
    <t>STE</t>
  </si>
  <si>
    <t>McKesson Corp</t>
  </si>
  <si>
    <t>MCK</t>
  </si>
  <si>
    <t>Lockheed Martin Corp</t>
  </si>
  <si>
    <t>LMT</t>
  </si>
  <si>
    <t>AmerisourceBergen Corp</t>
  </si>
  <si>
    <t>ABC</t>
  </si>
  <si>
    <t>Capital One Financial Corp</t>
  </si>
  <si>
    <t>COF</t>
  </si>
  <si>
    <t>Waters Corp</t>
  </si>
  <si>
    <t>WAT</t>
  </si>
  <si>
    <t>Nordson Corp</t>
  </si>
  <si>
    <t>NDSN</t>
  </si>
  <si>
    <t>Dollar Tree Inc</t>
  </si>
  <si>
    <t>DLTR</t>
  </si>
  <si>
    <t>Darden Restaurants Inc</t>
  </si>
  <si>
    <t>DRI</t>
  </si>
  <si>
    <t>Evergy Inc</t>
  </si>
  <si>
    <t>Match Group Inc</t>
  </si>
  <si>
    <t>MTCH</t>
  </si>
  <si>
    <t>Domino's Pizza Inc</t>
  </si>
  <si>
    <t>DPZ</t>
  </si>
  <si>
    <t>NVR Inc</t>
  </si>
  <si>
    <t>NVR</t>
  </si>
  <si>
    <t>NetApp Inc</t>
  </si>
  <si>
    <t>NTAP</t>
  </si>
  <si>
    <t>DXC Technology Co</t>
  </si>
  <si>
    <t>DXC</t>
  </si>
  <si>
    <t>Old Dominion Freight Line Inc</t>
  </si>
  <si>
    <t>ODFL</t>
  </si>
  <si>
    <t>DaVita Inc</t>
  </si>
  <si>
    <t>DVA</t>
  </si>
  <si>
    <t>Hartford Financial Services Group Inc/The</t>
  </si>
  <si>
    <t>HIG</t>
  </si>
  <si>
    <t>Iron Mountain Inc</t>
  </si>
  <si>
    <t>IRM</t>
  </si>
  <si>
    <t>Estee Lauder Cos Inc/The</t>
  </si>
  <si>
    <t>EL</t>
  </si>
  <si>
    <t>Cadence Design Systems Inc</t>
  </si>
  <si>
    <t>CDNS</t>
  </si>
  <si>
    <t>Tyler Technologies Inc</t>
  </si>
  <si>
    <t>TYL</t>
  </si>
  <si>
    <t>Universal Health Services Inc</t>
  </si>
  <si>
    <t>UHS</t>
  </si>
  <si>
    <t>Skyworks Solutions Inc</t>
  </si>
  <si>
    <t>SWKS</t>
  </si>
  <si>
    <t>Quest Diagnostics Inc</t>
  </si>
  <si>
    <t>DGX</t>
  </si>
  <si>
    <t>Activision Blizzard Inc</t>
  </si>
  <si>
    <t>ATVI</t>
  </si>
  <si>
    <t>Rockwell Automation Inc</t>
  </si>
  <si>
    <t>ROK</t>
  </si>
  <si>
    <t>Kraft Heinz Co/The</t>
  </si>
  <si>
    <t>KHC</t>
  </si>
  <si>
    <t>American Tower Corp</t>
  </si>
  <si>
    <t>AMT</t>
  </si>
  <si>
    <t>Regeneron Pharmaceuticals Inc</t>
  </si>
  <si>
    <t>REGN</t>
  </si>
  <si>
    <t>Amazon.com Inc</t>
  </si>
  <si>
    <t>AMZN</t>
  </si>
  <si>
    <t>Jack Henry &amp; Associates Inc</t>
  </si>
  <si>
    <t>JKHY</t>
  </si>
  <si>
    <t>Ralph Lauren Corp</t>
  </si>
  <si>
    <t>RL</t>
  </si>
  <si>
    <t>Boston Properties Inc</t>
  </si>
  <si>
    <t>BXP</t>
  </si>
  <si>
    <t>Amphenol Corp</t>
  </si>
  <si>
    <t>APH</t>
  </si>
  <si>
    <t>Howmet Aerospace Inc</t>
  </si>
  <si>
    <t>HWM</t>
  </si>
  <si>
    <t>Pioneer Natural Resources Co</t>
  </si>
  <si>
    <t>PXD</t>
  </si>
  <si>
    <t>Valero Energy Corp</t>
  </si>
  <si>
    <t>VLO</t>
  </si>
  <si>
    <t>Synopsys Inc</t>
  </si>
  <si>
    <t>SNPS</t>
  </si>
  <si>
    <t>Etsy Inc</t>
  </si>
  <si>
    <t>ETSY</t>
  </si>
  <si>
    <t>CH Robinson Worldwide Inc</t>
  </si>
  <si>
    <t>CHRW</t>
  </si>
  <si>
    <t>Accenture PLC</t>
  </si>
  <si>
    <t>ACN</t>
  </si>
  <si>
    <t>TransDigm Group Inc</t>
  </si>
  <si>
    <t>TDG</t>
  </si>
  <si>
    <t>Yum! Brands Inc</t>
  </si>
  <si>
    <t>YUM</t>
  </si>
  <si>
    <t>Prologis Inc</t>
  </si>
  <si>
    <t>PLD</t>
  </si>
  <si>
    <t>FirstEnergy Corp</t>
  </si>
  <si>
    <t>FE</t>
  </si>
  <si>
    <t>VeriSign Inc</t>
  </si>
  <si>
    <t>VRSN</t>
  </si>
  <si>
    <t>Quanta Services Inc</t>
  </si>
  <si>
    <t>PWR</t>
  </si>
  <si>
    <t>Henry Schein Inc</t>
  </si>
  <si>
    <t>HSIC</t>
  </si>
  <si>
    <t>Ameren Corp</t>
  </si>
  <si>
    <t>ANSYS Inc</t>
  </si>
  <si>
    <t>ANSS</t>
  </si>
  <si>
    <t>FactSet Research Systems Inc</t>
  </si>
  <si>
    <t>FDS</t>
  </si>
  <si>
    <t>NVIDIA Corp</t>
  </si>
  <si>
    <t>NVDA</t>
  </si>
  <si>
    <t>Sealed Air Corp</t>
  </si>
  <si>
    <t>SEE</t>
  </si>
  <si>
    <t>Cognizant Technology Solutions Corp</t>
  </si>
  <si>
    <t>CTSH</t>
  </si>
  <si>
    <t>Intuitive Surgical Inc</t>
  </si>
  <si>
    <t>ISRG</t>
  </si>
  <si>
    <t>Take-Two Interactive Software Inc</t>
  </si>
  <si>
    <t>TTWO</t>
  </si>
  <si>
    <t>Republic Services Inc</t>
  </si>
  <si>
    <t>RSG</t>
  </si>
  <si>
    <t>eBay Inc</t>
  </si>
  <si>
    <t>EBAY</t>
  </si>
  <si>
    <t>Goldman Sachs Group Inc/The</t>
  </si>
  <si>
    <t>GS</t>
  </si>
  <si>
    <t>SBA Communications Corp</t>
  </si>
  <si>
    <t>SBAC</t>
  </si>
  <si>
    <t>Sempra</t>
  </si>
  <si>
    <t>SRE</t>
  </si>
  <si>
    <t>Moody's Corp</t>
  </si>
  <si>
    <t>MCO</t>
  </si>
  <si>
    <t>ON Semiconductor Corp</t>
  </si>
  <si>
    <t>ON</t>
  </si>
  <si>
    <t>Booking Holdings Inc</t>
  </si>
  <si>
    <t>BKNG</t>
  </si>
  <si>
    <t>F5 Inc</t>
  </si>
  <si>
    <t>FFIV</t>
  </si>
  <si>
    <t>Akamai Technologies Inc</t>
  </si>
  <si>
    <t>AKAM</t>
  </si>
  <si>
    <t>Charles River Laboratories International Inc</t>
  </si>
  <si>
    <t>CRL</t>
  </si>
  <si>
    <t>MarketAxess Holdings Inc</t>
  </si>
  <si>
    <t>MKTX</t>
  </si>
  <si>
    <t>Devon Energy Corp</t>
  </si>
  <si>
    <t>DVN</t>
  </si>
  <si>
    <t>Bio-Techne Corp</t>
  </si>
  <si>
    <t>TECH</t>
  </si>
  <si>
    <t>Alphabet Inc</t>
  </si>
  <si>
    <t>GOOGL</t>
  </si>
  <si>
    <t>Teleflex Inc</t>
  </si>
  <si>
    <t>TFX</t>
  </si>
  <si>
    <t>Bunge Ltd</t>
  </si>
  <si>
    <t>BG</t>
  </si>
  <si>
    <t>Allegion plc</t>
  </si>
  <si>
    <t>ALLE</t>
  </si>
  <si>
    <t>Netflix Inc</t>
  </si>
  <si>
    <t>NFLX</t>
  </si>
  <si>
    <t>Warner Bros Discovery Inc</t>
  </si>
  <si>
    <t>WBD</t>
  </si>
  <si>
    <t>Agilent Technologies Inc</t>
  </si>
  <si>
    <t>A</t>
  </si>
  <si>
    <t>Trimble Inc</t>
  </si>
  <si>
    <t>TRMB</t>
  </si>
  <si>
    <t>Elevance Health Inc</t>
  </si>
  <si>
    <t>ELV</t>
  </si>
  <si>
    <t>CME Group Inc</t>
  </si>
  <si>
    <t>CME</t>
  </si>
  <si>
    <t>Juniper Networks Inc</t>
  </si>
  <si>
    <t>JNPR</t>
  </si>
  <si>
    <t>BlackRock Inc</t>
  </si>
  <si>
    <t>BLK</t>
  </si>
  <si>
    <t>DTE Energy Co</t>
  </si>
  <si>
    <t>DTE</t>
  </si>
  <si>
    <t>Celanese Corp</t>
  </si>
  <si>
    <t>CE</t>
  </si>
  <si>
    <t>Nasdaq Inc</t>
  </si>
  <si>
    <t>NDAQ</t>
  </si>
  <si>
    <t>Philip Morris International Inc</t>
  </si>
  <si>
    <t>PM</t>
  </si>
  <si>
    <t>Ingersoll Rand Inc</t>
  </si>
  <si>
    <t>IR</t>
  </si>
  <si>
    <t>Salesforce Inc</t>
  </si>
  <si>
    <t>CRM</t>
  </si>
  <si>
    <t>Huntington Ingalls Industries Inc</t>
  </si>
  <si>
    <t>HII</t>
  </si>
  <si>
    <t>Roper Technologies Inc</t>
  </si>
  <si>
    <t>ROP</t>
  </si>
  <si>
    <t>MetLife Inc</t>
  </si>
  <si>
    <t>MET</t>
  </si>
  <si>
    <t>Tapestry Inc</t>
  </si>
  <si>
    <t>TPR</t>
  </si>
  <si>
    <t>CSX Corp</t>
  </si>
  <si>
    <t>CSX</t>
  </si>
  <si>
    <t>Edwards Lifesciences Corp</t>
  </si>
  <si>
    <t>EW</t>
  </si>
  <si>
    <t>Ameriprise Financial Inc</t>
  </si>
  <si>
    <t>AMP</t>
  </si>
  <si>
    <t>Zebra Technologies Corp</t>
  </si>
  <si>
    <t>ZBRA</t>
  </si>
  <si>
    <t>Zimmer Biomet Holdings Inc</t>
  </si>
  <si>
    <t>ZBH</t>
  </si>
  <si>
    <t>Camden Property Trust</t>
  </si>
  <si>
    <t>CPT</t>
  </si>
  <si>
    <t>CBRE Group Inc</t>
  </si>
  <si>
    <t>CBRE</t>
  </si>
  <si>
    <t>Mastercard Inc</t>
  </si>
  <si>
    <t>MA</t>
  </si>
  <si>
    <t>CarMax Inc</t>
  </si>
  <si>
    <t>KMX</t>
  </si>
  <si>
    <t>Intercontinental Exchange Inc</t>
  </si>
  <si>
    <t>ICE</t>
  </si>
  <si>
    <t>Fidelity National Information Services Inc</t>
  </si>
  <si>
    <t>FIS</t>
  </si>
  <si>
    <t>Chipotle Mexican Grill Inc</t>
  </si>
  <si>
    <t>CMG</t>
  </si>
  <si>
    <t>Wynn Resorts Ltd</t>
  </si>
  <si>
    <t>WYNN</t>
  </si>
  <si>
    <t>Live Nation Entertainment Inc</t>
  </si>
  <si>
    <t>LYV</t>
  </si>
  <si>
    <t>Assurant Inc</t>
  </si>
  <si>
    <t>AIZ</t>
  </si>
  <si>
    <t>NRG Energy Inc</t>
  </si>
  <si>
    <t>NRG</t>
  </si>
  <si>
    <t>Monster Beverage Corp</t>
  </si>
  <si>
    <t>MNST</t>
  </si>
  <si>
    <t>Regions Financial Corp</t>
  </si>
  <si>
    <t>RF</t>
  </si>
  <si>
    <t>Baker Hughes Co</t>
  </si>
  <si>
    <t>BKR</t>
  </si>
  <si>
    <t>Mosaic Co/The</t>
  </si>
  <si>
    <t>MOS</t>
  </si>
  <si>
    <t>Expedia Group Inc</t>
  </si>
  <si>
    <t>EXPE</t>
  </si>
  <si>
    <t>CF Industries Holdings Inc</t>
  </si>
  <si>
    <t>CF</t>
  </si>
  <si>
    <t>APA Corp</t>
  </si>
  <si>
    <t>APA</t>
  </si>
  <si>
    <t>Leidos Holdings Inc</t>
  </si>
  <si>
    <t>LDOS</t>
  </si>
  <si>
    <t>GOOG</t>
  </si>
  <si>
    <t>First Solar Inc</t>
  </si>
  <si>
    <t>FSLR</t>
  </si>
  <si>
    <t>Cooper Cos Inc/The</t>
  </si>
  <si>
    <t>COO</t>
  </si>
  <si>
    <t>TE Connectivity Ltd</t>
  </si>
  <si>
    <t>TEL</t>
  </si>
  <si>
    <t>Discover Financial Services</t>
  </si>
  <si>
    <t>DFS</t>
  </si>
  <si>
    <t>Linde PLC</t>
  </si>
  <si>
    <t>LIN</t>
  </si>
  <si>
    <t>Visa Inc</t>
  </si>
  <si>
    <t>V</t>
  </si>
  <si>
    <t>Mid-America Apartment Communities Inc</t>
  </si>
  <si>
    <t>MAA</t>
  </si>
  <si>
    <t>Xylem Inc/NY</t>
  </si>
  <si>
    <t>XYL</t>
  </si>
  <si>
    <t>Marathon Petroleum Corp</t>
  </si>
  <si>
    <t>MPC</t>
  </si>
  <si>
    <t>Advanced Micro Devices Inc</t>
  </si>
  <si>
    <t>AMD</t>
  </si>
  <si>
    <t>Tractor Supply Co</t>
  </si>
  <si>
    <t>TSCO</t>
  </si>
  <si>
    <t>ResMed Inc</t>
  </si>
  <si>
    <t>RMD</t>
  </si>
  <si>
    <t>Mettler-Toledo International Inc</t>
  </si>
  <si>
    <t>MTD</t>
  </si>
  <si>
    <t>VICI Properties Inc</t>
  </si>
  <si>
    <t>VICI</t>
  </si>
  <si>
    <t>Copart Inc</t>
  </si>
  <si>
    <t>CPRT</t>
  </si>
  <si>
    <t>Jacobs Solutions Inc</t>
  </si>
  <si>
    <t>J</t>
  </si>
  <si>
    <t>Fortinet Inc</t>
  </si>
  <si>
    <t>FTNT</t>
  </si>
  <si>
    <t>Albemarle Corp</t>
  </si>
  <si>
    <t>ALB</t>
  </si>
  <si>
    <t>Moderna Inc</t>
  </si>
  <si>
    <t>MRNA</t>
  </si>
  <si>
    <t>Essex Property Trust Inc</t>
  </si>
  <si>
    <t>ESS</t>
  </si>
  <si>
    <t>CoStar Group Inc</t>
  </si>
  <si>
    <t>CSGP</t>
  </si>
  <si>
    <t>Realty Income Corp</t>
  </si>
  <si>
    <t>O</t>
  </si>
  <si>
    <t>Westrock Co</t>
  </si>
  <si>
    <t>WRK</t>
  </si>
  <si>
    <t>Westinghouse Air Brake Technologies Corp</t>
  </si>
  <si>
    <t>WAB</t>
  </si>
  <si>
    <t>Pool Corp</t>
  </si>
  <si>
    <t>POOL</t>
  </si>
  <si>
    <t>Western Digital Corp</t>
  </si>
  <si>
    <t>WDC</t>
  </si>
  <si>
    <t>PepsiCo Inc</t>
  </si>
  <si>
    <t>PEP</t>
  </si>
  <si>
    <t>Diamondback Energy Inc</t>
  </si>
  <si>
    <t>FANG</t>
  </si>
  <si>
    <t>Palo Alto Networks Inc</t>
  </si>
  <si>
    <t>PANW</t>
  </si>
  <si>
    <t>ServiceNow Inc</t>
  </si>
  <si>
    <t>NOW</t>
  </si>
  <si>
    <t>Church &amp; Dwight Co Inc</t>
  </si>
  <si>
    <t>CHD</t>
  </si>
  <si>
    <t>Federal Realty Investment Trust</t>
  </si>
  <si>
    <t>FRT</t>
  </si>
  <si>
    <t>MGM Resorts International</t>
  </si>
  <si>
    <t>MGM</t>
  </si>
  <si>
    <t>American Electric Power Co Inc</t>
  </si>
  <si>
    <t>SolarEdge Technologies Inc</t>
  </si>
  <si>
    <t>SEDG</t>
  </si>
  <si>
    <t>Invitation Homes Inc</t>
  </si>
  <si>
    <t>INVH</t>
  </si>
  <si>
    <t>PTC Inc</t>
  </si>
  <si>
    <t>PTC</t>
  </si>
  <si>
    <t>JB Hunt Transport Services Inc</t>
  </si>
  <si>
    <t>JBHT</t>
  </si>
  <si>
    <t>Lam Research Corp</t>
  </si>
  <si>
    <t>LRCX</t>
  </si>
  <si>
    <t>Mohawk Industries Inc</t>
  </si>
  <si>
    <t>MHK</t>
  </si>
  <si>
    <t>Pentair PLC</t>
  </si>
  <si>
    <t>PNR</t>
  </si>
  <si>
    <t>GE HealthCare Technologies Inc</t>
  </si>
  <si>
    <t>GEHC</t>
  </si>
  <si>
    <t>Vertex Pharmaceuticals Inc</t>
  </si>
  <si>
    <t>VRTX</t>
  </si>
  <si>
    <t>Amcor PLC</t>
  </si>
  <si>
    <t>AMCR</t>
  </si>
  <si>
    <t>Meta Platforms Inc</t>
  </si>
  <si>
    <t>META</t>
  </si>
  <si>
    <t>T-Mobile US Inc</t>
  </si>
  <si>
    <t>TMUS</t>
  </si>
  <si>
    <t>United Rentals Inc</t>
  </si>
  <si>
    <t>URI</t>
  </si>
  <si>
    <t>Alexandria Real Estate Equities Inc</t>
  </si>
  <si>
    <t>ARE</t>
  </si>
  <si>
    <t>Honeywell International Inc</t>
  </si>
  <si>
    <t>HON</t>
  </si>
  <si>
    <t>Delta Air Lines Inc</t>
  </si>
  <si>
    <t>DAL</t>
  </si>
  <si>
    <t>United Airlines Holdings Inc</t>
  </si>
  <si>
    <t>UAL</t>
  </si>
  <si>
    <t>Seagate Technology Holdings PLC</t>
  </si>
  <si>
    <t>STX</t>
  </si>
  <si>
    <t>News Corp</t>
  </si>
  <si>
    <t>NWS</t>
  </si>
  <si>
    <t>Centene Corp</t>
  </si>
  <si>
    <t>CNC</t>
  </si>
  <si>
    <t>Martin Marietta Materials Inc</t>
  </si>
  <si>
    <t>MLM</t>
  </si>
  <si>
    <t>Teradyne Inc</t>
  </si>
  <si>
    <t>TER</t>
  </si>
  <si>
    <t>PayPal Holdings Inc</t>
  </si>
  <si>
    <t>PYPL</t>
  </si>
  <si>
    <t>Tesla Inc</t>
  </si>
  <si>
    <t>TSLA</t>
  </si>
  <si>
    <t>Arch Capital Group Ltd</t>
  </si>
  <si>
    <t>ACGL</t>
  </si>
  <si>
    <t>Dow Inc</t>
  </si>
  <si>
    <t>DOW</t>
  </si>
  <si>
    <t>Everest Group Ltd</t>
  </si>
  <si>
    <t>EG</t>
  </si>
  <si>
    <t>Teledyne Technologies Inc</t>
  </si>
  <si>
    <t>TDY</t>
  </si>
  <si>
    <t>NWSA</t>
  </si>
  <si>
    <t>Exelon Corp</t>
  </si>
  <si>
    <t>EXC</t>
  </si>
  <si>
    <t>Global Payments Inc</t>
  </si>
  <si>
    <t>GPN</t>
  </si>
  <si>
    <t>Crown Castle Inc</t>
  </si>
  <si>
    <t>CCI</t>
  </si>
  <si>
    <t>Aptiv PLC</t>
  </si>
  <si>
    <t>APTV</t>
  </si>
  <si>
    <t>Advance Auto Parts Inc</t>
  </si>
  <si>
    <t>AAP</t>
  </si>
  <si>
    <t>Align Technology Inc</t>
  </si>
  <si>
    <t>ALGN</t>
  </si>
  <si>
    <t>Illumina Inc</t>
  </si>
  <si>
    <t>ILMN</t>
  </si>
  <si>
    <t>Targa Resources Corp</t>
  </si>
  <si>
    <t>TRGP</t>
  </si>
  <si>
    <t>LKQ Corp</t>
  </si>
  <si>
    <t>LKQ</t>
  </si>
  <si>
    <t>Zoetis Inc</t>
  </si>
  <si>
    <t>ZTS</t>
  </si>
  <si>
    <t>Digital Realty Trust Inc</t>
  </si>
  <si>
    <t>DLR</t>
  </si>
  <si>
    <t>Equinix Inc</t>
  </si>
  <si>
    <t>EQIX</t>
  </si>
  <si>
    <t>Las Vegas Sands Corp</t>
  </si>
  <si>
    <t>LVS</t>
  </si>
  <si>
    <t>Molina Healthcare Inc</t>
  </si>
  <si>
    <t>MOH</t>
  </si>
  <si>
    <t>[1] Equals sum of Col. [9]</t>
  </si>
  <si>
    <t>[2] Equals sum of Col. [11]</t>
  </si>
  <si>
    <t>[3] Equals ([1] x (1 + (0.5 x [2]))) + [2]</t>
  </si>
  <si>
    <t>[4] Source: Bloomberg Professional as of November 30, 2023</t>
  </si>
  <si>
    <t>[5] Source: Bloomberg Professional as of November 30, 2023</t>
  </si>
  <si>
    <t>[6] Equals [4] x [5]</t>
  </si>
  <si>
    <t>[7] Equals weight in S&amp;P 500 based on market capitalization [6] if Growth Rate &gt;0% and ≤20%</t>
  </si>
  <si>
    <t>[8] Source: Bloomberg Professional, as of November 30, 2023</t>
  </si>
  <si>
    <t>[9] Equals [7] x [8]</t>
  </si>
  <si>
    <t>[10] Source: Bloomberg Professional, as of November 30, 2023</t>
  </si>
  <si>
    <t>[11] Equals [7] x [10]</t>
  </si>
  <si>
    <t>BOND YIELD PLUS RISK PREMIUM</t>
  </si>
  <si>
    <t>Quarter</t>
  </si>
  <si>
    <t>Average Authorized VI Electric ROE</t>
  </si>
  <si>
    <t>U.S. Govt. 30-year Treasury</t>
  </si>
  <si>
    <t>Risk Premium</t>
  </si>
  <si>
    <t>1992.1</t>
  </si>
  <si>
    <t>1992.2</t>
  </si>
  <si>
    <t>1992.3</t>
  </si>
  <si>
    <t>1992.4</t>
  </si>
  <si>
    <t>1993.1</t>
  </si>
  <si>
    <t>1993.2</t>
  </si>
  <si>
    <t>1993.3</t>
  </si>
  <si>
    <t>1993.4</t>
  </si>
  <si>
    <t>1994.1</t>
  </si>
  <si>
    <t>1994.2</t>
  </si>
  <si>
    <t>1994.3</t>
  </si>
  <si>
    <t>1994.4</t>
  </si>
  <si>
    <t>1995.2</t>
  </si>
  <si>
    <t>1995.3</t>
  </si>
  <si>
    <t>1995.4</t>
  </si>
  <si>
    <t>1996.1</t>
  </si>
  <si>
    <t>SUMMARY OUTPUT</t>
  </si>
  <si>
    <t>1996.2</t>
  </si>
  <si>
    <t>1996.3</t>
  </si>
  <si>
    <t>Regression Statistics</t>
  </si>
  <si>
    <t>1996.4</t>
  </si>
  <si>
    <t>Multiple R</t>
  </si>
  <si>
    <t>1997.1</t>
  </si>
  <si>
    <t>R Square</t>
  </si>
  <si>
    <t>1997.2</t>
  </si>
  <si>
    <t>Adjusted R Square</t>
  </si>
  <si>
    <t>1997.3</t>
  </si>
  <si>
    <t>Standard Error</t>
  </si>
  <si>
    <t>1997.4</t>
  </si>
  <si>
    <t>Observations</t>
  </si>
  <si>
    <t>1998.2</t>
  </si>
  <si>
    <t>ANOVA</t>
  </si>
  <si>
    <t>1998.3</t>
  </si>
  <si>
    <t>df</t>
  </si>
  <si>
    <t>SS</t>
  </si>
  <si>
    <t>Significance F</t>
  </si>
  <si>
    <t>1998.4</t>
  </si>
  <si>
    <t>Regression</t>
  </si>
  <si>
    <t>1999.1</t>
  </si>
  <si>
    <t>Residual</t>
  </si>
  <si>
    <t>1999.2</t>
  </si>
  <si>
    <t>Total</t>
  </si>
  <si>
    <t>1999.4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</si>
  <si>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</si>
  <si>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</si>
  <si>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</si>
  <si>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</si>
  <si>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</si>
  <si>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</si>
  <si>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</si>
  <si>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2000.1</t>
  </si>
  <si>
    <t>Intercept</t>
  </si>
  <si>
    <t>2000.2</t>
  </si>
  <si>
    <t>US Government 30-year Treasury</t>
  </si>
  <si>
    <t>2000.3</t>
  </si>
  <si>
    <t>2000.4</t>
  </si>
  <si>
    <t>2001.1</t>
  </si>
  <si>
    <t>2001.2</t>
  </si>
  <si>
    <t>U.S. Govt.</t>
  </si>
  <si>
    <t>30-year</t>
  </si>
  <si>
    <t>Risk</t>
  </si>
  <si>
    <t>2001.4</t>
  </si>
  <si>
    <t>Treasury</t>
  </si>
  <si>
    <t>Premium</t>
  </si>
  <si>
    <t>ROE</t>
  </si>
  <si>
    <t>2002.1</t>
  </si>
  <si>
    <t>2002.2</t>
  </si>
  <si>
    <t>Current 30-day average of 30-year U.S. Treasury bond yield [4]</t>
  </si>
  <si>
    <t>2002.3</t>
  </si>
  <si>
    <t>Blue Chip Near-Term Projected Forecast (Q1 2024 - Q1 2025) [5]</t>
  </si>
  <si>
    <t>2002.4</t>
  </si>
  <si>
    <t>Blue Chip Long-Term Projected Forecast (2025-2029) [6]</t>
  </si>
  <si>
    <t>2003.1</t>
  </si>
  <si>
    <t>AVERAGE</t>
  </si>
  <si>
    <t>2003.2</t>
  </si>
  <si>
    <t>2003.3</t>
  </si>
  <si>
    <t>2003.4</t>
  </si>
  <si>
    <t>[1] Source: Regulatory Research Associates, rate cases through November 30, 2023</t>
  </si>
  <si>
    <t>2004.1</t>
  </si>
  <si>
    <t>[2] Source: S&amp;P Capital IQ Pro, quarterly bond yields are the average of each trading day in the quarter</t>
  </si>
  <si>
    <t>2004.2</t>
  </si>
  <si>
    <t>[3] Equals Column [1] − Column [2]</t>
  </si>
  <si>
    <t>2004.3</t>
  </si>
  <si>
    <t>[4] Source: Bloomberg Professional, 30-day average as of November 30, 2023</t>
  </si>
  <si>
    <t>2004.4</t>
  </si>
  <si>
    <t>[5] Source: Blue Chip Financial Forecasts, Vol. 42, No. 12, December 1, 2023, at 2</t>
  </si>
  <si>
    <t>2005.1</t>
  </si>
  <si>
    <t>[6] Source: Blue Chip Financial Forecasts, Vol. 42, No. 12, December 1, 2023, at 14</t>
  </si>
  <si>
    <t>2005.2</t>
  </si>
  <si>
    <t xml:space="preserve">[7] See notes [4], [5] &amp; [6] </t>
  </si>
  <si>
    <t>2005.3</t>
  </si>
  <si>
    <t>2005.4</t>
  </si>
  <si>
    <t>[9] Equals Column [7] + Column [8]</t>
  </si>
  <si>
    <t>2006.1</t>
  </si>
  <si>
    <t>2006.2</t>
  </si>
  <si>
    <t>2006.3</t>
  </si>
  <si>
    <t>2006.4</t>
  </si>
  <si>
    <t>2007.1</t>
  </si>
  <si>
    <t>2007.2</t>
  </si>
  <si>
    <t>2007.3</t>
  </si>
  <si>
    <t>2007.4</t>
  </si>
  <si>
    <t>2008.1</t>
  </si>
  <si>
    <t>2008.2</t>
  </si>
  <si>
    <t>2008.3</t>
  </si>
  <si>
    <t>2008.4</t>
  </si>
  <si>
    <t>2009.1</t>
  </si>
  <si>
    <t>2009.2</t>
  </si>
  <si>
    <t>2009.3</t>
  </si>
  <si>
    <t>2009.4</t>
  </si>
  <si>
    <t>2010.1</t>
  </si>
  <si>
    <t>2010.2</t>
  </si>
  <si>
    <t>2010.3</t>
  </si>
  <si>
    <t>2010.4</t>
  </si>
  <si>
    <t>2011.1</t>
  </si>
  <si>
    <t>2011.2</t>
  </si>
  <si>
    <t>2011.3</t>
  </si>
  <si>
    <t>2011.4</t>
  </si>
  <si>
    <t>2012.1</t>
  </si>
  <si>
    <t>2012.2</t>
  </si>
  <si>
    <t>2012.3</t>
  </si>
  <si>
    <t>2012.4</t>
  </si>
  <si>
    <t>2013.1</t>
  </si>
  <si>
    <t>2013.2</t>
  </si>
  <si>
    <t>2013.3</t>
  </si>
  <si>
    <t>2013.4</t>
  </si>
  <si>
    <t>2014.1</t>
  </si>
  <si>
    <t>2014.2</t>
  </si>
  <si>
    <t>2014.3</t>
  </si>
  <si>
    <t>2014.4</t>
  </si>
  <si>
    <t>2015.1</t>
  </si>
  <si>
    <t>2015.2</t>
  </si>
  <si>
    <t>2015.3</t>
  </si>
  <si>
    <t>2015.4</t>
  </si>
  <si>
    <t>2016.1</t>
  </si>
  <si>
    <t>2016.2</t>
  </si>
  <si>
    <t>2016.3</t>
  </si>
  <si>
    <t>2016.4</t>
  </si>
  <si>
    <t>2017.1</t>
  </si>
  <si>
    <t>2017.2</t>
  </si>
  <si>
    <t>2017.3</t>
  </si>
  <si>
    <t>2017.4</t>
  </si>
  <si>
    <t>2018.1</t>
  </si>
  <si>
    <t>2018.2</t>
  </si>
  <si>
    <t>2018.3</t>
  </si>
  <si>
    <t>2018.4</t>
  </si>
  <si>
    <t>2019.1</t>
  </si>
  <si>
    <t>2019.2</t>
  </si>
  <si>
    <t>2019.3</t>
  </si>
  <si>
    <t>2019.4</t>
  </si>
  <si>
    <t>2020.1</t>
  </si>
  <si>
    <t>2020.2</t>
  </si>
  <si>
    <t>MEDIAN</t>
  </si>
  <si>
    <t>Average Authorized Natural Gas ROE</t>
  </si>
  <si>
    <t>Cost of</t>
  </si>
  <si>
    <t>Equity</t>
  </si>
  <si>
    <t>EXPECTED EARNINGS ANALYSIS</t>
  </si>
  <si>
    <t>Value Line ROE
2026-2028</t>
  </si>
  <si>
    <t>Value Line
Total Capital
2022</t>
  </si>
  <si>
    <t>Value Line
Common Equity Ratio 
2022</t>
  </si>
  <si>
    <t>Total Equity 
2022</t>
  </si>
  <si>
    <t>Value Line
Total Capital
2026-2028</t>
  </si>
  <si>
    <t>Value Line
Common Equity Ratio
2026-2028</t>
  </si>
  <si>
    <t>Total Equity 
2026-2028</t>
  </si>
  <si>
    <t>Compound Annual Growth Rate</t>
  </si>
  <si>
    <t>Adjustment Factor</t>
  </si>
  <si>
    <t>Adjusted Return on Common Equity</t>
  </si>
  <si>
    <t>[1] Source: Value Line</t>
  </si>
  <si>
    <t>[3] Source: Value Line</t>
  </si>
  <si>
    <t>[4] Equals [2] x [3]</t>
  </si>
  <si>
    <t>[6] Source: Value Line</t>
  </si>
  <si>
    <t>[7] Equals [5] x [6]</t>
  </si>
  <si>
    <t>[8] Equals ([7] / [4]) ^ (1/5) - 1</t>
  </si>
  <si>
    <t>[9] Equals 2 x (1 + [8]) / (2 + [8])</t>
  </si>
  <si>
    <t>[10] Equals [1] x [9]</t>
  </si>
  <si>
    <t>COMPARISON OF PSE AND PROXY GROUP COMPANIES</t>
  </si>
  <si>
    <t>WILDFIRE EXPECTED ANNUAL LOSS RANKINGS</t>
  </si>
  <si>
    <t>Ultimate Parent Company</t>
  </si>
  <si>
    <t>Jurisdiction</t>
  </si>
  <si>
    <t>RRA</t>
  </si>
  <si>
    <t>Ranking Legend</t>
  </si>
  <si>
    <t>Rank</t>
  </si>
  <si>
    <t>Numeric Rank</t>
  </si>
  <si>
    <t>Description</t>
  </si>
  <si>
    <t>Value</t>
  </si>
  <si>
    <t>Indiana</t>
  </si>
  <si>
    <t>Very Low</t>
  </si>
  <si>
    <t>Very High</t>
  </si>
  <si>
    <t>Kentucky</t>
  </si>
  <si>
    <t>Relatively Low</t>
  </si>
  <si>
    <t>Relatively High</t>
  </si>
  <si>
    <t>Maryland</t>
  </si>
  <si>
    <t>Relatively Moderate</t>
  </si>
  <si>
    <t>Ohio</t>
  </si>
  <si>
    <t>Pennsylvania</t>
  </si>
  <si>
    <t>Virginia</t>
  </si>
  <si>
    <t>Minnesota</t>
  </si>
  <si>
    <t>Iowa</t>
  </si>
  <si>
    <t>Wisconsin</t>
  </si>
  <si>
    <t>Illinois</t>
  </si>
  <si>
    <t>Missouri</t>
  </si>
  <si>
    <t>Arkansas</t>
  </si>
  <si>
    <t>Louisiana (PSC)</t>
  </si>
  <si>
    <t>Michigan</t>
  </si>
  <si>
    <t>Oklahoma</t>
  </si>
  <si>
    <t>Tennessee</t>
  </si>
  <si>
    <t>Texas (PUC) [3]</t>
  </si>
  <si>
    <t>Low</t>
  </si>
  <si>
    <t>West Virginia</t>
  </si>
  <si>
    <t>Alaska</t>
  </si>
  <si>
    <t>Idaho</t>
  </si>
  <si>
    <t>Oregon</t>
  </si>
  <si>
    <t>Washington [3]</t>
  </si>
  <si>
    <t>Colorado</t>
  </si>
  <si>
    <t>Kansas</t>
  </si>
  <si>
    <t>Nebraska</t>
  </si>
  <si>
    <t>South Dakota</t>
  </si>
  <si>
    <t>Wyoming</t>
  </si>
  <si>
    <t>Florida</t>
  </si>
  <si>
    <t>North Carolina</t>
  </si>
  <si>
    <t>South Carolina</t>
  </si>
  <si>
    <t>Louisiana (NOCC)</t>
  </si>
  <si>
    <t>Mississippi</t>
  </si>
  <si>
    <t>Texas (RRC)</t>
  </si>
  <si>
    <t>Montana [3]</t>
  </si>
  <si>
    <t>Relatively Moderate/Very Low</t>
  </si>
  <si>
    <t>Arizona [3]</t>
  </si>
  <si>
    <t>Alabama</t>
  </si>
  <si>
    <t>Georgia</t>
  </si>
  <si>
    <t>Colorado [3]</t>
  </si>
  <si>
    <t>New Mexico</t>
  </si>
  <si>
    <t>North Dakota</t>
  </si>
  <si>
    <t>Relatively High/ Relatively Moderate</t>
  </si>
  <si>
    <t>Proxy Group Average</t>
  </si>
  <si>
    <t>Puget Sound Energy [3]</t>
  </si>
  <si>
    <t>Washington</t>
  </si>
  <si>
    <t>Notes</t>
  </si>
  <si>
    <t>[1] FEMA National Risk Index, States and Territories - Expected Annual Loss (Table);</t>
  </si>
  <si>
    <t>https://hazards.fema.gov/nri/data-resources#csvDownload</t>
  </si>
  <si>
    <t>[2] Very Low = 1, Relatively Low = 2, Relatively Moderate = 3, Relatively High = 4, Very High = 5</t>
  </si>
  <si>
    <t>[3] S&amp;P Global Ratings, A Storm is Brewing: Extreme Weather Events Pressure North American Utilities' Credit Quality, November 9, 2023, p. 2</t>
  </si>
  <si>
    <t>2024-2027 CAPITAL EXPENDITURES AS A PERCENT OF 2023 PROJECTED NET PLANT</t>
  </si>
  <si>
    <t>($ Millions)</t>
  </si>
  <si>
    <t>2024-28</t>
  </si>
  <si>
    <t>Cap. Ex. /</t>
  </si>
  <si>
    <t>Net Plant</t>
  </si>
  <si>
    <t>Capital Spending per Share</t>
  </si>
  <si>
    <t>Common Shares Outstanding</t>
  </si>
  <si>
    <t>Capital Expenditures</t>
  </si>
  <si>
    <t xml:space="preserve">Evergy, Inc. </t>
  </si>
  <si>
    <t>Puget Sound Energy</t>
  </si>
  <si>
    <t>PSE</t>
  </si>
  <si>
    <t>Capital Expenditures [7]</t>
  </si>
  <si>
    <t>2023 Projected Rate Base [8]</t>
  </si>
  <si>
    <t>PSE CapEx Total (2024 - 2028)</t>
  </si>
  <si>
    <t>PSE CapEx Annual Average</t>
  </si>
  <si>
    <t>Proxy Group Median</t>
  </si>
  <si>
    <t>PSE as % Proxy Group Median</t>
  </si>
  <si>
    <t>[1] - [5] Source: Value Line, dated September 8, October 20, November 10, November 24, 2023.</t>
  </si>
  <si>
    <t xml:space="preserve">[6] Equals (Column [2] + [3] + [4] + [5]) /  Column [1] </t>
  </si>
  <si>
    <t>[7] Source: Exhibit JAK-5</t>
  </si>
  <si>
    <t>[8] Source: Exhibit DAD-1T</t>
  </si>
  <si>
    <t>Projected CAPEX / 2023 Projected Net Plant</t>
  </si>
  <si>
    <t>2024-2028</t>
  </si>
  <si>
    <t>For Chart</t>
  </si>
  <si>
    <t>X- Axis</t>
  </si>
  <si>
    <t>PSE / Proxy Group</t>
  </si>
  <si>
    <t>Source: AEB-12, pages 1-3 col. [6]</t>
  </si>
  <si>
    <t>Proxy Group Company</t>
  </si>
  <si>
    <t>Operating Subsidiary</t>
  </si>
  <si>
    <t>Service</t>
  </si>
  <si>
    <t>Electric fuel/gas commodity/purchase power</t>
  </si>
  <si>
    <t>Test Year</t>
  </si>
  <si>
    <t>Non-Volumetric Rate Design</t>
  </si>
  <si>
    <t>Capital Cost Recovery</t>
  </si>
  <si>
    <t>Revenue Decoupling</t>
  </si>
  <si>
    <t>Formula-based rates</t>
  </si>
  <si>
    <t>Straight Fixed-Variable Rate Design</t>
  </si>
  <si>
    <t>Non-Volumetric
Rate Design</t>
  </si>
  <si>
    <t>Traditional Generation</t>
  </si>
  <si>
    <t>Renewables/Non-
Traditional Generation</t>
  </si>
  <si>
    <t>Delivery
Infrastructure</t>
  </si>
  <si>
    <t>Environmental Compliance</t>
  </si>
  <si>
    <t>Northern Indiana Public Service Co.</t>
  </si>
  <si>
    <t>Electric</t>
  </si>
  <si>
    <t>Fully Forecast</t>
  </si>
  <si>
    <t>Partial</t>
  </si>
  <si>
    <t>Gas</t>
  </si>
  <si>
    <t>Columbia Gas of Kentucky Inc.</t>
  </si>
  <si>
    <t>Columbia Gas of Maryland Inc.</t>
  </si>
  <si>
    <t>Partially Forecast</t>
  </si>
  <si>
    <t>Columbia Gas of Ohio Inc.</t>
  </si>
  <si>
    <t>Columbia Gas of Pennsylvania Inc.</t>
  </si>
  <si>
    <t>Columbia Gas of Virginia Inc.</t>
  </si>
  <si>
    <t>Historical</t>
  </si>
  <si>
    <t>ALLETE (Minnesota Power)</t>
  </si>
  <si>
    <t>Interstate Power &amp; Light Co.</t>
  </si>
  <si>
    <t>Wisconsin Power &amp; Light Co.</t>
  </si>
  <si>
    <t>Ameren Illinois Co.</t>
  </si>
  <si>
    <t>Union Electric Co.</t>
  </si>
  <si>
    <t>Southwestern Electric Power Co.</t>
  </si>
  <si>
    <t>Indiana Michigan Power Co.</t>
  </si>
  <si>
    <t>Kentucky Power Co.</t>
  </si>
  <si>
    <t>Ohio Power Co.</t>
  </si>
  <si>
    <t>Public Service Co. of Oklahoma</t>
  </si>
  <si>
    <t>Kingsport Power Co.</t>
  </si>
  <si>
    <t>AEP Texas Inc.</t>
  </si>
  <si>
    <t>Texas (PUC)</t>
  </si>
  <si>
    <t>Appalachian Power Co.</t>
  </si>
  <si>
    <t>Appalachian Power Co./Wheeling Power Co.</t>
  </si>
  <si>
    <t>Alaska Electric Light and Power Co.</t>
  </si>
  <si>
    <t>Avista Corp.</t>
  </si>
  <si>
    <t>Yes - Sharing Band</t>
  </si>
  <si>
    <t>Black Hills Energy Arkansas Inc.</t>
  </si>
  <si>
    <t>Black Hills Colorado Electric Inc.</t>
  </si>
  <si>
    <t>Black Hills Gas Distribution LLC</t>
  </si>
  <si>
    <t>Black Hills Iowa Gas Utility Co.</t>
  </si>
  <si>
    <t>Black Hills/Kansas Gas Utility Co.</t>
  </si>
  <si>
    <t>Black Hills Nebraska Gas LLC</t>
  </si>
  <si>
    <t>Black Hills Power Inc.</t>
  </si>
  <si>
    <t>Black Hills Wyoming Gas LLC</t>
  </si>
  <si>
    <t>Cheyenne Light Fuel &amp; Power Co.</t>
  </si>
  <si>
    <t>Consumers Energy Co.</t>
  </si>
  <si>
    <t>Duke Energy Florida LLC</t>
  </si>
  <si>
    <t>Duke Energy Indiana LLC</t>
  </si>
  <si>
    <t>Duke Energy Kentucky Inc.</t>
  </si>
  <si>
    <t>Duke Energy Carolinas LLC/Duke Energy Progress LLC</t>
  </si>
  <si>
    <t>Piedmont Natural Gas Co. Inc.</t>
  </si>
  <si>
    <t>Full</t>
  </si>
  <si>
    <t>Duke Energy Ohio Inc.</t>
  </si>
  <si>
    <t>Entergy Arkansas LLC</t>
  </si>
  <si>
    <t>Entergy New Orleans LLC</t>
  </si>
  <si>
    <t>Louisiana-NOCC</t>
  </si>
  <si>
    <t>Entergy Louisiana LLC</t>
  </si>
  <si>
    <t>Louisiana</t>
  </si>
  <si>
    <t>Entergy Mississippi LLC</t>
  </si>
  <si>
    <t>Entergy Texas Inc.</t>
  </si>
  <si>
    <t>Texas</t>
  </si>
  <si>
    <t>Evergy Kansas Central Inc</t>
  </si>
  <si>
    <t>Evergy Metro Inc.</t>
  </si>
  <si>
    <t>Evergy Metro Inc</t>
  </si>
  <si>
    <t>Evergy Missouri West Inc.</t>
  </si>
  <si>
    <t>Idaho Power Co.</t>
  </si>
  <si>
    <t>Madison Gas &amp; Electric Co.</t>
  </si>
  <si>
    <t>Florida Power &amp; Light Co.</t>
  </si>
  <si>
    <t>Pivotal Utility Holdings Inc.</t>
  </si>
  <si>
    <t xml:space="preserve">Lone Star Transmission LLC </t>
  </si>
  <si>
    <t>Montana</t>
  </si>
  <si>
    <t>Oklahoma Gas &amp; Electric Co.</t>
  </si>
  <si>
    <t>Arizona Public Service Co.</t>
  </si>
  <si>
    <t>Arizona</t>
  </si>
  <si>
    <t>Portland General Electric Co.</t>
  </si>
  <si>
    <t>Alabama Power Co.</t>
  </si>
  <si>
    <t>Atlanta Gas Light Co.</t>
  </si>
  <si>
    <t>Georgia Power Co.</t>
  </si>
  <si>
    <t>Northern Illinois Gas Co.</t>
  </si>
  <si>
    <t>Mississippi Power Co.</t>
  </si>
  <si>
    <t>Chattanooga Gas Co.</t>
  </si>
  <si>
    <t>Virginia Natural Gas Inc.</t>
  </si>
  <si>
    <t>North Shore Gas Co.</t>
  </si>
  <si>
    <t>Peoples Gas Light &amp; Coke Co.</t>
  </si>
  <si>
    <t>Michigan Gas Utilities Corp.</t>
  </si>
  <si>
    <t>Upper Michigan Energy Resources Corp.</t>
  </si>
  <si>
    <t>Minnesota Energy Resources Corp.</t>
  </si>
  <si>
    <t>Wisconsin Electric Power Co.</t>
  </si>
  <si>
    <t>Wisconsin Gas LLC</t>
  </si>
  <si>
    <t>Wisconsin Public Service Corp.</t>
  </si>
  <si>
    <t>Public Service Co. of Colorado</t>
  </si>
  <si>
    <t>Northern States Power Co.-Minnesota</t>
  </si>
  <si>
    <t xml:space="preserve">Southwestern Public Service Co. </t>
  </si>
  <si>
    <t>Southwestern Public Service Co.</t>
  </si>
  <si>
    <t>Northern States Power Co.-Wisconsin</t>
  </si>
  <si>
    <t>CCRM</t>
  </si>
  <si>
    <t>Forecast</t>
  </si>
  <si>
    <t>NVRD</t>
  </si>
  <si>
    <t>Puget Sound Energy [12]</t>
  </si>
  <si>
    <t>Electric and Gas</t>
  </si>
  <si>
    <t>[1] Sources: S&amp;P Global Market Intelligence, Regulatory Focus: Adjustment Clauses, dated July 18, 2022. Operating subsidiaries not covered in this report were excluded from this exhibit.</t>
  </si>
  <si>
    <t>[2] Sources: Regulatory Research Associates, effective as of June 30, 2023</t>
  </si>
  <si>
    <t>[3] Sources: S&amp;P Global Market Intelligence, Regulatory Focus: Adjustment Clauses, dated July 18, 2022. Operating subsidiaries not covered in this report were excluded from this exhibit.</t>
  </si>
  <si>
    <t>[4] Sources: Company Form 10-K, Company Tariffs, S&amp;P Capital IQ Pro</t>
  </si>
  <si>
    <t>[5] Sources: S&amp;P Global Market Intelligence, Regulatory Focus: Adjustment Clauses, dated July 18, 2022.</t>
  </si>
  <si>
    <t>[6] Equals IF( AND( [2]=No, [3]=No, [4]=No), No, Yes)</t>
  </si>
  <si>
    <t>[7]- [10] Sources: S&amp;P Global Market Intelligence, Regulatory Focus: Adjustment Clauses, dated July 18, 2022.</t>
  </si>
  <si>
    <t>[11] Equals IF( AND( [6]=No, [7]=No, [8]=No, [9]=No), No, Yes)</t>
  </si>
  <si>
    <t>[12] Data provided by PSE.</t>
  </si>
  <si>
    <t>RRA JURISDICTIONAL RANKINGS</t>
  </si>
  <si>
    <t>Average/1</t>
  </si>
  <si>
    <t>Average/2</t>
  </si>
  <si>
    <t>Below Average/1</t>
  </si>
  <si>
    <t>Average/3</t>
  </si>
  <si>
    <t>Below Average/3</t>
  </si>
  <si>
    <t>Above Average/2</t>
  </si>
  <si>
    <t>Below Average/2</t>
  </si>
  <si>
    <t>Above Average/3</t>
  </si>
  <si>
    <t>Above Average/1</t>
  </si>
  <si>
    <t>Average/1 to Average/2</t>
  </si>
  <si>
    <t>[1] Source: State Regulatory Evaluations, Regulatory Research Associates, as of August 23, 2023.</t>
  </si>
  <si>
    <t xml:space="preserve">[2] AA/1= 1, AA/2= 2, AA/3= 3, A/1= 4, A/2= 5, A/3=6, BA/1= 7, BA/2= 8, BA/3= 9 </t>
  </si>
  <si>
    <t>S&amp;P JURISDICTIONAL RANKINGS</t>
  </si>
  <si>
    <t>S&amp;P</t>
  </si>
  <si>
    <t>Highly credit supportive</t>
  </si>
  <si>
    <t>Most credit supportive</t>
  </si>
  <si>
    <t>Very credit supportive</t>
  </si>
  <si>
    <t>More credit supportive</t>
  </si>
  <si>
    <t>Credit supportive</t>
  </si>
  <si>
    <t>Very Credit Supportive to Highly Credit Supportive</t>
  </si>
  <si>
    <t>[1] S&amp;P Global Ratings, "North American Utility Regulatory Jurisdictions Update: No Revised Assessments, But Notable Developments," July 10, 2023.</t>
  </si>
  <si>
    <t>[2] Most Credit Supp. = 1, Highly Credit Supp. = 2, Very Credit Supp. = 3, More Credit Supp. = 4, Credit Supp. = 5</t>
  </si>
  <si>
    <t>CAPITAL STRUCTURE ANALYSIS</t>
  </si>
  <si>
    <t>Most Recent 8 Quarters (2021Q3 - 2023Q2)</t>
  </si>
  <si>
    <t>Common</t>
  </si>
  <si>
    <t>Preferred</t>
  </si>
  <si>
    <t>Debt</t>
  </si>
  <si>
    <t>Ratio</t>
  </si>
  <si>
    <t xml:space="preserve">NWE </t>
  </si>
  <si>
    <t>OGE Energy Corp.</t>
  </si>
  <si>
    <t>The Southern Company</t>
  </si>
  <si>
    <t>WEC Energy Group, Inc.</t>
  </si>
  <si>
    <t>Maximum</t>
  </si>
  <si>
    <t>Minimum</t>
  </si>
  <si>
    <t>[1] Ratios are weighted by actual common capital, preferred capital, and long-term debt of the operating subsidiaries.</t>
  </si>
  <si>
    <t xml:space="preserve">[2] Electric and Natural Gas operating subsidiaries with data listed as N/A from S&amp;P Capital IQ have been excluded from the analysis.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</si>
</sst>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0.0"/>
    <numFmt numFmtId="165" formatCode="&quot;[&quot;#&quot;]&quot;"/>
    <numFmt numFmtId="166" formatCode="&quot;$&quot;#,##0.00"/>
    <numFmt numFmtId="167" formatCode="0.0000000%"/>
    <numFmt numFmtId="168" formatCode="0.0000000"/>
    <numFmt numFmtId="169" formatCode="_(* #,##0.0000_);_(* \(#,##0.0000\);_(* &quot;-&quot;??_);_(@_)"/>
    <numFmt numFmtId="170" formatCode="_(* #,##0.00000_);_(* \(#,##0.00000\);_(* &quot;-&quot;??_);_(@_)"/>
    <numFmt numFmtId="171" formatCode="_(* #,##0.0000000_);_(* \(#,##0.0000000\);_(* &quot;-&quot;??_);_(@_)"/>
    <numFmt numFmtId="172" formatCode="0.000"/>
    <numFmt numFmtId="173" formatCode="_(* #,##0_);_(* \(#,##0\);_(* &quot;-&quot;??_);_(@_)"/>
    <numFmt numFmtId="174" formatCode="&quot;$&quot;#,##0.0"/>
    <numFmt numFmtId="175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u/>
      <sz val="10"/>
      <color theme="10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i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color rgb="FF0000FF"/>
      <name val="Times New Roman"/>
      <family val="1"/>
    </font>
    <font>
      <i/>
      <sz val="10"/>
      <name val="Times New Roman"/>
      <family val="1"/>
    </font>
    <font>
      <u/>
      <sz val="12"/>
      <color theme="10"/>
      <name val="Times New Roman"/>
      <family val="1"/>
    </font>
    <font>
      <i/>
      <sz val="12"/>
      <name val="Times New Roman"/>
      <family val="1"/>
    </font>
    <font>
      <sz val="10"/>
      <color theme="0"/>
      <name val="Times New Roman"/>
      <family val="1"/>
    </font>
    <font>
      <u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NumberFormat="0" applyBorder="0" applyProtection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/>
    <xf numFmtId="0" fontId="5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</cellStyleXfs>
  <cellXfs count="417">
    <xf numFmtId="0" fontId="0" fillId="0" borderId="0" xfId="0"/>
    <xf numFmtId="0" fontId="11" fillId="0" borderId="0" xfId="0" applyFont="1"/>
    <xf numFmtId="0" fontId="8" fillId="0" borderId="0" xfId="0" applyFont="1"/>
    <xf numFmtId="0" fontId="8" fillId="0" borderId="4" xfId="0" applyFont="1" applyBorder="1"/>
    <xf numFmtId="0" fontId="6" fillId="0" borderId="0" xfId="3" applyFont="1" applyAlignment="1">
      <alignment horizontal="center" wrapText="1"/>
    </xf>
    <xf numFmtId="0" fontId="6" fillId="0" borderId="0" xfId="3" applyFont="1" applyAlignment="1">
      <alignment wrapText="1"/>
    </xf>
    <xf numFmtId="0" fontId="13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6" fillId="0" borderId="0" xfId="4" applyFont="1" applyAlignment="1">
      <alignment horizontal="right" vertical="center"/>
    </xf>
    <xf numFmtId="10" fontId="6" fillId="0" borderId="0" xfId="4" applyNumberFormat="1" applyFont="1" applyAlignment="1">
      <alignment horizontal="center" vertical="center" wrapText="1"/>
    </xf>
    <xf numFmtId="164" fontId="6" fillId="0" borderId="0" xfId="4" applyNumberFormat="1" applyFont="1" applyAlignment="1">
      <alignment horizontal="center" vertical="center" wrapText="1"/>
    </xf>
    <xf numFmtId="10" fontId="6" fillId="0" borderId="0" xfId="3" applyNumberFormat="1" applyFont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10" fontId="6" fillId="0" borderId="4" xfId="4" applyNumberFormat="1" applyFont="1" applyBorder="1" applyAlignment="1">
      <alignment horizontal="center" vertical="center" wrapText="1"/>
    </xf>
    <xf numFmtId="43" fontId="6" fillId="0" borderId="0" xfId="5" applyFont="1" applyFill="1" applyBorder="1" applyAlignment="1">
      <alignment horizontal="right" vertical="center" wrapText="1"/>
    </xf>
    <xf numFmtId="10" fontId="6" fillId="0" borderId="0" xfId="4" applyNumberFormat="1" applyFont="1" applyAlignment="1">
      <alignment horizontal="right" vertical="center"/>
    </xf>
    <xf numFmtId="0" fontId="9" fillId="0" borderId="0" xfId="0" applyFont="1"/>
    <xf numFmtId="0" fontId="15" fillId="0" borderId="0" xfId="4" applyFont="1" applyAlignment="1">
      <alignment horizontal="right" vertical="center"/>
    </xf>
    <xf numFmtId="10" fontId="6" fillId="0" borderId="0" xfId="2" applyNumberFormat="1" applyFont="1" applyAlignment="1">
      <alignment horizontal="center" vertical="center" wrapText="1"/>
    </xf>
    <xf numFmtId="0" fontId="6" fillId="0" borderId="0" xfId="3" applyFont="1"/>
    <xf numFmtId="0" fontId="6" fillId="0" borderId="0" xfId="4" applyFont="1"/>
    <xf numFmtId="0" fontId="16" fillId="0" borderId="0" xfId="3" applyFont="1" applyAlignment="1">
      <alignment horizontal="center" vertical="center" wrapText="1"/>
    </xf>
    <xf numFmtId="0" fontId="9" fillId="0" borderId="0" xfId="6" applyFont="1" applyAlignment="1">
      <alignment horizontal="left" wrapText="1"/>
    </xf>
    <xf numFmtId="0" fontId="6" fillId="0" borderId="4" xfId="3" applyFont="1" applyBorder="1" applyAlignment="1">
      <alignment horizontal="center" vertical="center" wrapText="1"/>
    </xf>
    <xf numFmtId="10" fontId="6" fillId="0" borderId="4" xfId="3" applyNumberFormat="1" applyFont="1" applyBorder="1" applyAlignment="1">
      <alignment horizontal="center" vertical="center" wrapText="1"/>
    </xf>
    <xf numFmtId="0" fontId="9" fillId="0" borderId="4" xfId="0" applyFont="1" applyBorder="1"/>
    <xf numFmtId="0" fontId="5" fillId="0" borderId="0" xfId="7" applyFont="1"/>
    <xf numFmtId="0" fontId="5" fillId="0" borderId="0" xfId="6" applyFont="1" applyAlignment="1">
      <alignment horizontal="center"/>
    </xf>
    <xf numFmtId="10" fontId="5" fillId="0" borderId="0" xfId="2" applyNumberFormat="1" applyFont="1" applyAlignment="1">
      <alignment horizontal="center"/>
    </xf>
    <xf numFmtId="10" fontId="5" fillId="0" borderId="0" xfId="2" applyNumberFormat="1" applyFont="1" applyFill="1" applyAlignment="1">
      <alignment horizontal="center"/>
    </xf>
    <xf numFmtId="10" fontId="5" fillId="0" borderId="0" xfId="2" applyNumberFormat="1" applyFont="1" applyBorder="1" applyAlignment="1">
      <alignment horizontal="center"/>
    </xf>
    <xf numFmtId="0" fontId="5" fillId="0" borderId="4" xfId="6" applyFont="1" applyBorder="1" applyAlignment="1">
      <alignment horizontal="center"/>
    </xf>
    <xf numFmtId="10" fontId="5" fillId="0" borderId="4" xfId="2" applyNumberFormat="1" applyFont="1" applyBorder="1" applyAlignment="1">
      <alignment horizontal="center"/>
    </xf>
    <xf numFmtId="0" fontId="6" fillId="0" borderId="0" xfId="7" applyFont="1"/>
    <xf numFmtId="0" fontId="6" fillId="0" borderId="4" xfId="7" applyFont="1" applyBorder="1"/>
    <xf numFmtId="0" fontId="6" fillId="0" borderId="4" xfId="7" applyFont="1" applyBorder="1" applyAlignment="1">
      <alignment horizontal="center"/>
    </xf>
    <xf numFmtId="0" fontId="9" fillId="0" borderId="4" xfId="7" applyFont="1" applyBorder="1" applyAlignment="1">
      <alignment horizontal="center"/>
    </xf>
    <xf numFmtId="0" fontId="9" fillId="0" borderId="4" xfId="7" applyFont="1" applyBorder="1" applyAlignment="1">
      <alignment horizontal="center" wrapText="1"/>
    </xf>
    <xf numFmtId="0" fontId="6" fillId="0" borderId="0" xfId="6" applyFont="1"/>
    <xf numFmtId="0" fontId="6" fillId="0" borderId="0" xfId="6" applyFont="1" applyAlignment="1">
      <alignment horizontal="center"/>
    </xf>
    <xf numFmtId="0" fontId="6" fillId="0" borderId="0" xfId="7" applyFont="1" applyAlignment="1">
      <alignment horizontal="center"/>
    </xf>
    <xf numFmtId="10" fontId="6" fillId="0" borderId="0" xfId="2" applyNumberFormat="1" applyFont="1" applyAlignment="1">
      <alignment horizontal="center"/>
    </xf>
    <xf numFmtId="10" fontId="6" fillId="0" borderId="0" xfId="2" applyNumberFormat="1" applyFont="1"/>
    <xf numFmtId="10" fontId="6" fillId="0" borderId="0" xfId="7" applyNumberFormat="1" applyFont="1"/>
    <xf numFmtId="10" fontId="6" fillId="0" borderId="0" xfId="2" applyNumberFormat="1" applyFont="1" applyFill="1" applyAlignment="1">
      <alignment horizontal="center"/>
    </xf>
    <xf numFmtId="10" fontId="6" fillId="0" borderId="0" xfId="2" applyNumberFormat="1" applyFont="1" applyFill="1"/>
    <xf numFmtId="10" fontId="6" fillId="0" borderId="0" xfId="2" applyNumberFormat="1" applyFont="1" applyBorder="1" applyAlignment="1">
      <alignment horizontal="center"/>
    </xf>
    <xf numFmtId="0" fontId="6" fillId="0" borderId="4" xfId="6" applyFont="1" applyBorder="1"/>
    <xf numFmtId="0" fontId="6" fillId="0" borderId="4" xfId="6" applyFont="1" applyBorder="1" applyAlignment="1">
      <alignment horizontal="center"/>
    </xf>
    <xf numFmtId="10" fontId="6" fillId="0" borderId="4" xfId="2" applyNumberFormat="1" applyFont="1" applyBorder="1" applyAlignment="1">
      <alignment horizontal="center"/>
    </xf>
    <xf numFmtId="14" fontId="6" fillId="0" borderId="0" xfId="7" applyNumberFormat="1" applyFont="1" applyAlignment="1">
      <alignment horizontal="center"/>
    </xf>
    <xf numFmtId="0" fontId="18" fillId="0" borderId="0" xfId="8" applyFont="1"/>
    <xf numFmtId="0" fontId="18" fillId="0" borderId="0" xfId="8" applyFont="1" applyAlignment="1">
      <alignment horizontal="center"/>
    </xf>
    <xf numFmtId="0" fontId="11" fillId="0" borderId="0" xfId="8" applyFont="1" applyAlignment="1">
      <alignment horizontal="center"/>
    </xf>
    <xf numFmtId="0" fontId="11" fillId="0" borderId="0" xfId="8" applyFont="1"/>
    <xf numFmtId="165" fontId="11" fillId="0" borderId="2" xfId="0" applyNumberFormat="1" applyFont="1" applyBorder="1" applyAlignment="1">
      <alignment horizontal="center"/>
    </xf>
    <xf numFmtId="0" fontId="5" fillId="0" borderId="1" xfId="8" applyFont="1" applyBorder="1" applyAlignment="1">
      <alignment horizontal="center"/>
    </xf>
    <xf numFmtId="0" fontId="11" fillId="0" borderId="1" xfId="8" applyFont="1" applyBorder="1" applyAlignment="1">
      <alignment horizontal="center"/>
    </xf>
    <xf numFmtId="0" fontId="5" fillId="0" borderId="1" xfId="8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0" xfId="8" applyFont="1"/>
    <xf numFmtId="0" fontId="5" fillId="0" borderId="0" xfId="0" applyFont="1"/>
    <xf numFmtId="0" fontId="5" fillId="0" borderId="0" xfId="8" applyFont="1" applyAlignment="1">
      <alignment horizontal="center"/>
    </xf>
    <xf numFmtId="166" fontId="5" fillId="0" borderId="0" xfId="8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10" fontId="5" fillId="0" borderId="0" xfId="8" applyNumberFormat="1" applyFont="1" applyAlignment="1">
      <alignment horizontal="center"/>
    </xf>
    <xf numFmtId="10" fontId="11" fillId="0" borderId="0" xfId="2" applyNumberFormat="1" applyFont="1"/>
    <xf numFmtId="166" fontId="5" fillId="0" borderId="4" xfId="8" applyNumberFormat="1" applyFont="1" applyBorder="1" applyAlignment="1">
      <alignment horizontal="center"/>
    </xf>
    <xf numFmtId="10" fontId="5" fillId="0" borderId="4" xfId="8" applyNumberFormat="1" applyFont="1" applyBorder="1" applyAlignment="1">
      <alignment horizontal="center"/>
    </xf>
    <xf numFmtId="10" fontId="5" fillId="0" borderId="4" xfId="9" applyNumberFormat="1" applyFont="1" applyBorder="1" applyAlignment="1">
      <alignment horizontal="center"/>
    </xf>
    <xf numFmtId="0" fontId="5" fillId="0" borderId="3" xfId="8" applyFont="1" applyBorder="1"/>
    <xf numFmtId="0" fontId="11" fillId="0" borderId="3" xfId="8" applyFont="1" applyBorder="1"/>
    <xf numFmtId="0" fontId="11" fillId="0" borderId="3" xfId="8" applyFont="1" applyBorder="1" applyAlignment="1">
      <alignment horizontal="center"/>
    </xf>
    <xf numFmtId="10" fontId="11" fillId="0" borderId="3" xfId="8" applyNumberFormat="1" applyFont="1" applyBorder="1" applyAlignment="1">
      <alignment horizontal="center"/>
    </xf>
    <xf numFmtId="10" fontId="11" fillId="0" borderId="0" xfId="8" applyNumberFormat="1" applyFont="1" applyAlignment="1">
      <alignment horizontal="center"/>
    </xf>
    <xf numFmtId="0" fontId="11" fillId="0" borderId="4" xfId="10" applyFont="1" applyBorder="1"/>
    <xf numFmtId="0" fontId="11" fillId="0" borderId="0" xfId="10" applyFont="1"/>
    <xf numFmtId="43" fontId="11" fillId="0" borderId="0" xfId="1" applyFont="1" applyAlignment="1">
      <alignment horizontal="center"/>
    </xf>
    <xf numFmtId="0" fontId="11" fillId="0" borderId="0" xfId="0" applyFont="1" applyAlignment="1">
      <alignment horizontal="left"/>
    </xf>
    <xf numFmtId="10" fontId="5" fillId="0" borderId="0" xfId="2" applyNumberFormat="1" applyFont="1" applyFill="1" applyBorder="1" applyAlignment="1">
      <alignment horizontal="center"/>
    </xf>
    <xf numFmtId="0" fontId="5" fillId="0" borderId="4" xfId="8" applyFont="1" applyBorder="1"/>
    <xf numFmtId="0" fontId="5" fillId="0" borderId="4" xfId="8" applyFont="1" applyBorder="1" applyAlignment="1">
      <alignment horizontal="center"/>
    </xf>
    <xf numFmtId="10" fontId="5" fillId="0" borderId="4" xfId="2" applyNumberFormat="1" applyFont="1" applyFill="1" applyBorder="1" applyAlignment="1">
      <alignment horizontal="center"/>
    </xf>
    <xf numFmtId="0" fontId="11" fillId="0" borderId="0" xfId="7" applyFont="1"/>
    <xf numFmtId="0" fontId="11" fillId="0" borderId="0" xfId="7" applyFont="1" applyAlignment="1">
      <alignment horizontal="center"/>
    </xf>
    <xf numFmtId="0" fontId="11" fillId="0" borderId="1" xfId="7" applyFont="1" applyBorder="1" applyAlignment="1">
      <alignment horizontal="left"/>
    </xf>
    <xf numFmtId="0" fontId="11" fillId="0" borderId="1" xfId="7" applyFont="1" applyBorder="1" applyAlignment="1">
      <alignment horizontal="center"/>
    </xf>
    <xf numFmtId="0" fontId="11" fillId="0" borderId="1" xfId="7" applyFont="1" applyBorder="1" applyAlignment="1">
      <alignment horizontal="center" wrapText="1"/>
    </xf>
    <xf numFmtId="0" fontId="5" fillId="0" borderId="1" xfId="7" applyFont="1" applyBorder="1" applyAlignment="1">
      <alignment horizontal="center" wrapText="1"/>
    </xf>
    <xf numFmtId="0" fontId="11" fillId="0" borderId="0" xfId="7" applyFont="1" applyAlignment="1">
      <alignment horizontal="left"/>
    </xf>
    <xf numFmtId="10" fontId="11" fillId="0" borderId="0" xfId="2" applyNumberFormat="1" applyFont="1" applyFill="1" applyAlignment="1">
      <alignment horizontal="center"/>
    </xf>
    <xf numFmtId="2" fontId="11" fillId="0" borderId="3" xfId="7" applyNumberFormat="1" applyFont="1" applyBorder="1" applyAlignment="1">
      <alignment horizontal="center"/>
    </xf>
    <xf numFmtId="10" fontId="5" fillId="0" borderId="0" xfId="7" applyNumberFormat="1" applyFont="1" applyAlignment="1">
      <alignment horizontal="center"/>
    </xf>
    <xf numFmtId="10" fontId="11" fillId="0" borderId="0" xfId="7" applyNumberFormat="1" applyFont="1" applyAlignment="1">
      <alignment horizontal="center"/>
    </xf>
    <xf numFmtId="2" fontId="11" fillId="0" borderId="0" xfId="7" applyNumberFormat="1" applyFont="1" applyAlignment="1">
      <alignment horizontal="center"/>
    </xf>
    <xf numFmtId="0" fontId="11" fillId="0" borderId="3" xfId="7" applyFont="1" applyBorder="1"/>
    <xf numFmtId="0" fontId="11" fillId="0" borderId="3" xfId="7" applyFont="1" applyBorder="1" applyAlignment="1">
      <alignment horizontal="center"/>
    </xf>
    <xf numFmtId="10" fontId="11" fillId="0" borderId="3" xfId="7" applyNumberFormat="1" applyFont="1" applyBorder="1" applyAlignment="1">
      <alignment horizontal="center"/>
    </xf>
    <xf numFmtId="0" fontId="11" fillId="0" borderId="2" xfId="7" applyFont="1" applyBorder="1"/>
    <xf numFmtId="0" fontId="11" fillId="0" borderId="2" xfId="7" applyFont="1" applyBorder="1" applyAlignment="1">
      <alignment horizontal="center"/>
    </xf>
    <xf numFmtId="2" fontId="11" fillId="0" borderId="2" xfId="7" applyNumberFormat="1" applyFont="1" applyBorder="1" applyAlignment="1">
      <alignment horizontal="center"/>
    </xf>
    <xf numFmtId="10" fontId="11" fillId="0" borderId="2" xfId="7" applyNumberFormat="1" applyFont="1" applyBorder="1" applyAlignment="1">
      <alignment horizontal="center"/>
    </xf>
    <xf numFmtId="0" fontId="11" fillId="0" borderId="4" xfId="7" applyFont="1" applyBorder="1"/>
    <xf numFmtId="10" fontId="11" fillId="0" borderId="0" xfId="7" applyNumberFormat="1" applyFont="1" applyAlignment="1">
      <alignment horizontal="left"/>
    </xf>
    <xf numFmtId="10" fontId="5" fillId="0" borderId="3" xfId="7" applyNumberFormat="1" applyFont="1" applyBorder="1" applyAlignment="1">
      <alignment horizontal="center"/>
    </xf>
    <xf numFmtId="10" fontId="11" fillId="0" borderId="4" xfId="7" applyNumberFormat="1" applyFont="1" applyBorder="1" applyAlignment="1">
      <alignment horizontal="left"/>
    </xf>
    <xf numFmtId="10" fontId="11" fillId="0" borderId="4" xfId="7" applyNumberFormat="1" applyFont="1" applyBorder="1" applyAlignment="1">
      <alignment horizontal="center"/>
    </xf>
    <xf numFmtId="2" fontId="11" fillId="0" borderId="4" xfId="7" applyNumberFormat="1" applyFont="1" applyBorder="1" applyAlignment="1">
      <alignment horizontal="center"/>
    </xf>
    <xf numFmtId="10" fontId="5" fillId="0" borderId="4" xfId="7" applyNumberFormat="1" applyFont="1" applyBorder="1" applyAlignment="1">
      <alignment horizontal="center"/>
    </xf>
    <xf numFmtId="0" fontId="11" fillId="0" borderId="8" xfId="7" applyFont="1" applyBorder="1" applyAlignment="1">
      <alignment horizontal="center" wrapText="1"/>
    </xf>
    <xf numFmtId="10" fontId="11" fillId="0" borderId="0" xfId="7" applyNumberFormat="1" applyFont="1"/>
    <xf numFmtId="2" fontId="5" fillId="0" borderId="3" xfId="7" applyNumberFormat="1" applyFont="1" applyBorder="1" applyAlignment="1">
      <alignment horizontal="center"/>
    </xf>
    <xf numFmtId="2" fontId="5" fillId="0" borderId="0" xfId="7" applyNumberFormat="1" applyFont="1" applyAlignment="1">
      <alignment horizontal="center"/>
    </xf>
    <xf numFmtId="2" fontId="5" fillId="0" borderId="4" xfId="7" applyNumberFormat="1" applyFont="1" applyBorder="1" applyAlignment="1">
      <alignment horizontal="center"/>
    </xf>
    <xf numFmtId="10" fontId="11" fillId="0" borderId="0" xfId="2" applyNumberFormat="1" applyFont="1" applyAlignment="1">
      <alignment horizontal="center"/>
    </xf>
    <xf numFmtId="167" fontId="11" fillId="0" borderId="0" xfId="7" applyNumberFormat="1" applyFont="1"/>
    <xf numFmtId="0" fontId="5" fillId="0" borderId="2" xfId="0" applyFont="1" applyBorder="1"/>
    <xf numFmtId="0" fontId="11" fillId="0" borderId="1" xfId="7" applyFont="1" applyBorder="1"/>
    <xf numFmtId="14" fontId="5" fillId="0" borderId="4" xfId="0" applyNumberFormat="1" applyFont="1" applyBorder="1" applyAlignment="1">
      <alignment horizontal="center"/>
    </xf>
    <xf numFmtId="14" fontId="5" fillId="0" borderId="4" xfId="0" applyNumberFormat="1" applyFont="1" applyBorder="1"/>
    <xf numFmtId="14" fontId="5" fillId="0" borderId="4" xfId="0" applyNumberFormat="1" applyFont="1" applyBorder="1" applyAlignment="1">
      <alignment horizontal="center" wrapText="1"/>
    </xf>
    <xf numFmtId="2" fontId="5" fillId="0" borderId="0" xfId="12" applyNumberFormat="1" applyFont="1" applyFill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0" xfId="12" applyNumberFormat="1" applyFont="1" applyFill="1" applyBorder="1" applyAlignment="1">
      <alignment horizontal="center"/>
    </xf>
    <xf numFmtId="2" fontId="5" fillId="0" borderId="4" xfId="12" applyNumberFormat="1" applyFont="1" applyFill="1" applyBorder="1" applyAlignment="1">
      <alignment horizontal="center"/>
    </xf>
    <xf numFmtId="0" fontId="12" fillId="0" borderId="0" xfId="0" applyFont="1"/>
    <xf numFmtId="0" fontId="5" fillId="0" borderId="5" xfId="0" applyFont="1" applyBorder="1"/>
    <xf numFmtId="2" fontId="5" fillId="0" borderId="5" xfId="12" applyNumberFormat="1" applyFont="1" applyFill="1" applyBorder="1" applyAlignment="1">
      <alignment horizontal="center"/>
    </xf>
    <xf numFmtId="0" fontId="11" fillId="0" borderId="4" xfId="0" applyFont="1" applyBorder="1"/>
    <xf numFmtId="168" fontId="11" fillId="0" borderId="0" xfId="0" applyNumberFormat="1" applyFont="1"/>
    <xf numFmtId="0" fontId="19" fillId="0" borderId="0" xfId="6" applyFont="1"/>
    <xf numFmtId="0" fontId="11" fillId="0" borderId="0" xfId="6" applyFont="1"/>
    <xf numFmtId="0" fontId="19" fillId="0" borderId="0" xfId="6" applyFont="1" applyAlignment="1">
      <alignment horizontal="centerContinuous"/>
    </xf>
    <xf numFmtId="0" fontId="19" fillId="0" borderId="0" xfId="6" applyFont="1" applyAlignment="1">
      <alignment horizontal="center"/>
    </xf>
    <xf numFmtId="0" fontId="19" fillId="0" borderId="8" xfId="6" applyFont="1" applyBorder="1"/>
    <xf numFmtId="0" fontId="5" fillId="0" borderId="8" xfId="6" applyFont="1" applyBorder="1"/>
    <xf numFmtId="0" fontId="20" fillId="0" borderId="8" xfId="6" applyFont="1" applyBorder="1"/>
    <xf numFmtId="0" fontId="19" fillId="0" borderId="8" xfId="6" applyFont="1" applyBorder="1" applyAlignment="1">
      <alignment horizontal="center"/>
    </xf>
    <xf numFmtId="0" fontId="19" fillId="0" borderId="4" xfId="6" applyFont="1" applyBorder="1" applyAlignment="1">
      <alignment horizontal="center"/>
    </xf>
    <xf numFmtId="0" fontId="11" fillId="0" borderId="0" xfId="6" applyFont="1" applyAlignment="1">
      <alignment horizontal="center"/>
    </xf>
    <xf numFmtId="4" fontId="11" fillId="0" borderId="0" xfId="6" applyNumberFormat="1" applyFont="1" applyAlignment="1">
      <alignment horizontal="center"/>
    </xf>
    <xf numFmtId="10" fontId="19" fillId="0" borderId="0" xfId="6" applyNumberFormat="1" applyFont="1" applyAlignment="1">
      <alignment horizontal="center"/>
    </xf>
    <xf numFmtId="10" fontId="19" fillId="0" borderId="0" xfId="13" applyNumberFormat="1" applyFont="1" applyFill="1" applyAlignment="1">
      <alignment horizontal="center"/>
    </xf>
    <xf numFmtId="9" fontId="19" fillId="0" borderId="0" xfId="6" applyNumberFormat="1" applyFont="1"/>
    <xf numFmtId="10" fontId="19" fillId="0" borderId="0" xfId="13" applyNumberFormat="1" applyFont="1" applyFill="1" applyBorder="1" applyAlignment="1">
      <alignment horizontal="center"/>
    </xf>
    <xf numFmtId="0" fontId="19" fillId="0" borderId="4" xfId="6" applyFont="1" applyBorder="1"/>
    <xf numFmtId="0" fontId="11" fillId="0" borderId="0" xfId="6" applyFont="1" applyAlignment="1">
      <alignment wrapText="1"/>
    </xf>
    <xf numFmtId="0" fontId="11" fillId="0" borderId="0" xfId="18" applyFont="1">
      <alignment vertical="center"/>
    </xf>
    <xf numFmtId="0" fontId="5" fillId="0" borderId="0" xfId="15" applyFont="1"/>
    <xf numFmtId="0" fontId="5" fillId="0" borderId="0" xfId="15" applyFont="1" applyAlignment="1">
      <alignment horizontal="center"/>
    </xf>
    <xf numFmtId="0" fontId="5" fillId="0" borderId="1" xfId="15" applyFont="1" applyBorder="1" applyAlignment="1">
      <alignment horizontal="center"/>
    </xf>
    <xf numFmtId="0" fontId="5" fillId="0" borderId="1" xfId="15" applyFont="1" applyBorder="1" applyAlignment="1">
      <alignment horizontal="center" wrapText="1"/>
    </xf>
    <xf numFmtId="0" fontId="5" fillId="0" borderId="0" xfId="15" quotePrefix="1" applyFont="1" applyAlignment="1">
      <alignment horizontal="center"/>
    </xf>
    <xf numFmtId="10" fontId="5" fillId="0" borderId="0" xfId="16" applyNumberFormat="1" applyFont="1" applyAlignment="1">
      <alignment horizontal="center"/>
    </xf>
    <xf numFmtId="10" fontId="5" fillId="0" borderId="3" xfId="16" applyNumberFormat="1" applyFont="1" applyBorder="1" applyAlignment="1">
      <alignment horizontal="center"/>
    </xf>
    <xf numFmtId="10" fontId="5" fillId="0" borderId="0" xfId="16" applyNumberFormat="1" applyFont="1" applyBorder="1" applyAlignment="1">
      <alignment horizontal="center"/>
    </xf>
    <xf numFmtId="0" fontId="21" fillId="0" borderId="1" xfId="15" applyFont="1" applyBorder="1" applyAlignment="1">
      <alignment horizontal="centerContinuous"/>
    </xf>
    <xf numFmtId="171" fontId="5" fillId="0" borderId="0" xfId="1" applyNumberFormat="1" applyFont="1" applyFill="1" applyBorder="1" applyAlignment="1"/>
    <xf numFmtId="0" fontId="5" fillId="0" borderId="2" xfId="15" applyFont="1" applyBorder="1"/>
    <xf numFmtId="0" fontId="21" fillId="0" borderId="1" xfId="15" applyFont="1" applyBorder="1" applyAlignment="1">
      <alignment horizontal="center"/>
    </xf>
    <xf numFmtId="170" fontId="5" fillId="0" borderId="0" xfId="1" applyNumberFormat="1" applyFont="1" applyFill="1" applyBorder="1" applyAlignment="1"/>
    <xf numFmtId="170" fontId="5" fillId="0" borderId="2" xfId="1" applyNumberFormat="1" applyFont="1" applyFill="1" applyBorder="1" applyAlignment="1"/>
    <xf numFmtId="169" fontId="5" fillId="0" borderId="0" xfId="1" applyNumberFormat="1" applyFont="1" applyFill="1" applyBorder="1" applyAlignment="1"/>
    <xf numFmtId="43" fontId="5" fillId="0" borderId="0" xfId="1" applyFont="1" applyFill="1" applyBorder="1" applyAlignment="1"/>
    <xf numFmtId="169" fontId="5" fillId="0" borderId="2" xfId="1" applyNumberFormat="1" applyFont="1" applyFill="1" applyBorder="1" applyAlignment="1"/>
    <xf numFmtId="43" fontId="5" fillId="0" borderId="2" xfId="1" applyFont="1" applyFill="1" applyBorder="1" applyAlignment="1"/>
    <xf numFmtId="0" fontId="5" fillId="0" borderId="8" xfId="15" applyFont="1" applyBorder="1"/>
    <xf numFmtId="0" fontId="5" fillId="0" borderId="8" xfId="15" applyFont="1" applyBorder="1" applyAlignment="1">
      <alignment horizontal="center"/>
    </xf>
    <xf numFmtId="0" fontId="5" fillId="0" borderId="4" xfId="15" applyFont="1" applyBorder="1"/>
    <xf numFmtId="0" fontId="5" fillId="0" borderId="4" xfId="15" applyFont="1" applyBorder="1" applyAlignment="1">
      <alignment horizontal="center"/>
    </xf>
    <xf numFmtId="10" fontId="5" fillId="0" borderId="0" xfId="16" applyNumberFormat="1" applyFont="1" applyFill="1" applyBorder="1" applyAlignment="1">
      <alignment horizontal="center"/>
    </xf>
    <xf numFmtId="10" fontId="5" fillId="0" borderId="4" xfId="16" applyNumberFormat="1" applyFont="1" applyFill="1" applyBorder="1" applyAlignment="1">
      <alignment horizontal="center"/>
    </xf>
    <xf numFmtId="10" fontId="5" fillId="0" borderId="4" xfId="16" applyNumberFormat="1" applyFont="1" applyBorder="1" applyAlignment="1">
      <alignment horizontal="center"/>
    </xf>
    <xf numFmtId="0" fontId="5" fillId="0" borderId="9" xfId="15" applyFont="1" applyBorder="1"/>
    <xf numFmtId="10" fontId="5" fillId="0" borderId="9" xfId="16" applyNumberFormat="1" applyFont="1" applyBorder="1" applyAlignment="1">
      <alignment horizontal="center"/>
    </xf>
    <xf numFmtId="0" fontId="5" fillId="0" borderId="3" xfId="15" applyFont="1" applyBorder="1" applyAlignment="1">
      <alignment horizontal="center"/>
    </xf>
    <xf numFmtId="10" fontId="11" fillId="0" borderId="3" xfId="15" applyNumberFormat="1" applyFont="1" applyBorder="1" applyAlignment="1">
      <alignment horizontal="center"/>
    </xf>
    <xf numFmtId="0" fontId="5" fillId="0" borderId="2" xfId="15" applyFont="1" applyBorder="1" applyAlignment="1">
      <alignment horizontal="center"/>
    </xf>
    <xf numFmtId="10" fontId="11" fillId="0" borderId="2" xfId="15" applyNumberFormat="1" applyFont="1" applyBorder="1" applyAlignment="1">
      <alignment horizontal="center"/>
    </xf>
    <xf numFmtId="0" fontId="5" fillId="0" borderId="3" xfId="15" quotePrefix="1" applyFont="1" applyBorder="1" applyAlignment="1">
      <alignment horizontal="center"/>
    </xf>
    <xf numFmtId="0" fontId="5" fillId="0" borderId="2" xfId="15" quotePrefix="1" applyFont="1" applyBorder="1" applyAlignment="1">
      <alignment horizontal="center"/>
    </xf>
    <xf numFmtId="10" fontId="5" fillId="0" borderId="2" xfId="16" applyNumberFormat="1" applyFont="1" applyBorder="1" applyAlignment="1">
      <alignment horizontal="center"/>
    </xf>
    <xf numFmtId="0" fontId="11" fillId="0" borderId="0" xfId="46" applyFont="1"/>
    <xf numFmtId="0" fontId="10" fillId="0" borderId="0" xfId="21" applyFont="1" applyAlignment="1">
      <alignment horizontal="center" vertical="center" wrapText="1"/>
    </xf>
    <xf numFmtId="0" fontId="11" fillId="0" borderId="0" xfId="46" applyFont="1" applyAlignment="1">
      <alignment horizontal="center"/>
    </xf>
    <xf numFmtId="0" fontId="11" fillId="0" borderId="0" xfId="46" applyFont="1" applyAlignment="1">
      <alignment horizontal="center" wrapText="1"/>
    </xf>
    <xf numFmtId="0" fontId="11" fillId="0" borderId="8" xfId="46" applyFont="1" applyBorder="1"/>
    <xf numFmtId="0" fontId="11" fillId="0" borderId="8" xfId="46" applyFont="1" applyBorder="1" applyAlignment="1">
      <alignment horizontal="center"/>
    </xf>
    <xf numFmtId="0" fontId="11" fillId="0" borderId="1" xfId="46" applyFont="1" applyBorder="1" applyAlignment="1">
      <alignment horizontal="center" wrapText="1"/>
    </xf>
    <xf numFmtId="0" fontId="11" fillId="0" borderId="3" xfId="46" applyFont="1" applyBorder="1"/>
    <xf numFmtId="0" fontId="11" fillId="0" borderId="3" xfId="46" applyFont="1" applyBorder="1" applyAlignment="1">
      <alignment horizontal="center"/>
    </xf>
    <xf numFmtId="0" fontId="5" fillId="0" borderId="0" xfId="0" applyFont="1" applyAlignment="1">
      <alignment horizontal="center"/>
    </xf>
    <xf numFmtId="10" fontId="5" fillId="0" borderId="0" xfId="16" applyNumberFormat="1" applyFont="1" applyFill="1" applyAlignment="1">
      <alignment horizontal="center"/>
    </xf>
    <xf numFmtId="4" fontId="5" fillId="0" borderId="0" xfId="16" applyNumberFormat="1" applyFont="1" applyFill="1" applyAlignment="1">
      <alignment horizontal="center"/>
    </xf>
    <xf numFmtId="3" fontId="5" fillId="0" borderId="0" xfId="48" applyNumberFormat="1" applyFont="1" applyFill="1" applyAlignment="1">
      <alignment horizontal="center"/>
    </xf>
    <xf numFmtId="10" fontId="11" fillId="0" borderId="0" xfId="49" applyNumberFormat="1" applyFont="1" applyAlignment="1">
      <alignment horizontal="center"/>
    </xf>
    <xf numFmtId="172" fontId="11" fillId="0" borderId="0" xfId="46" applyNumberFormat="1" applyFont="1" applyAlignment="1">
      <alignment horizontal="center"/>
    </xf>
    <xf numFmtId="10" fontId="11" fillId="0" borderId="0" xfId="46" applyNumberFormat="1" applyFont="1" applyAlignment="1">
      <alignment horizontal="center"/>
    </xf>
    <xf numFmtId="169" fontId="11" fillId="0" borderId="0" xfId="48" applyNumberFormat="1" applyFont="1"/>
    <xf numFmtId="3" fontId="5" fillId="0" borderId="0" xfId="48" applyNumberFormat="1" applyFont="1" applyAlignment="1">
      <alignment horizontal="center"/>
    </xf>
    <xf numFmtId="0" fontId="5" fillId="0" borderId="3" xfId="10" applyFont="1" applyBorder="1" applyAlignment="1">
      <alignment horizontal="left" vertical="center"/>
    </xf>
    <xf numFmtId="0" fontId="10" fillId="0" borderId="3" xfId="46" applyFont="1" applyBorder="1" applyAlignment="1">
      <alignment horizontal="center"/>
    </xf>
    <xf numFmtId="10" fontId="5" fillId="0" borderId="3" xfId="50" applyNumberFormat="1" applyFont="1" applyBorder="1" applyAlignment="1">
      <alignment horizontal="center"/>
    </xf>
    <xf numFmtId="0" fontId="11" fillId="0" borderId="2" xfId="46" applyFont="1" applyBorder="1"/>
    <xf numFmtId="0" fontId="11" fillId="0" borderId="2" xfId="46" applyFont="1" applyBorder="1" applyAlignment="1">
      <alignment horizontal="center"/>
    </xf>
    <xf numFmtId="0" fontId="10" fillId="0" borderId="2" xfId="46" applyFont="1" applyBorder="1" applyAlignment="1">
      <alignment horizontal="center"/>
    </xf>
    <xf numFmtId="10" fontId="11" fillId="0" borderId="2" xfId="46" applyNumberFormat="1" applyFont="1" applyBorder="1" applyAlignment="1">
      <alignment horizontal="center" vertical="center"/>
    </xf>
    <xf numFmtId="0" fontId="10" fillId="0" borderId="0" xfId="21" applyFont="1"/>
    <xf numFmtId="0" fontId="11" fillId="0" borderId="4" xfId="46" applyFont="1" applyBorder="1"/>
    <xf numFmtId="0" fontId="11" fillId="0" borderId="0" xfId="46" applyFont="1" applyAlignment="1">
      <alignment horizontal="left"/>
    </xf>
    <xf numFmtId="3" fontId="11" fillId="0" borderId="0" xfId="46" applyNumberFormat="1" applyFont="1"/>
    <xf numFmtId="173" fontId="11" fillId="0" borderId="0" xfId="48" applyNumberFormat="1" applyFont="1" applyFill="1"/>
    <xf numFmtId="173" fontId="11" fillId="0" borderId="0" xfId="48" applyNumberFormat="1" applyFont="1"/>
    <xf numFmtId="173" fontId="11" fillId="0" borderId="0" xfId="46" applyNumberFormat="1" applyFont="1"/>
    <xf numFmtId="43" fontId="11" fillId="0" borderId="0" xfId="46" applyNumberFormat="1" applyFont="1"/>
    <xf numFmtId="10" fontId="11" fillId="0" borderId="0" xfId="47" applyNumberFormat="1" applyFont="1" applyFill="1"/>
    <xf numFmtId="10" fontId="11" fillId="0" borderId="0" xfId="47" applyNumberFormat="1" applyFont="1"/>
    <xf numFmtId="0" fontId="11" fillId="0" borderId="0" xfId="29" applyFont="1"/>
    <xf numFmtId="0" fontId="5" fillId="0" borderId="0" xfId="32" applyFont="1"/>
    <xf numFmtId="0" fontId="11" fillId="0" borderId="0" xfId="41" applyFont="1"/>
    <xf numFmtId="0" fontId="5" fillId="0" borderId="0" xfId="32" applyFont="1" applyAlignment="1">
      <alignment horizontal="center"/>
    </xf>
    <xf numFmtId="0" fontId="5" fillId="0" borderId="8" xfId="32" applyFont="1" applyBorder="1"/>
    <xf numFmtId="0" fontId="5" fillId="0" borderId="8" xfId="32" applyFont="1" applyBorder="1" applyAlignment="1">
      <alignment horizontal="left"/>
    </xf>
    <xf numFmtId="0" fontId="5" fillId="0" borderId="4" xfId="32" applyFont="1" applyBorder="1"/>
    <xf numFmtId="0" fontId="11" fillId="0" borderId="4" xfId="32" applyFont="1" applyBorder="1" applyAlignment="1">
      <alignment horizontal="center"/>
    </xf>
    <xf numFmtId="0" fontId="5" fillId="0" borderId="4" xfId="32" applyFont="1" applyBorder="1" applyAlignment="1">
      <alignment horizontal="center"/>
    </xf>
    <xf numFmtId="0" fontId="5" fillId="0" borderId="4" xfId="32" applyFont="1" applyBorder="1" applyAlignment="1">
      <alignment horizontal="center" wrapText="1"/>
    </xf>
    <xf numFmtId="0" fontId="18" fillId="0" borderId="6" xfId="29" applyFont="1" applyBorder="1" applyAlignment="1">
      <alignment horizontal="center"/>
    </xf>
    <xf numFmtId="0" fontId="18" fillId="0" borderId="7" xfId="29" applyFont="1" applyBorder="1" applyAlignment="1">
      <alignment horizontal="center"/>
    </xf>
    <xf numFmtId="0" fontId="11" fillId="0" borderId="0" xfId="29" applyFont="1" applyAlignment="1">
      <alignment horizontal="center"/>
    </xf>
    <xf numFmtId="0" fontId="11" fillId="0" borderId="11" xfId="29" applyFont="1" applyBorder="1"/>
    <xf numFmtId="0" fontId="11" fillId="0" borderId="12" xfId="29" applyFont="1" applyBorder="1" applyAlignment="1">
      <alignment horizontal="center"/>
    </xf>
    <xf numFmtId="0" fontId="11" fillId="0" borderId="13" xfId="29" applyFont="1" applyBorder="1"/>
    <xf numFmtId="0" fontId="11" fillId="0" borderId="14" xfId="29" applyFont="1" applyBorder="1" applyAlignment="1">
      <alignment horizontal="center"/>
    </xf>
    <xf numFmtId="0" fontId="11" fillId="0" borderId="15" xfId="29" applyFont="1" applyBorder="1"/>
    <xf numFmtId="0" fontId="11" fillId="0" borderId="16" xfId="29" applyFont="1" applyBorder="1" applyAlignment="1">
      <alignment horizontal="center"/>
    </xf>
    <xf numFmtId="0" fontId="5" fillId="0" borderId="5" xfId="43" applyFont="1" applyBorder="1" applyAlignment="1">
      <alignment vertical="center"/>
    </xf>
    <xf numFmtId="0" fontId="11" fillId="0" borderId="5" xfId="31" applyFont="1" applyBorder="1" applyAlignment="1">
      <alignment vertical="center"/>
    </xf>
    <xf numFmtId="2" fontId="11" fillId="0" borderId="5" xfId="31" applyNumberFormat="1" applyFont="1" applyBorder="1" applyAlignment="1">
      <alignment horizontal="center" vertical="center" wrapText="1"/>
    </xf>
    <xf numFmtId="2" fontId="5" fillId="0" borderId="5" xfId="31" applyNumberFormat="1" applyFont="1" applyBorder="1" applyAlignment="1">
      <alignment horizontal="center" vertical="center"/>
    </xf>
    <xf numFmtId="0" fontId="11" fillId="0" borderId="9" xfId="43" applyFont="1" applyBorder="1"/>
    <xf numFmtId="0" fontId="5" fillId="0" borderId="9" xfId="31" applyFont="1" applyBorder="1"/>
    <xf numFmtId="0" fontId="5" fillId="0" borderId="9" xfId="31" applyFont="1" applyBorder="1" applyAlignment="1">
      <alignment horizontal="center"/>
    </xf>
    <xf numFmtId="0" fontId="11" fillId="0" borderId="9" xfId="29" applyFont="1" applyBorder="1" applyAlignment="1">
      <alignment horizontal="center"/>
    </xf>
    <xf numFmtId="0" fontId="5" fillId="0" borderId="4" xfId="44" applyFont="1" applyBorder="1"/>
    <xf numFmtId="0" fontId="9" fillId="0" borderId="0" xfId="29" applyFont="1"/>
    <xf numFmtId="0" fontId="6" fillId="0" borderId="0" xfId="32" applyFont="1"/>
    <xf numFmtId="0" fontId="9" fillId="0" borderId="0" xfId="41" applyFont="1"/>
    <xf numFmtId="0" fontId="6" fillId="0" borderId="0" xfId="32" applyFont="1" applyAlignment="1">
      <alignment horizontal="center"/>
    </xf>
    <xf numFmtId="0" fontId="6" fillId="0" borderId="8" xfId="32" applyFont="1" applyBorder="1"/>
    <xf numFmtId="0" fontId="6" fillId="0" borderId="8" xfId="32" applyFont="1" applyBorder="1" applyAlignment="1">
      <alignment horizontal="left"/>
    </xf>
    <xf numFmtId="0" fontId="6" fillId="0" borderId="4" xfId="32" applyFont="1" applyBorder="1"/>
    <xf numFmtId="0" fontId="9" fillId="0" borderId="4" xfId="32" applyFont="1" applyBorder="1" applyAlignment="1">
      <alignment horizontal="center"/>
    </xf>
    <xf numFmtId="0" fontId="6" fillId="0" borderId="4" xfId="32" applyFont="1" applyBorder="1" applyAlignment="1">
      <alignment horizontal="center"/>
    </xf>
    <xf numFmtId="0" fontId="6" fillId="0" borderId="4" xfId="32" applyFont="1" applyBorder="1" applyAlignment="1">
      <alignment horizontal="center" wrapText="1"/>
    </xf>
    <xf numFmtId="0" fontId="17" fillId="0" borderId="6" xfId="29" applyFont="1" applyBorder="1" applyAlignment="1">
      <alignment horizontal="center"/>
    </xf>
    <xf numFmtId="0" fontId="17" fillId="0" borderId="7" xfId="29" applyFont="1" applyBorder="1" applyAlignment="1">
      <alignment horizontal="center"/>
    </xf>
    <xf numFmtId="0" fontId="9" fillId="0" borderId="0" xfId="29" applyFont="1" applyAlignment="1">
      <alignment horizontal="center"/>
    </xf>
    <xf numFmtId="0" fontId="9" fillId="0" borderId="11" xfId="29" applyFont="1" applyBorder="1"/>
    <xf numFmtId="0" fontId="9" fillId="0" borderId="12" xfId="29" applyFont="1" applyBorder="1" applyAlignment="1">
      <alignment horizontal="center"/>
    </xf>
    <xf numFmtId="0" fontId="9" fillId="0" borderId="13" xfId="29" applyFont="1" applyBorder="1"/>
    <xf numFmtId="0" fontId="9" fillId="0" borderId="14" xfId="29" applyFont="1" applyBorder="1" applyAlignment="1">
      <alignment horizontal="center"/>
    </xf>
    <xf numFmtId="0" fontId="9" fillId="0" borderId="15" xfId="29" applyFont="1" applyBorder="1"/>
    <xf numFmtId="0" fontId="9" fillId="0" borderId="16" xfId="29" applyFont="1" applyBorder="1" applyAlignment="1">
      <alignment horizontal="center"/>
    </xf>
    <xf numFmtId="0" fontId="6" fillId="0" borderId="5" xfId="43" applyFont="1" applyBorder="1" applyAlignment="1">
      <alignment vertical="center"/>
    </xf>
    <xf numFmtId="0" fontId="9" fillId="0" borderId="5" xfId="31" applyFont="1" applyBorder="1" applyAlignment="1">
      <alignment vertical="center"/>
    </xf>
    <xf numFmtId="2" fontId="9" fillId="0" borderId="5" xfId="31" applyNumberFormat="1" applyFont="1" applyBorder="1" applyAlignment="1">
      <alignment horizontal="center" vertical="center" wrapText="1"/>
    </xf>
    <xf numFmtId="2" fontId="6" fillId="0" borderId="5" xfId="31" applyNumberFormat="1" applyFont="1" applyBorder="1" applyAlignment="1">
      <alignment horizontal="center" vertical="center"/>
    </xf>
    <xf numFmtId="0" fontId="9" fillId="0" borderId="9" xfId="43" applyFont="1" applyBorder="1"/>
    <xf numFmtId="0" fontId="6" fillId="0" borderId="9" xfId="31" applyFont="1" applyBorder="1"/>
    <xf numFmtId="0" fontId="6" fillId="0" borderId="9" xfId="31" applyFont="1" applyBorder="1" applyAlignment="1">
      <alignment horizontal="center"/>
    </xf>
    <xf numFmtId="0" fontId="9" fillId="0" borderId="9" xfId="29" applyFont="1" applyBorder="1" applyAlignment="1">
      <alignment horizontal="center"/>
    </xf>
    <xf numFmtId="0" fontId="6" fillId="0" borderId="4" xfId="44" applyFont="1" applyBorder="1"/>
    <xf numFmtId="0" fontId="9" fillId="0" borderId="0" xfId="32" applyFont="1" applyAlignment="1">
      <alignment horizontal="left"/>
    </xf>
    <xf numFmtId="0" fontId="6" fillId="0" borderId="0" xfId="6" applyFont="1" applyAlignment="1">
      <alignment horizontal="left"/>
    </xf>
    <xf numFmtId="0" fontId="22" fillId="0" borderId="0" xfId="52" applyFont="1" applyFill="1" applyAlignment="1">
      <alignment horizontal="left"/>
    </xf>
    <xf numFmtId="0" fontId="5" fillId="0" borderId="0" xfId="10" applyFont="1" applyAlignment="1">
      <alignment horizontal="center"/>
    </xf>
    <xf numFmtId="0" fontId="11" fillId="0" borderId="0" xfId="10" applyFont="1" applyAlignment="1">
      <alignment horizontal="center"/>
    </xf>
    <xf numFmtId="0" fontId="6" fillId="0" borderId="0" xfId="10" applyFont="1"/>
    <xf numFmtId="0" fontId="23" fillId="0" borderId="0" xfId="10" applyFont="1"/>
    <xf numFmtId="0" fontId="23" fillId="0" borderId="8" xfId="10" applyFont="1" applyBorder="1"/>
    <xf numFmtId="0" fontId="6" fillId="0" borderId="8" xfId="10" applyFont="1" applyBorder="1"/>
    <xf numFmtId="0" fontId="6" fillId="0" borderId="8" xfId="10" applyFont="1" applyBorder="1" applyAlignment="1">
      <alignment horizontal="center"/>
    </xf>
    <xf numFmtId="0" fontId="6" fillId="0" borderId="4" xfId="10" applyFont="1" applyBorder="1"/>
    <xf numFmtId="0" fontId="6" fillId="0" borderId="4" xfId="10" applyFont="1" applyBorder="1" applyAlignment="1">
      <alignment horizontal="center"/>
    </xf>
    <xf numFmtId="0" fontId="9" fillId="0" borderId="0" xfId="10" applyFont="1"/>
    <xf numFmtId="0" fontId="9" fillId="0" borderId="0" xfId="10" applyFont="1" applyAlignment="1">
      <alignment horizontal="center"/>
    </xf>
    <xf numFmtId="166" fontId="6" fillId="0" borderId="0" xfId="10" applyNumberFormat="1" applyFont="1" applyAlignment="1">
      <alignment horizontal="center"/>
    </xf>
    <xf numFmtId="2" fontId="6" fillId="0" borderId="4" xfId="10" applyNumberFormat="1" applyFont="1" applyBorder="1" applyAlignment="1">
      <alignment horizontal="center"/>
    </xf>
    <xf numFmtId="174" fontId="6" fillId="0" borderId="0" xfId="10" applyNumberFormat="1" applyFont="1" applyAlignment="1">
      <alignment horizontal="center"/>
    </xf>
    <xf numFmtId="10" fontId="6" fillId="0" borderId="0" xfId="38" applyNumberFormat="1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9" fillId="0" borderId="0" xfId="10" applyFont="1" applyAlignment="1">
      <alignment horizontal="center" vertical="center"/>
    </xf>
    <xf numFmtId="9" fontId="6" fillId="0" borderId="0" xfId="38" applyFont="1" applyFill="1"/>
    <xf numFmtId="9" fontId="6" fillId="0" borderId="0" xfId="10" applyNumberFormat="1" applyFont="1"/>
    <xf numFmtId="166" fontId="6" fillId="0" borderId="0" xfId="10" applyNumberFormat="1" applyFont="1"/>
    <xf numFmtId="10" fontId="6" fillId="0" borderId="0" xfId="38" applyNumberFormat="1" applyFont="1" applyFill="1"/>
    <xf numFmtId="174" fontId="6" fillId="0" borderId="0" xfId="10" applyNumberFormat="1" applyFont="1"/>
    <xf numFmtId="43" fontId="6" fillId="0" borderId="0" xfId="27" applyFont="1" applyFill="1"/>
    <xf numFmtId="0" fontId="5" fillId="0" borderId="0" xfId="10" applyFont="1" applyAlignment="1">
      <alignment horizontal="centerContinuous"/>
    </xf>
    <xf numFmtId="0" fontId="11" fillId="0" borderId="0" xfId="10" applyFont="1" applyAlignment="1">
      <alignment horizontal="centerContinuous"/>
    </xf>
    <xf numFmtId="0" fontId="18" fillId="0" borderId="0" xfId="10" applyFont="1" applyAlignment="1">
      <alignment horizontal="centerContinuous"/>
    </xf>
    <xf numFmtId="0" fontId="24" fillId="0" borderId="0" xfId="10" applyFont="1"/>
    <xf numFmtId="0" fontId="11" fillId="0" borderId="4" xfId="10" applyFont="1" applyBorder="1" applyAlignment="1">
      <alignment horizontal="center"/>
    </xf>
    <xf numFmtId="0" fontId="24" fillId="0" borderId="0" xfId="10" applyFont="1" applyAlignment="1">
      <alignment horizontal="center"/>
    </xf>
    <xf numFmtId="0" fontId="5" fillId="0" borderId="0" xfId="10" applyFont="1"/>
    <xf numFmtId="10" fontId="5" fillId="0" borderId="0" xfId="10" applyNumberFormat="1" applyFont="1" applyAlignment="1">
      <alignment horizontal="center"/>
    </xf>
    <xf numFmtId="10" fontId="24" fillId="0" borderId="0" xfId="10" applyNumberFormat="1" applyFont="1"/>
    <xf numFmtId="0" fontId="5" fillId="0" borderId="3" xfId="10" applyFont="1" applyBorder="1"/>
    <xf numFmtId="0" fontId="11" fillId="0" borderId="3" xfId="10" applyFont="1" applyBorder="1"/>
    <xf numFmtId="10" fontId="5" fillId="0" borderId="3" xfId="38" applyNumberFormat="1" applyFont="1" applyBorder="1" applyAlignment="1">
      <alignment horizontal="center"/>
    </xf>
    <xf numFmtId="0" fontId="11" fillId="0" borderId="2" xfId="10" applyFont="1" applyBorder="1"/>
    <xf numFmtId="0" fontId="5" fillId="0" borderId="2" xfId="10" applyFont="1" applyBorder="1"/>
    <xf numFmtId="2" fontId="5" fillId="0" borderId="2" xfId="10" applyNumberFormat="1" applyFont="1" applyBorder="1" applyAlignment="1">
      <alignment horizontal="center"/>
    </xf>
    <xf numFmtId="2" fontId="5" fillId="0" borderId="0" xfId="10" applyNumberFormat="1" applyFont="1" applyAlignment="1">
      <alignment horizontal="center"/>
    </xf>
    <xf numFmtId="10" fontId="11" fillId="0" borderId="0" xfId="10" applyNumberFormat="1" applyFont="1"/>
    <xf numFmtId="0" fontId="11" fillId="0" borderId="2" xfId="6" applyFont="1" applyBorder="1"/>
    <xf numFmtId="0" fontId="11" fillId="0" borderId="2" xfId="6" applyFont="1" applyBorder="1" applyAlignment="1">
      <alignment horizontal="center"/>
    </xf>
    <xf numFmtId="0" fontId="18" fillId="0" borderId="8" xfId="6" applyFont="1" applyBorder="1" applyAlignment="1">
      <alignment horizontal="center" vertical="center" wrapText="1"/>
    </xf>
    <xf numFmtId="0" fontId="18" fillId="0" borderId="8" xfId="6" applyFont="1" applyBorder="1" applyAlignment="1">
      <alignment horizontal="center" vertical="center"/>
    </xf>
    <xf numFmtId="0" fontId="18" fillId="0" borderId="8" xfId="6" applyFont="1" applyBorder="1" applyAlignment="1">
      <alignment horizontal="center"/>
    </xf>
    <xf numFmtId="0" fontId="18" fillId="0" borderId="4" xfId="6" applyFont="1" applyBorder="1" applyAlignment="1">
      <alignment horizontal="center" vertical="center" wrapText="1"/>
    </xf>
    <xf numFmtId="0" fontId="18" fillId="0" borderId="4" xfId="6" applyFont="1" applyBorder="1" applyAlignment="1">
      <alignment horizontal="center" vertical="center"/>
    </xf>
    <xf numFmtId="0" fontId="18" fillId="0" borderId="4" xfId="29" applyFont="1" applyBorder="1" applyAlignment="1">
      <alignment horizontal="center" vertical="center" wrapText="1"/>
    </xf>
    <xf numFmtId="0" fontId="11" fillId="0" borderId="3" xfId="6" applyFont="1" applyBorder="1"/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3" xfId="6" applyFont="1" applyBorder="1" applyAlignment="1">
      <alignment horizontal="center" vertical="center"/>
    </xf>
    <xf numFmtId="0" fontId="11" fillId="0" borderId="3" xfId="29" applyFont="1" applyBorder="1" applyAlignment="1">
      <alignment vertical="center"/>
    </xf>
    <xf numFmtId="0" fontId="11" fillId="0" borderId="3" xfId="29" applyFont="1" applyBorder="1" applyAlignment="1">
      <alignment horizontal="center" vertical="center"/>
    </xf>
    <xf numFmtId="0" fontId="11" fillId="0" borderId="3" xfId="29" applyFont="1" applyBorder="1" applyAlignment="1">
      <alignment vertical="center" wrapText="1"/>
    </xf>
    <xf numFmtId="0" fontId="11" fillId="0" borderId="0" xfId="28" applyFont="1" applyAlignment="1">
      <alignment horizontal="left"/>
    </xf>
    <xf numFmtId="0" fontId="11" fillId="0" borderId="0" xfId="31" applyFont="1" applyAlignment="1">
      <alignment vertical="center"/>
    </xf>
    <xf numFmtId="0" fontId="11" fillId="0" borderId="0" xfId="28" applyFont="1"/>
    <xf numFmtId="10" fontId="11" fillId="0" borderId="0" xfId="38" applyNumberFormat="1" applyFont="1" applyAlignment="1">
      <alignment horizontal="center"/>
    </xf>
    <xf numFmtId="0" fontId="11" fillId="0" borderId="5" xfId="6" applyFont="1" applyBorder="1"/>
    <xf numFmtId="0" fontId="11" fillId="0" borderId="5" xfId="0" applyFont="1" applyBorder="1" applyAlignment="1">
      <alignment horizontal="left"/>
    </xf>
    <xf numFmtId="0" fontId="11" fillId="0" borderId="5" xfId="6" applyFont="1" applyBorder="1" applyAlignment="1">
      <alignment horizontal="center"/>
    </xf>
    <xf numFmtId="175" fontId="5" fillId="0" borderId="5" xfId="38" applyNumberFormat="1" applyFont="1" applyFill="1" applyBorder="1" applyAlignment="1">
      <alignment horizontal="center"/>
    </xf>
    <xf numFmtId="0" fontId="11" fillId="0" borderId="9" xfId="6" applyFont="1" applyBorder="1"/>
    <xf numFmtId="0" fontId="11" fillId="0" borderId="9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11" fillId="0" borderId="4" xfId="6" applyFont="1" applyBorder="1"/>
    <xf numFmtId="0" fontId="11" fillId="0" borderId="0" xfId="28" applyFont="1" applyAlignment="1">
      <alignment wrapText="1"/>
    </xf>
    <xf numFmtId="0" fontId="11" fillId="0" borderId="0" xfId="28" applyFont="1" applyAlignment="1">
      <alignment horizontal="left" wrapText="1"/>
    </xf>
    <xf numFmtId="0" fontId="11" fillId="0" borderId="0" xfId="6" applyFont="1" applyAlignment="1">
      <alignment vertical="top"/>
    </xf>
    <xf numFmtId="0" fontId="11" fillId="0" borderId="0" xfId="6" applyFont="1" applyAlignment="1">
      <alignment horizontal="center" vertical="top"/>
    </xf>
    <xf numFmtId="0" fontId="18" fillId="0" borderId="0" xfId="6" applyFont="1"/>
    <xf numFmtId="0" fontId="18" fillId="0" borderId="0" xfId="6" applyFont="1" applyAlignment="1">
      <alignment horizontal="center"/>
    </xf>
    <xf numFmtId="0" fontId="11" fillId="0" borderId="0" xfId="43" applyFont="1"/>
    <xf numFmtId="0" fontId="11" fillId="0" borderId="0" xfId="32" applyFont="1"/>
    <xf numFmtId="0" fontId="11" fillId="0" borderId="9" xfId="43" applyFont="1" applyBorder="1" applyAlignment="1">
      <alignment horizontal="center"/>
    </xf>
    <xf numFmtId="1" fontId="11" fillId="0" borderId="0" xfId="0" applyNumberFormat="1" applyFont="1" applyAlignment="1">
      <alignment horizontal="right"/>
    </xf>
    <xf numFmtId="0" fontId="11" fillId="0" borderId="0" xfId="17" applyFo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Continuous"/>
    </xf>
    <xf numFmtId="0" fontId="11" fillId="0" borderId="4" xfId="0" applyFont="1" applyBorder="1" applyAlignment="1">
      <alignment horizontal="centerContinuous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5" fillId="0" borderId="4" xfId="34" applyFont="1" applyBorder="1" applyAlignment="1">
      <alignment horizontal="center" vertical="center"/>
    </xf>
    <xf numFmtId="9" fontId="5" fillId="0" borderId="0" xfId="34" applyNumberFormat="1" applyFont="1" applyAlignment="1">
      <alignment horizontal="center"/>
    </xf>
    <xf numFmtId="0" fontId="11" fillId="0" borderId="0" xfId="0" applyFont="1" applyAlignment="1">
      <alignment horizontal="left" wrapText="1"/>
    </xf>
    <xf numFmtId="0" fontId="11" fillId="0" borderId="0" xfId="17" applyFont="1" applyAlignment="1">
      <alignment horizontal="center"/>
    </xf>
    <xf numFmtId="9" fontId="5" fillId="0" borderId="4" xfId="34" applyNumberFormat="1" applyFont="1" applyBorder="1" applyAlignment="1">
      <alignment horizontal="center"/>
    </xf>
    <xf numFmtId="0" fontId="5" fillId="0" borderId="0" xfId="34" applyFont="1" applyAlignment="1">
      <alignment horizontal="center"/>
    </xf>
    <xf numFmtId="0" fontId="11" fillId="0" borderId="0" xfId="0" applyFont="1" applyAlignment="1">
      <alignment horizontal="right"/>
    </xf>
    <xf numFmtId="10" fontId="5" fillId="0" borderId="0" xfId="34" applyNumberFormat="1" applyFont="1" applyAlignment="1">
      <alignment horizontal="center"/>
    </xf>
    <xf numFmtId="0" fontId="25" fillId="0" borderId="0" xfId="0" applyFont="1"/>
    <xf numFmtId="0" fontId="11" fillId="0" borderId="0" xfId="0" applyFont="1" applyAlignment="1">
      <alignment horizontal="left" vertical="top"/>
    </xf>
    <xf numFmtId="0" fontId="5" fillId="0" borderId="9" xfId="6" applyFont="1" applyBorder="1" applyAlignment="1">
      <alignment horizontal="center"/>
    </xf>
    <xf numFmtId="175" fontId="5" fillId="0" borderId="9" xfId="38" applyNumberFormat="1" applyFont="1" applyFill="1" applyBorder="1" applyAlignment="1">
      <alignment horizontal="center"/>
    </xf>
    <xf numFmtId="175" fontId="12" fillId="0" borderId="9" xfId="38" applyNumberFormat="1" applyFont="1" applyFill="1" applyBorder="1" applyAlignment="1">
      <alignment horizontal="center"/>
    </xf>
    <xf numFmtId="0" fontId="6" fillId="0" borderId="0" xfId="10" applyFont="1" applyAlignment="1">
      <alignment horizontal="center"/>
    </xf>
    <xf numFmtId="0" fontId="13" fillId="2" borderId="5" xfId="3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 wrapText="1"/>
    </xf>
    <xf numFmtId="0" fontId="13" fillId="2" borderId="10" xfId="3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7" applyFont="1" applyAlignment="1">
      <alignment horizontal="center"/>
    </xf>
    <xf numFmtId="0" fontId="6" fillId="0" borderId="0" xfId="7" applyFont="1" applyAlignment="1">
      <alignment horizontal="left" wrapText="1"/>
    </xf>
    <xf numFmtId="0" fontId="18" fillId="0" borderId="0" xfId="8" applyFont="1" applyAlignment="1">
      <alignment horizontal="center"/>
    </xf>
    <xf numFmtId="0" fontId="11" fillId="0" borderId="0" xfId="7" applyFont="1" applyAlignment="1">
      <alignment horizontal="center"/>
    </xf>
    <xf numFmtId="0" fontId="11" fillId="0" borderId="0" xfId="0" applyFont="1" applyAlignment="1">
      <alignment horizontal="center"/>
    </xf>
    <xf numFmtId="10" fontId="19" fillId="0" borderId="6" xfId="6" applyNumberFormat="1" applyFont="1" applyBorder="1" applyAlignment="1">
      <alignment horizontal="center"/>
    </xf>
    <xf numFmtId="10" fontId="19" fillId="0" borderId="7" xfId="6" applyNumberFormat="1" applyFont="1" applyBorder="1" applyAlignment="1">
      <alignment horizontal="center"/>
    </xf>
    <xf numFmtId="10" fontId="19" fillId="0" borderId="6" xfId="13" applyNumberFormat="1" applyFont="1" applyFill="1" applyBorder="1" applyAlignment="1">
      <alignment horizontal="center"/>
    </xf>
    <xf numFmtId="10" fontId="19" fillId="0" borderId="7" xfId="13" applyNumberFormat="1" applyFont="1" applyFill="1" applyBorder="1" applyAlignment="1">
      <alignment horizontal="center"/>
    </xf>
    <xf numFmtId="0" fontId="11" fillId="0" borderId="0" xfId="6" applyFont="1" applyAlignment="1">
      <alignment horizontal="center" wrapText="1"/>
    </xf>
    <xf numFmtId="0" fontId="11" fillId="0" borderId="0" xfId="18" applyFont="1" applyAlignment="1">
      <alignment horizontal="center" vertical="center"/>
    </xf>
    <xf numFmtId="0" fontId="11" fillId="0" borderId="0" xfId="46" applyFont="1" applyAlignment="1">
      <alignment horizontal="center"/>
    </xf>
    <xf numFmtId="0" fontId="17" fillId="0" borderId="0" xfId="32" applyFont="1" applyAlignment="1">
      <alignment horizontal="center"/>
    </xf>
    <xf numFmtId="0" fontId="14" fillId="0" borderId="0" xfId="32" applyFont="1" applyAlignment="1">
      <alignment horizontal="center"/>
    </xf>
    <xf numFmtId="0" fontId="6" fillId="0" borderId="1" xfId="32" applyFont="1" applyBorder="1" applyAlignment="1">
      <alignment horizontal="center"/>
    </xf>
    <xf numFmtId="0" fontId="17" fillId="0" borderId="0" xfId="29" applyFont="1" applyAlignment="1">
      <alignment horizontal="center"/>
    </xf>
    <xf numFmtId="0" fontId="6" fillId="0" borderId="0" xfId="10" applyFont="1" applyAlignment="1">
      <alignment horizontal="center"/>
    </xf>
    <xf numFmtId="0" fontId="23" fillId="0" borderId="0" xfId="10" applyFont="1" applyAlignment="1">
      <alignment horizontal="center"/>
    </xf>
    <xf numFmtId="0" fontId="11" fillId="0" borderId="3" xfId="29" applyFont="1" applyBorder="1" applyAlignment="1">
      <alignment horizontal="center" vertical="center"/>
    </xf>
    <xf numFmtId="0" fontId="11" fillId="0" borderId="3" xfId="29" applyFont="1" applyBorder="1" applyAlignment="1">
      <alignment horizontal="center"/>
    </xf>
    <xf numFmtId="0" fontId="11" fillId="0" borderId="0" xfId="28" applyFont="1" applyAlignment="1">
      <alignment horizontal="left" wrapText="1"/>
    </xf>
    <xf numFmtId="0" fontId="18" fillId="0" borderId="4" xfId="29" applyFont="1" applyBorder="1" applyAlignment="1">
      <alignment horizontal="center" vertical="center" wrapText="1"/>
    </xf>
    <xf numFmtId="0" fontId="10" fillId="0" borderId="4" xfId="37" applyFont="1" applyBorder="1" applyAlignment="1">
      <alignment horizontal="center" vertical="center" wrapText="1"/>
    </xf>
    <xf numFmtId="0" fontId="18" fillId="0" borderId="0" xfId="6" applyFont="1" applyAlignment="1">
      <alignment horizontal="center" vertical="center"/>
    </xf>
    <xf numFmtId="0" fontId="18" fillId="0" borderId="4" xfId="6" applyFont="1" applyBorder="1" applyAlignment="1">
      <alignment horizontal="center" vertical="center"/>
    </xf>
    <xf numFmtId="0" fontId="18" fillId="0" borderId="8" xfId="6" applyFont="1" applyBorder="1" applyAlignment="1">
      <alignment horizontal="center" vertical="center"/>
    </xf>
    <xf numFmtId="0" fontId="18" fillId="0" borderId="1" xfId="6" applyFont="1" applyBorder="1" applyAlignment="1">
      <alignment horizontal="center"/>
    </xf>
    <xf numFmtId="0" fontId="18" fillId="0" borderId="0" xfId="6" applyFont="1" applyAlignment="1">
      <alignment horizontal="center"/>
    </xf>
    <xf numFmtId="0" fontId="11" fillId="0" borderId="2" xfId="6" applyFont="1" applyBorder="1" applyAlignment="1">
      <alignment horizontal="center"/>
    </xf>
    <xf numFmtId="0" fontId="18" fillId="0" borderId="8" xfId="6" applyFont="1" applyBorder="1" applyAlignment="1">
      <alignment horizontal="center" vertical="center" wrapText="1"/>
    </xf>
    <xf numFmtId="0" fontId="18" fillId="0" borderId="4" xfId="6" applyFont="1" applyBorder="1" applyAlignment="1">
      <alignment horizontal="center" vertical="center" wrapText="1"/>
    </xf>
    <xf numFmtId="0" fontId="18" fillId="0" borderId="0" xfId="32" applyFont="1" applyAlignment="1">
      <alignment horizontal="center"/>
    </xf>
    <xf numFmtId="0" fontId="10" fillId="0" borderId="0" xfId="32" applyFont="1" applyAlignment="1">
      <alignment horizontal="center"/>
    </xf>
    <xf numFmtId="0" fontId="5" fillId="0" borderId="1" xfId="32" applyFont="1" applyBorder="1" applyAlignment="1">
      <alignment horizontal="center"/>
    </xf>
    <xf numFmtId="0" fontId="18" fillId="0" borderId="0" xfId="29" applyFont="1" applyAlignment="1">
      <alignment horizontal="center"/>
    </xf>
  </cellXfs>
  <cellStyles count="53">
    <cellStyle name="Comma" xfId="1" builtinId="3"/>
    <cellStyle name="Comma 10" xfId="5" xr:uid="{00000000-0005-0000-0000-000001000000}"/>
    <cellStyle name="Comma 101" xfId="12" xr:uid="{00000000-0005-0000-0000-000002000000}"/>
    <cellStyle name="Comma 2 2 21" xfId="27" xr:uid="{00000000-0005-0000-0000-000003000000}"/>
    <cellStyle name="Comma 4 17" xfId="23" xr:uid="{00000000-0005-0000-0000-000004000000}"/>
    <cellStyle name="Comma 4 17 3" xfId="48" xr:uid="{00000000-0005-0000-0000-000005000000}"/>
    <cellStyle name="Hyperlink" xfId="52" builtinId="8"/>
    <cellStyle name="Normal" xfId="0" builtinId="0"/>
    <cellStyle name="Normal 10 10" xfId="6" xr:uid="{00000000-0005-0000-0000-000008000000}"/>
    <cellStyle name="Normal 10 10 3 2" xfId="10" xr:uid="{00000000-0005-0000-0000-000009000000}"/>
    <cellStyle name="Normal 10 10 6 2" xfId="28" xr:uid="{00000000-0005-0000-0000-00000A000000}"/>
    <cellStyle name="Normal 10 10 8" xfId="29" xr:uid="{00000000-0005-0000-0000-00000B000000}"/>
    <cellStyle name="Normal 10 11 4" xfId="44" xr:uid="{00000000-0005-0000-0000-00000C000000}"/>
    <cellStyle name="Normal 10 21 3" xfId="45" xr:uid="{00000000-0005-0000-0000-00000D000000}"/>
    <cellStyle name="Normal 10 23 2" xfId="43" xr:uid="{00000000-0005-0000-0000-00000E000000}"/>
    <cellStyle name="Normal 12 10 2" xfId="41" xr:uid="{00000000-0005-0000-0000-00000F000000}"/>
    <cellStyle name="Normal 12 50" xfId="20" xr:uid="{00000000-0005-0000-0000-000010000000}"/>
    <cellStyle name="Normal 12 50 2" xfId="46" xr:uid="{00000000-0005-0000-0000-000011000000}"/>
    <cellStyle name="Normal 14 12 10 2 2 2" xfId="37" xr:uid="{00000000-0005-0000-0000-000012000000}"/>
    <cellStyle name="Normal 195 2" xfId="7" xr:uid="{00000000-0005-0000-0000-000013000000}"/>
    <cellStyle name="Normal 2" xfId="17" xr:uid="{00000000-0005-0000-0000-000014000000}"/>
    <cellStyle name="Normal 2 10 2" xfId="15" xr:uid="{00000000-0005-0000-0000-000015000000}"/>
    <cellStyle name="Normal 2 142 2" xfId="31" xr:uid="{00000000-0005-0000-0000-000016000000}"/>
    <cellStyle name="Normal 2 2" xfId="51" xr:uid="{00000000-0005-0000-0000-000017000000}"/>
    <cellStyle name="Normal 201" xfId="33" xr:uid="{00000000-0005-0000-0000-000018000000}"/>
    <cellStyle name="Normal 246" xfId="3" xr:uid="{00000000-0005-0000-0000-000019000000}"/>
    <cellStyle name="Normal 246 2" xfId="4" xr:uid="{00000000-0005-0000-0000-00001A000000}"/>
    <cellStyle name="Normal 252" xfId="8" xr:uid="{00000000-0005-0000-0000-00001B000000}"/>
    <cellStyle name="Normal 3" xfId="18" xr:uid="{00000000-0005-0000-0000-00001C000000}"/>
    <cellStyle name="Normal 3 115" xfId="14" xr:uid="{00000000-0005-0000-0000-00001D000000}"/>
    <cellStyle name="Normal 3 2" xfId="42" xr:uid="{00000000-0005-0000-0000-00001E000000}"/>
    <cellStyle name="Normal 4" xfId="19" xr:uid="{00000000-0005-0000-0000-00001F000000}"/>
    <cellStyle name="Normal 4 4 7" xfId="21" xr:uid="{00000000-0005-0000-0000-000020000000}"/>
    <cellStyle name="Normal 41" xfId="32" xr:uid="{00000000-0005-0000-0000-000021000000}"/>
    <cellStyle name="Normal 5 10 3" xfId="34" xr:uid="{00000000-0005-0000-0000-000022000000}"/>
    <cellStyle name="Normal 6 14" xfId="35" xr:uid="{00000000-0005-0000-0000-000023000000}"/>
    <cellStyle name="Normal 6 2 5" xfId="11" xr:uid="{00000000-0005-0000-0000-000024000000}"/>
    <cellStyle name="Normal 7 94" xfId="40" xr:uid="{00000000-0005-0000-0000-000025000000}"/>
    <cellStyle name="Normal 8 96 2 2 2 2 3" xfId="39" xr:uid="{00000000-0005-0000-0000-000026000000}"/>
    <cellStyle name="Percent" xfId="2" builtinId="5"/>
    <cellStyle name="Percent 2 155 2" xfId="26" xr:uid="{00000000-0005-0000-0000-000028000000}"/>
    <cellStyle name="Percent 2 155 2 3" xfId="38" xr:uid="{00000000-0005-0000-0000-000029000000}"/>
    <cellStyle name="Percent 2 16" xfId="16" xr:uid="{00000000-0005-0000-0000-00002A000000}"/>
    <cellStyle name="Percent 6 4" xfId="24" xr:uid="{00000000-0005-0000-0000-00002B000000}"/>
    <cellStyle name="Percent 6 4 3" xfId="49" xr:uid="{00000000-0005-0000-0000-00002C000000}"/>
    <cellStyle name="Percent 79" xfId="22" xr:uid="{00000000-0005-0000-0000-00002D000000}"/>
    <cellStyle name="Percent 79 3" xfId="47" xr:uid="{00000000-0005-0000-0000-00002E000000}"/>
    <cellStyle name="Percent 82" xfId="36" xr:uid="{00000000-0005-0000-0000-00002F000000}"/>
    <cellStyle name="Percent 88 3" xfId="25" xr:uid="{00000000-0005-0000-0000-000030000000}"/>
    <cellStyle name="Percent 88 3 2" xfId="50" xr:uid="{00000000-0005-0000-0000-000031000000}"/>
    <cellStyle name="Percent 94 2" xfId="30" xr:uid="{00000000-0005-0000-0000-000032000000}"/>
    <cellStyle name="Percent 95" xfId="9" xr:uid="{00000000-0005-0000-0000-000033000000}"/>
    <cellStyle name="Percent 96" xfId="13" xr:uid="{00000000-0005-0000-0000-000034000000}"/>
  </cellStyles>
  <dxfs count="22"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655559391632042E-2"/>
          <c:y val="5.3642428690465031E-2"/>
          <c:w val="0.90801958413493755"/>
          <c:h val="0.89534282300833379"/>
        </c:manualLayout>
      </c:layout>
      <c:scatterChart>
        <c:scatterStyle val="lineMarker"/>
        <c:varyColors val="0"/>
        <c:ser>
          <c:idx val="1"/>
          <c:order val="0"/>
          <c:tx>
            <c:strRef>
              <c:f>'AEB-3 Summary'!$H$3</c:f>
              <c:strCache>
                <c:ptCount val="1"/>
                <c:pt idx="0">
                  <c:v>Constant Growth Mean DCF 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'AEB-3 Summary'!$I$3:$I$5</c:f>
              <c:numCache>
                <c:formatCode>0.00%</c:formatCode>
                <c:ptCount val="3"/>
                <c:pt idx="0">
                  <c:v>8.9600136046873488E-2</c:v>
                </c:pt>
                <c:pt idx="1">
                  <c:v>0.10053395110553949</c:v>
                </c:pt>
                <c:pt idx="2">
                  <c:v>0.11074920125752059</c:v>
                </c:pt>
              </c:numCache>
            </c:numRef>
          </c:xVal>
          <c:yVal>
            <c:numRef>
              <c:f>'AEB-3 Summary'!$J$3:$J$5</c:f>
              <c:numCache>
                <c:formatCode>0.0</c:formatCode>
                <c:ptCount val="3"/>
                <c:pt idx="0">
                  <c:v>8</c:v>
                </c:pt>
                <c:pt idx="1">
                  <c:v>8</c:v>
                </c:pt>
                <c:pt idx="2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3E-42C7-ACF8-6105E9DDEF8C}"/>
            </c:ext>
          </c:extLst>
        </c:ser>
        <c:ser>
          <c:idx val="2"/>
          <c:order val="1"/>
          <c:tx>
            <c:strRef>
              <c:f>'AEB-3 Summary'!$H$6</c:f>
              <c:strCache>
                <c:ptCount val="1"/>
                <c:pt idx="0">
                  <c:v>Constant Growth Median DCF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'AEB-3 Summary'!$I$6:$I$8</c:f>
              <c:numCache>
                <c:formatCode>0.00%</c:formatCode>
                <c:ptCount val="3"/>
                <c:pt idx="0">
                  <c:v>9.1448161363253025E-2</c:v>
                </c:pt>
                <c:pt idx="1">
                  <c:v>9.9313210821388775E-2</c:v>
                </c:pt>
                <c:pt idx="2">
                  <c:v>0.11136523088522721</c:v>
                </c:pt>
              </c:numCache>
            </c:numRef>
          </c:xVal>
          <c:yVal>
            <c:numRef>
              <c:f>'AEB-3 Summary'!$J$6:$J$8</c:f>
              <c:numCache>
                <c:formatCode>0.0</c:formatCode>
                <c:ptCount val="3"/>
                <c:pt idx="0">
                  <c:v>7</c:v>
                </c:pt>
                <c:pt idx="1">
                  <c:v>7</c:v>
                </c:pt>
                <c:pt idx="2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3E-42C7-ACF8-6105E9DDEF8C}"/>
            </c:ext>
          </c:extLst>
        </c:ser>
        <c:ser>
          <c:idx val="4"/>
          <c:order val="2"/>
          <c:tx>
            <c:strRef>
              <c:f>'AEB-3 Summary'!$H$9</c:f>
              <c:strCache>
                <c:ptCount val="1"/>
                <c:pt idx="0">
                  <c:v>CAPM 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'AEB-3 Summary'!$I$9:$I$10</c:f>
              <c:numCache>
                <c:formatCode>0.00%</c:formatCode>
                <c:ptCount val="2"/>
                <c:pt idx="0">
                  <c:v>0.10411538350234723</c:v>
                </c:pt>
                <c:pt idx="1">
                  <c:v>0.11686118303071844</c:v>
                </c:pt>
              </c:numCache>
            </c:numRef>
          </c:xVal>
          <c:yVal>
            <c:numRef>
              <c:f>'AEB-3 Summary'!$J$9:$J$10</c:f>
              <c:numCache>
                <c:formatCode>0.0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3E-42C7-ACF8-6105E9DDEF8C}"/>
            </c:ext>
          </c:extLst>
        </c:ser>
        <c:ser>
          <c:idx val="9"/>
          <c:order val="3"/>
          <c:tx>
            <c:strRef>
              <c:f>'AEB-3 Summary'!$H$11</c:f>
              <c:strCache>
                <c:ptCount val="1"/>
                <c:pt idx="0">
                  <c:v>ECAPM 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'AEB-3 Summary'!$I$11:$I$12</c:f>
              <c:numCache>
                <c:formatCode>0.00%</c:formatCode>
                <c:ptCount val="2"/>
                <c:pt idx="0">
                  <c:v>0.10947903329671242</c:v>
                </c:pt>
                <c:pt idx="1">
                  <c:v>0.11903838294299085</c:v>
                </c:pt>
              </c:numCache>
            </c:numRef>
          </c:xVal>
          <c:yVal>
            <c:numRef>
              <c:f>'AEB-3 Summary'!$J$11:$J$12</c:f>
              <c:numCache>
                <c:formatCode>0.0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3E-42C7-ACF8-6105E9DDEF8C}"/>
            </c:ext>
          </c:extLst>
        </c:ser>
        <c:ser>
          <c:idx val="3"/>
          <c:order val="4"/>
          <c:tx>
            <c:strRef>
              <c:f>'AEB-3 Summary'!$H$15</c:f>
              <c:strCache>
                <c:ptCount val="1"/>
                <c:pt idx="0">
                  <c:v>Risk Premium (natural gas)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'AEB-3 Summary'!$I$15:$I$16</c:f>
              <c:numCache>
                <c:formatCode>0.00%</c:formatCode>
                <c:ptCount val="2"/>
                <c:pt idx="0">
                  <c:v>0.10219191579423781</c:v>
                </c:pt>
                <c:pt idx="1">
                  <c:v>0.10505515777388055</c:v>
                </c:pt>
              </c:numCache>
            </c:numRef>
          </c:xVal>
          <c:yVal>
            <c:numRef>
              <c:f>'AEB-3 Summary'!$J$15:$J$16</c:f>
              <c:numCache>
                <c:formatCode>0.0</c:formatCode>
                <c:ptCount val="2"/>
                <c:pt idx="0">
                  <c:v>3.25</c:v>
                </c:pt>
                <c:pt idx="1">
                  <c:v>3.25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3E-42C7-ACF8-6105E9DDEF8C}"/>
            </c:ext>
          </c:extLst>
        </c:ser>
        <c:ser>
          <c:idx val="0"/>
          <c:order val="5"/>
          <c:tx>
            <c:strRef>
              <c:f>'AEB-3 Summary'!$H$19</c:f>
              <c:strCache>
                <c:ptCount val="1"/>
                <c:pt idx="0">
                  <c:v>Low End ROE Recommendation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'AEB-3 Summary'!$I$19:$I$20</c:f>
              <c:numCache>
                <c:formatCode>0.00%</c:formatCode>
                <c:ptCount val="2"/>
                <c:pt idx="0">
                  <c:v>9.9000000000000005E-2</c:v>
                </c:pt>
                <c:pt idx="1">
                  <c:v>9.9000000000000005E-2</c:v>
                </c:pt>
              </c:numCache>
            </c:numRef>
          </c:xVal>
          <c:yVal>
            <c:numRef>
              <c:f>'AEB-3 Summary'!$J$19:$J$20</c:f>
              <c:numCache>
                <c:formatCode>0.0</c:formatCode>
                <c:ptCount val="2"/>
                <c:pt idx="0">
                  <c:v>0</c:v>
                </c:pt>
                <c:pt idx="1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E9-4EA6-9E1E-7CDA8ACADB43}"/>
            </c:ext>
          </c:extLst>
        </c:ser>
        <c:ser>
          <c:idx val="5"/>
          <c:order val="6"/>
          <c:tx>
            <c:strRef>
              <c:f>'AEB-3 Summary'!$H$21</c:f>
              <c:strCache>
                <c:ptCount val="1"/>
                <c:pt idx="0">
                  <c:v>High End ROE Recommendation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'AEB-3 Summary'!$I$21:$I$22</c:f>
              <c:numCache>
                <c:formatCode>0.00%</c:formatCode>
                <c:ptCount val="2"/>
                <c:pt idx="0">
                  <c:v>0.11</c:v>
                </c:pt>
                <c:pt idx="1">
                  <c:v>0.11</c:v>
                </c:pt>
              </c:numCache>
            </c:numRef>
          </c:xVal>
          <c:yVal>
            <c:numRef>
              <c:f>'AEB-3 Summary'!$J$21:$J$22</c:f>
              <c:numCache>
                <c:formatCode>0.0</c:formatCode>
                <c:ptCount val="2"/>
                <c:pt idx="0">
                  <c:v>0</c:v>
                </c:pt>
                <c:pt idx="1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E9-4EA6-9E1E-7CDA8ACADB43}"/>
            </c:ext>
          </c:extLst>
        </c:ser>
        <c:ser>
          <c:idx val="6"/>
          <c:order val="7"/>
          <c:tx>
            <c:strRef>
              <c:f>'AEB-3 Summary'!$H$25</c:f>
              <c:strCache>
                <c:ptCount val="1"/>
                <c:pt idx="0">
                  <c:v>Proposed ROE (2025)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'AEB-3 Summary'!$I$25</c:f>
              <c:numCache>
                <c:formatCode>0.00%</c:formatCode>
                <c:ptCount val="1"/>
                <c:pt idx="0">
                  <c:v>9.9500000000000005E-2</c:v>
                </c:pt>
              </c:numCache>
            </c:numRef>
          </c:xVal>
          <c:yVal>
            <c:numRef>
              <c:f>'AEB-3 Summary'!$J$25</c:f>
              <c:numCache>
                <c:formatCode>0.0</c:formatCode>
                <c:ptCount val="1"/>
                <c:pt idx="0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E9-4EA6-9E1E-7CDA8ACADB43}"/>
            </c:ext>
          </c:extLst>
        </c:ser>
        <c:ser>
          <c:idx val="7"/>
          <c:order val="8"/>
          <c:tx>
            <c:strRef>
              <c:f>'AEB-3 Summary'!$H$17</c:f>
              <c:strCache>
                <c:ptCount val="1"/>
                <c:pt idx="0">
                  <c:v>Expected Earnings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'AEB-3 Summary'!$I$17:$I$18</c:f>
              <c:numCache>
                <c:formatCode>0.00%</c:formatCode>
                <c:ptCount val="2"/>
                <c:pt idx="0">
                  <c:v>0.10309332565069569</c:v>
                </c:pt>
                <c:pt idx="1">
                  <c:v>0.10855188648206433</c:v>
                </c:pt>
              </c:numCache>
            </c:numRef>
          </c:xVal>
          <c:yVal>
            <c:numRef>
              <c:f>'AEB-3 Summary'!$J$17:$J$18</c:f>
              <c:numCache>
                <c:formatCode>0.0</c:formatCode>
                <c:ptCount val="2"/>
                <c:pt idx="0">
                  <c:v>2.5</c:v>
                </c:pt>
                <c:pt idx="1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02-4D47-AFD8-F64D70A68EB9}"/>
            </c:ext>
          </c:extLst>
        </c:ser>
        <c:ser>
          <c:idx val="8"/>
          <c:order val="9"/>
          <c:tx>
            <c:strRef>
              <c:f>'AEB-3 Summary'!$H$13</c:f>
              <c:strCache>
                <c:ptCount val="1"/>
                <c:pt idx="0">
                  <c:v>Risk Premium (electric)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'AEB-3 Summary'!$I$13:$I$14</c:f>
              <c:numCache>
                <c:formatCode>0.00%</c:formatCode>
                <c:ptCount val="2"/>
                <c:pt idx="0">
                  <c:v>0.10383630585688483</c:v>
                </c:pt>
                <c:pt idx="1">
                  <c:v>0.10679098480134493</c:v>
                </c:pt>
              </c:numCache>
            </c:numRef>
          </c:xVal>
          <c:yVal>
            <c:numRef>
              <c:f>'AEB-3 Summary'!$J$13:$J$14</c:f>
              <c:numCache>
                <c:formatCode>0.0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87-41B2-B941-7B173AFA7B32}"/>
            </c:ext>
          </c:extLst>
        </c:ser>
        <c:ser>
          <c:idx val="10"/>
          <c:order val="10"/>
          <c:tx>
            <c:strRef>
              <c:f>'AEB-3 Summary'!$H$26</c:f>
              <c:strCache>
                <c:ptCount val="1"/>
                <c:pt idx="0">
                  <c:v>Proposed ROE (2026)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diamond"/>
              <c:size val="11"/>
              <c:spPr>
                <a:solidFill>
                  <a:schemeClr val="tx1"/>
                </a:solidFill>
                <a:ln w="9525">
                  <a:solidFill>
                    <a:sysClr val="windowText" lastClr="0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855-47A6-A4D9-8E59DBA750A8}"/>
              </c:ext>
            </c:extLst>
          </c:dPt>
          <c:xVal>
            <c:numRef>
              <c:f>'AEB-3 Summary'!$I$26</c:f>
              <c:numCache>
                <c:formatCode>0.00%</c:formatCode>
                <c:ptCount val="1"/>
                <c:pt idx="0">
                  <c:v>0.105</c:v>
                </c:pt>
              </c:numCache>
            </c:numRef>
          </c:xVal>
          <c:yVal>
            <c:numRef>
              <c:f>'AEB-3 Summary'!$J$26</c:f>
              <c:numCache>
                <c:formatCode>0.0</c:formatCode>
                <c:ptCount val="1"/>
                <c:pt idx="0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55-47A6-A4D9-8E59DBA75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422656"/>
        <c:axId val="238432640"/>
      </c:scatterChart>
      <c:valAx>
        <c:axId val="238422656"/>
        <c:scaling>
          <c:orientation val="minMax"/>
          <c:max val="0.12000000000000001"/>
          <c:min val="7.5000000000000011E-2"/>
        </c:scaling>
        <c:delete val="0"/>
        <c:axPos val="b"/>
        <c:numFmt formatCode="0.00%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8432640"/>
        <c:crosses val="autoZero"/>
        <c:crossBetween val="midCat"/>
        <c:majorUnit val="5.0000000000000027E-3"/>
      </c:valAx>
      <c:valAx>
        <c:axId val="238432640"/>
        <c:scaling>
          <c:orientation val="minMax"/>
          <c:max val="9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38422656"/>
        <c:crossesAt val="0.1"/>
        <c:crossBetween val="midCat"/>
        <c:majorUnit val="1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3.5500229939206318E-2"/>
                  <c:y val="-0.473350415067011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y = -0.5621x + 0.0859</a:t>
                    </a:r>
                    <a:b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</a:b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R² = 0.8153</a:t>
                    </a:r>
                    <a:endParaRPr lang="en-US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'AEB-9 Risk Premium (Electric)'!$C$6:$C$133</c:f>
              <c:numCache>
                <c:formatCode>0.00%</c:formatCode>
                <c:ptCount val="128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7.6334374999999996E-2</c:v>
                </c:pt>
                <c:pt idx="13">
                  <c:v>6.9422222222222191E-2</c:v>
                </c:pt>
                <c:pt idx="14">
                  <c:v>6.7173015873015857E-2</c:v>
                </c:pt>
                <c:pt idx="15">
                  <c:v>6.2390476190476205E-2</c:v>
                </c:pt>
                <c:pt idx="16">
                  <c:v>6.2916923076923065E-2</c:v>
                </c:pt>
                <c:pt idx="17">
                  <c:v>6.9215384615384609E-2</c:v>
                </c:pt>
                <c:pt idx="18">
                  <c:v>6.9672727272727275E-2</c:v>
                </c:pt>
                <c:pt idx="19">
                  <c:v>6.6199999999999995E-2</c:v>
                </c:pt>
                <c:pt idx="20">
                  <c:v>6.8153124999999995E-2</c:v>
                </c:pt>
                <c:pt idx="21">
                  <c:v>6.9369230769230752E-2</c:v>
                </c:pt>
                <c:pt idx="22">
                  <c:v>6.5304545454545448E-2</c:v>
                </c:pt>
                <c:pt idx="23">
                  <c:v>6.1478125000000015E-2</c:v>
                </c:pt>
                <c:pt idx="24">
                  <c:v>5.884375E-2</c:v>
                </c:pt>
                <c:pt idx="25">
                  <c:v>5.8490769230769207E-2</c:v>
                </c:pt>
                <c:pt idx="26">
                  <c:v>5.4762121212121241E-2</c:v>
                </c:pt>
                <c:pt idx="27">
                  <c:v>5.1071212121212115E-2</c:v>
                </c:pt>
                <c:pt idx="28">
                  <c:v>5.3734374999999994E-2</c:v>
                </c:pt>
                <c:pt idx="29">
                  <c:v>5.7987692307692289E-2</c:v>
                </c:pt>
                <c:pt idx="30">
                  <c:v>6.040757575757575E-2</c:v>
                </c:pt>
                <c:pt idx="31">
                  <c:v>6.2559090909090911E-2</c:v>
                </c:pt>
                <c:pt idx="32">
                  <c:v>6.2958461538461505E-2</c:v>
                </c:pt>
                <c:pt idx="33">
                  <c:v>5.9787692307692299E-2</c:v>
                </c:pt>
                <c:pt idx="34">
                  <c:v>5.7932307692307693E-2</c:v>
                </c:pt>
                <c:pt idx="35">
                  <c:v>5.6907692307692305E-2</c:v>
                </c:pt>
                <c:pt idx="36">
                  <c:v>5.4464615384615396E-2</c:v>
                </c:pt>
                <c:pt idx="37">
                  <c:v>5.7016923076923069E-2</c:v>
                </c:pt>
                <c:pt idx="38">
                  <c:v>5.5250769230769207E-2</c:v>
                </c:pt>
                <c:pt idx="39">
                  <c:v>5.3019696969696967E-2</c:v>
                </c:pt>
                <c:pt idx="40">
                  <c:v>5.51578125E-2</c:v>
                </c:pt>
                <c:pt idx="41">
                  <c:v>5.6164615384615389E-2</c:v>
                </c:pt>
                <c:pt idx="42">
                  <c:v>5.0868181818181826E-2</c:v>
                </c:pt>
                <c:pt idx="43">
                  <c:v>4.9322727272727268E-2</c:v>
                </c:pt>
                <c:pt idx="44">
                  <c:v>4.8518749999999999E-2</c:v>
                </c:pt>
                <c:pt idx="45">
                  <c:v>4.6032307692307678E-2</c:v>
                </c:pt>
                <c:pt idx="46">
                  <c:v>5.113939393939395E-2</c:v>
                </c:pt>
                <c:pt idx="47">
                  <c:v>5.1146969696969691E-2</c:v>
                </c:pt>
                <c:pt idx="48">
                  <c:v>4.8776923076923072E-2</c:v>
                </c:pt>
                <c:pt idx="49">
                  <c:v>5.3353846153846154E-2</c:v>
                </c:pt>
                <c:pt idx="50">
                  <c:v>5.1074242424242439E-2</c:v>
                </c:pt>
                <c:pt idx="51">
                  <c:v>4.9322727272727296E-2</c:v>
                </c:pt>
                <c:pt idx="52">
                  <c:v>4.7070312500000003E-2</c:v>
                </c:pt>
                <c:pt idx="53">
                  <c:v>4.4709230769230765E-2</c:v>
                </c:pt>
                <c:pt idx="54">
                  <c:v>4.4228787878787867E-2</c:v>
                </c:pt>
                <c:pt idx="55">
                  <c:v>4.6523076923076924E-2</c:v>
                </c:pt>
                <c:pt idx="56">
                  <c:v>4.6270769230769213E-2</c:v>
                </c:pt>
                <c:pt idx="57">
                  <c:v>5.1427692307692299E-2</c:v>
                </c:pt>
                <c:pt idx="58">
                  <c:v>4.9955384615384631E-2</c:v>
                </c:pt>
                <c:pt idx="59">
                  <c:v>4.7423076923076908E-2</c:v>
                </c:pt>
                <c:pt idx="60">
                  <c:v>4.7975384615384635E-2</c:v>
                </c:pt>
                <c:pt idx="61">
                  <c:v>4.9892307692307715E-2</c:v>
                </c:pt>
                <c:pt idx="62">
                  <c:v>4.9499999999999982E-2</c:v>
                </c:pt>
                <c:pt idx="63">
                  <c:v>4.6140000000000014E-2</c:v>
                </c:pt>
                <c:pt idx="64">
                  <c:v>4.409538461538462E-2</c:v>
                </c:pt>
                <c:pt idx="65">
                  <c:v>4.5739999999999996E-2</c:v>
                </c:pt>
                <c:pt idx="66">
                  <c:v>4.4501515151515146E-2</c:v>
                </c:pt>
                <c:pt idx="67">
                  <c:v>3.6437500000000005E-2</c:v>
                </c:pt>
                <c:pt idx="68">
                  <c:v>3.4393749999999994E-2</c:v>
                </c:pt>
                <c:pt idx="69">
                  <c:v>4.1692307692307695E-2</c:v>
                </c:pt>
                <c:pt idx="70">
                  <c:v>4.321666666666666E-2</c:v>
                </c:pt>
                <c:pt idx="71">
                  <c:v>4.3392187499999998E-2</c:v>
                </c:pt>
                <c:pt idx="72">
                  <c:v>4.6243749999999986E-2</c:v>
                </c:pt>
                <c:pt idx="73">
                  <c:v>4.3692307692307676E-2</c:v>
                </c:pt>
                <c:pt idx="74">
                  <c:v>3.8563636363636355E-2</c:v>
                </c:pt>
                <c:pt idx="75">
                  <c:v>4.1749230769230768E-2</c:v>
                </c:pt>
                <c:pt idx="76">
                  <c:v>4.5609374999999994E-2</c:v>
                </c:pt>
                <c:pt idx="77">
                  <c:v>4.3387692307692308E-2</c:v>
                </c:pt>
                <c:pt idx="78">
                  <c:v>3.6960606060606048E-2</c:v>
                </c:pt>
                <c:pt idx="79">
                  <c:v>3.0376190476190473E-2</c:v>
                </c:pt>
                <c:pt idx="80">
                  <c:v>3.1361538461538462E-2</c:v>
                </c:pt>
                <c:pt idx="81">
                  <c:v>2.9363076923076922E-2</c:v>
                </c:pt>
                <c:pt idx="82">
                  <c:v>2.7429230769230779E-2</c:v>
                </c:pt>
                <c:pt idx="83">
                  <c:v>2.8639062499999993E-2</c:v>
                </c:pt>
                <c:pt idx="84">
                  <c:v>3.1303125000000008E-2</c:v>
                </c:pt>
                <c:pt idx="85">
                  <c:v>3.1412307692307684E-2</c:v>
                </c:pt>
                <c:pt idx="86">
                  <c:v>3.7107575757575756E-2</c:v>
                </c:pt>
                <c:pt idx="87">
                  <c:v>3.7882812500000008E-2</c:v>
                </c:pt>
                <c:pt idx="88">
                  <c:v>3.6903125000000009E-2</c:v>
                </c:pt>
                <c:pt idx="89">
                  <c:v>3.4430769230769237E-2</c:v>
                </c:pt>
                <c:pt idx="90">
                  <c:v>3.2657575757575753E-2</c:v>
                </c:pt>
                <c:pt idx="91">
                  <c:v>2.9637499999999997E-2</c:v>
                </c:pt>
                <c:pt idx="92">
                  <c:v>2.5540625000000004E-2</c:v>
                </c:pt>
                <c:pt idx="93">
                  <c:v>2.8836923076923083E-2</c:v>
                </c:pt>
                <c:pt idx="94">
                  <c:v>2.9624242424242438E-2</c:v>
                </c:pt>
                <c:pt idx="95">
                  <c:v>2.9630303030303028E-2</c:v>
                </c:pt>
                <c:pt idx="96">
                  <c:v>2.7218461538461539E-2</c:v>
                </c:pt>
                <c:pt idx="97">
                  <c:v>2.5672307692307696E-2</c:v>
                </c:pt>
                <c:pt idx="98">
                  <c:v>2.2793939393939398E-2</c:v>
                </c:pt>
                <c:pt idx="99">
                  <c:v>2.8333846153846154E-2</c:v>
                </c:pt>
                <c:pt idx="100">
                  <c:v>3.0452307692307709E-2</c:v>
                </c:pt>
                <c:pt idx="101">
                  <c:v>2.8972307692307693E-2</c:v>
                </c:pt>
                <c:pt idx="102">
                  <c:v>2.8173846153846157E-2</c:v>
                </c:pt>
                <c:pt idx="103">
                  <c:v>2.817384615384615E-2</c:v>
                </c:pt>
                <c:pt idx="104">
                  <c:v>3.0235384615384615E-2</c:v>
                </c:pt>
                <c:pt idx="105">
                  <c:v>3.0853846153846162E-2</c:v>
                </c:pt>
                <c:pt idx="106">
                  <c:v>3.0607692307692315E-2</c:v>
                </c:pt>
                <c:pt idx="107">
                  <c:v>3.26939393939394E-2</c:v>
                </c:pt>
                <c:pt idx="108">
                  <c:v>3.0129687499999998E-2</c:v>
                </c:pt>
                <c:pt idx="109">
                  <c:v>2.7836923076923075E-2</c:v>
                </c:pt>
                <c:pt idx="110">
                  <c:v>2.2849999999999995E-2</c:v>
                </c:pt>
                <c:pt idx="111">
                  <c:v>2.2566666666666676E-2</c:v>
                </c:pt>
                <c:pt idx="112">
                  <c:v>1.8878461538461538E-2</c:v>
                </c:pt>
                <c:pt idx="113">
                  <c:v>1.3801538461538454E-2</c:v>
                </c:pt>
                <c:pt idx="114">
                  <c:v>1.3654545454545457E-2</c:v>
                </c:pt>
                <c:pt idx="115">
                  <c:v>1.6210606060606054E-2</c:v>
                </c:pt>
                <c:pt idx="116">
                  <c:v>2.0748437499999998E-2</c:v>
                </c:pt>
                <c:pt idx="117">
                  <c:v>2.2579999999999996E-2</c:v>
                </c:pt>
                <c:pt idx="118">
                  <c:v>1.9333333333333327E-2</c:v>
                </c:pt>
                <c:pt idx="119">
                  <c:v>1.9479687499999995E-2</c:v>
                </c:pt>
                <c:pt idx="120">
                  <c:v>2.2546031746031748E-2</c:v>
                </c:pt>
                <c:pt idx="121">
                  <c:v>3.0455384615384599E-2</c:v>
                </c:pt>
                <c:pt idx="122">
                  <c:v>3.2607575757575759E-2</c:v>
                </c:pt>
                <c:pt idx="123">
                  <c:v>3.8912500000000003E-2</c:v>
                </c:pt>
                <c:pt idx="124">
                  <c:v>3.7495384615384618E-2</c:v>
                </c:pt>
                <c:pt idx="125">
                  <c:v>3.808461538461537E-2</c:v>
                </c:pt>
                <c:pt idx="126">
                  <c:v>4.234461538461539E-2</c:v>
                </c:pt>
                <c:pt idx="127">
                  <c:v>4.7974418604651167E-2</c:v>
                </c:pt>
              </c:numCache>
            </c:numRef>
          </c:xVal>
          <c:yVal>
            <c:numRef>
              <c:f>'AEB-9 Risk Premium (Electric)'!$D$6:$D$133</c:f>
              <c:numCache>
                <c:formatCode>0.00%</c:formatCode>
                <c:ptCount val="128"/>
                <c:pt idx="0">
                  <c:v>4.5759206349206355E-2</c:v>
                </c:pt>
                <c:pt idx="1">
                  <c:v>3.9298809523809528E-2</c:v>
                </c:pt>
                <c:pt idx="2">
                  <c:v>4.5856249999999987E-2</c:v>
                </c:pt>
                <c:pt idx="3">
                  <c:v>4.6170729166666688E-2</c:v>
                </c:pt>
                <c:pt idx="4">
                  <c:v>4.7641013824884781E-2</c:v>
                </c:pt>
                <c:pt idx="5">
                  <c:v>4.7826984126984079E-2</c:v>
                </c:pt>
                <c:pt idx="6">
                  <c:v>4.8361979166666652E-2</c:v>
                </c:pt>
                <c:pt idx="7">
                  <c:v>4.9065104166666651E-2</c:v>
                </c:pt>
                <c:pt idx="8">
                  <c:v>4.4911269841269849E-2</c:v>
                </c:pt>
                <c:pt idx="9">
                  <c:v>3.767741935483869E-2</c:v>
                </c:pt>
                <c:pt idx="10">
                  <c:v>5.1606249999999979E-2</c:v>
                </c:pt>
                <c:pt idx="11">
                  <c:v>3.2750000000000001E-2</c:v>
                </c:pt>
                <c:pt idx="12">
                  <c:v>4.3278125000000001E-2</c:v>
                </c:pt>
                <c:pt idx="13">
                  <c:v>4.3740277777777808E-2</c:v>
                </c:pt>
                <c:pt idx="14">
                  <c:v>4.6526984126984139E-2</c:v>
                </c:pt>
                <c:pt idx="15">
                  <c:v>5.3452380952380932E-2</c:v>
                </c:pt>
                <c:pt idx="16">
                  <c:v>5.1683076923076943E-2</c:v>
                </c:pt>
                <c:pt idx="17">
                  <c:v>4.5373504273504298E-2</c:v>
                </c:pt>
                <c:pt idx="18">
                  <c:v>3.7327272727272737E-2</c:v>
                </c:pt>
                <c:pt idx="19">
                  <c:v>4.9399999999999999E-2</c:v>
                </c:pt>
                <c:pt idx="20">
                  <c:v>4.2646875000000001E-2</c:v>
                </c:pt>
                <c:pt idx="21">
                  <c:v>4.6797435897435929E-2</c:v>
                </c:pt>
                <c:pt idx="22">
                  <c:v>5.4695454545454547E-2</c:v>
                </c:pt>
                <c:pt idx="23">
                  <c:v>4.9121874999999988E-2</c:v>
                </c:pt>
                <c:pt idx="24">
                  <c:v>5.4281249999999989E-2</c:v>
                </c:pt>
                <c:pt idx="25">
                  <c:v>6.350923076923079E-2</c:v>
                </c:pt>
                <c:pt idx="26">
                  <c:v>6.1737878787878765E-2</c:v>
                </c:pt>
                <c:pt idx="27">
                  <c:v>7.1928787878787884E-2</c:v>
                </c:pt>
                <c:pt idx="28">
                  <c:v>5.0265625000000015E-2</c:v>
                </c:pt>
                <c:pt idx="29">
                  <c:v>5.1412307692307709E-2</c:v>
                </c:pt>
                <c:pt idx="30">
                  <c:v>4.7092424242424248E-2</c:v>
                </c:pt>
                <c:pt idx="31">
                  <c:v>4.844090909090909E-2</c:v>
                </c:pt>
                <c:pt idx="32">
                  <c:v>4.9166538461538498E-2</c:v>
                </c:pt>
                <c:pt idx="33">
                  <c:v>5.0212307692307702E-2</c:v>
                </c:pt>
                <c:pt idx="34">
                  <c:v>5.8867692307692308E-2</c:v>
                </c:pt>
                <c:pt idx="35">
                  <c:v>6.8092307692307702E-2</c:v>
                </c:pt>
                <c:pt idx="36">
                  <c:v>5.9285384615384608E-2</c:v>
                </c:pt>
                <c:pt idx="37">
                  <c:v>5.2983076923076931E-2</c:v>
                </c:pt>
                <c:pt idx="38">
                  <c:v>5.2306373626373658E-2</c:v>
                </c:pt>
                <c:pt idx="39">
                  <c:v>6.691363636363637E-2</c:v>
                </c:pt>
                <c:pt idx="40">
                  <c:v>4.5342187500000006E-2</c:v>
                </c:pt>
                <c:pt idx="41">
                  <c:v>5.7885384615384609E-2</c:v>
                </c:pt>
                <c:pt idx="42">
                  <c:v>6.563181818181818E-2</c:v>
                </c:pt>
                <c:pt idx="43">
                  <c:v>6.6343939393939386E-2</c:v>
                </c:pt>
                <c:pt idx="44">
                  <c:v>6.8681249999999999E-2</c:v>
                </c:pt>
                <c:pt idx="45">
                  <c:v>6.5592692307692324E-2</c:v>
                </c:pt>
                <c:pt idx="46">
                  <c:v>5.3860606060606046E-2</c:v>
                </c:pt>
                <c:pt idx="47">
                  <c:v>6.2253030303030296E-2</c:v>
                </c:pt>
                <c:pt idx="48">
                  <c:v>6.1223076923076915E-2</c:v>
                </c:pt>
                <c:pt idx="49">
                  <c:v>5.3031868131868137E-2</c:v>
                </c:pt>
                <c:pt idx="50">
                  <c:v>5.642575757575756E-2</c:v>
                </c:pt>
                <c:pt idx="51">
                  <c:v>6.3117272727272716E-2</c:v>
                </c:pt>
                <c:pt idx="52">
                  <c:v>5.9179687500000008E-2</c:v>
                </c:pt>
                <c:pt idx="53">
                  <c:v>5.8415769230769229E-2</c:v>
                </c:pt>
                <c:pt idx="54">
                  <c:v>6.6604545454545472E-2</c:v>
                </c:pt>
                <c:pt idx="55">
                  <c:v>5.978942307692308E-2</c:v>
                </c:pt>
                <c:pt idx="56">
                  <c:v>6.0679230769230791E-2</c:v>
                </c:pt>
                <c:pt idx="57">
                  <c:v>5.6447307692307686E-2</c:v>
                </c:pt>
                <c:pt idx="58">
                  <c:v>5.3511282051282034E-2</c:v>
                </c:pt>
                <c:pt idx="59">
                  <c:v>5.9076923076923089E-2</c:v>
                </c:pt>
                <c:pt idx="60">
                  <c:v>5.7941282051282024E-2</c:v>
                </c:pt>
                <c:pt idx="61">
                  <c:v>5.335769230769228E-2</c:v>
                </c:pt>
                <c:pt idx="62">
                  <c:v>5.4500000000000028E-2</c:v>
                </c:pt>
                <c:pt idx="63">
                  <c:v>6.0359999999999969E-2</c:v>
                </c:pt>
                <c:pt idx="64">
                  <c:v>6.2054615384615375E-2</c:v>
                </c:pt>
                <c:pt idx="65">
                  <c:v>5.9622500000000002E-2</c:v>
                </c:pt>
                <c:pt idx="66">
                  <c:v>5.9765151515151528E-2</c:v>
                </c:pt>
                <c:pt idx="67">
                  <c:v>6.7437499999999984E-2</c:v>
                </c:pt>
                <c:pt idx="68">
                  <c:v>7.3126250000000004E-2</c:v>
                </c:pt>
                <c:pt idx="69">
                  <c:v>6.5807692307692303E-2</c:v>
                </c:pt>
                <c:pt idx="70">
                  <c:v>6.1783333333333336E-2</c:v>
                </c:pt>
                <c:pt idx="71">
                  <c:v>6.252781250000003E-2</c:v>
                </c:pt>
                <c:pt idx="72">
                  <c:v>5.9681250000000019E-2</c:v>
                </c:pt>
                <c:pt idx="73">
                  <c:v>5.8107692307692325E-2</c:v>
                </c:pt>
                <c:pt idx="74">
                  <c:v>6.5469696969696969E-2</c:v>
                </c:pt>
                <c:pt idx="75">
                  <c:v>6.2037435897435912E-2</c:v>
                </c:pt>
                <c:pt idx="76">
                  <c:v>5.5307291666666661E-2</c:v>
                </c:pt>
                <c:pt idx="77">
                  <c:v>5.9240879120879122E-2</c:v>
                </c:pt>
                <c:pt idx="78">
                  <c:v>6.8756060606060626E-2</c:v>
                </c:pt>
                <c:pt idx="79">
                  <c:v>7.3501587301587304E-2</c:v>
                </c:pt>
                <c:pt idx="80">
                  <c:v>7.1667032967032973E-2</c:v>
                </c:pt>
                <c:pt idx="81">
                  <c:v>7.0136923076923083E-2</c:v>
                </c:pt>
                <c:pt idx="82">
                  <c:v>7.1570769230769229E-2</c:v>
                </c:pt>
                <c:pt idx="83">
                  <c:v>7.2996231617647095E-2</c:v>
                </c:pt>
                <c:pt idx="84">
                  <c:v>6.7196874999999989E-2</c:v>
                </c:pt>
                <c:pt idx="85">
                  <c:v>6.7187692307692309E-2</c:v>
                </c:pt>
                <c:pt idx="86">
                  <c:v>6.4092424242424229E-2</c:v>
                </c:pt>
                <c:pt idx="87">
                  <c:v>6.1785937500000006E-2</c:v>
                </c:pt>
                <c:pt idx="88">
                  <c:v>6.164687499999999E-2</c:v>
                </c:pt>
                <c:pt idx="89">
                  <c:v>6.6569230769230769E-2</c:v>
                </c:pt>
                <c:pt idx="90">
                  <c:v>6.6342424242424258E-2</c:v>
                </c:pt>
                <c:pt idx="91">
                  <c:v>6.9802500000000003E-2</c:v>
                </c:pt>
                <c:pt idx="92">
                  <c:v>7.0834374999999977E-2</c:v>
                </c:pt>
                <c:pt idx="93">
                  <c:v>6.9429743589743576E-2</c:v>
                </c:pt>
                <c:pt idx="94">
                  <c:v>6.4375757575757558E-2</c:v>
                </c:pt>
                <c:pt idx="95">
                  <c:v>6.8994696969696956E-2</c:v>
                </c:pt>
                <c:pt idx="96">
                  <c:v>6.9781538461538478E-2</c:v>
                </c:pt>
                <c:pt idx="97">
                  <c:v>6.9127692307692307E-2</c:v>
                </c:pt>
                <c:pt idx="98">
                  <c:v>7.4556060606060598E-2</c:v>
                </c:pt>
                <c:pt idx="99">
                  <c:v>6.9986153846153837E-2</c:v>
                </c:pt>
                <c:pt idx="100">
                  <c:v>6.6731025641025635E-2</c:v>
                </c:pt>
                <c:pt idx="101">
                  <c:v>6.7456263736263733E-2</c:v>
                </c:pt>
                <c:pt idx="102">
                  <c:v>7.1826153846153845E-2</c:v>
                </c:pt>
                <c:pt idx="103">
                  <c:v>7.0890439560439569E-2</c:v>
                </c:pt>
                <c:pt idx="104">
                  <c:v>6.6647948717948713E-2</c:v>
                </c:pt>
                <c:pt idx="105">
                  <c:v>6.662115384615383E-2</c:v>
                </c:pt>
                <c:pt idx="106">
                  <c:v>6.6252307692307666E-2</c:v>
                </c:pt>
                <c:pt idx="107">
                  <c:v>6.2531060606060618E-2</c:v>
                </c:pt>
                <c:pt idx="108">
                  <c:v>6.7036979166666663E-2</c:v>
                </c:pt>
                <c:pt idx="109">
                  <c:v>6.7925576923076908E-2</c:v>
                </c:pt>
                <c:pt idx="110">
                  <c:v>7.2450000000000001E-2</c:v>
                </c:pt>
                <c:pt idx="111">
                  <c:v>7.6308333333333325E-2</c:v>
                </c:pt>
                <c:pt idx="112">
                  <c:v>7.8307252747252754E-2</c:v>
                </c:pt>
                <c:pt idx="113">
                  <c:v>8.1948461538461539E-2</c:v>
                </c:pt>
                <c:pt idx="114">
                  <c:v>7.9345454545454525E-2</c:v>
                </c:pt>
                <c:pt idx="115">
                  <c:v>7.938939393939394E-2</c:v>
                </c:pt>
                <c:pt idx="116">
                  <c:v>7.3751562500000006E-2</c:v>
                </c:pt>
                <c:pt idx="117">
                  <c:v>7.2103333333333325E-2</c:v>
                </c:pt>
                <c:pt idx="118">
                  <c:v>7.3406666666666676E-2</c:v>
                </c:pt>
                <c:pt idx="119">
                  <c:v>7.7253645833333343E-2</c:v>
                </c:pt>
                <c:pt idx="120">
                  <c:v>7.1953968253968242E-2</c:v>
                </c:pt>
                <c:pt idx="121">
                  <c:v>6.4544615384615395E-2</c:v>
                </c:pt>
                <c:pt idx="122">
                  <c:v>5.8792424242424236E-2</c:v>
                </c:pt>
                <c:pt idx="123">
                  <c:v>5.9760833333333346E-2</c:v>
                </c:pt>
                <c:pt idx="124">
                  <c:v>5.9671282051282061E-2</c:v>
                </c:pt>
                <c:pt idx="125">
                  <c:v>5.8582051282051309E-2</c:v>
                </c:pt>
                <c:pt idx="126">
                  <c:v>5.5544273504273496E-2</c:v>
                </c:pt>
                <c:pt idx="127">
                  <c:v>4.8454152823920266E-2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EB-442F-BC11-58C8F10CC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3795120"/>
        <c:axId val="1143802192"/>
      </c:scatterChart>
      <c:valAx>
        <c:axId val="1143795120"/>
        <c:scaling>
          <c:orientation val="minMax"/>
          <c:max val="8.0000000000000016E-2"/>
          <c:min val="1.000000000000000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en-US" b="0" i="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U.S. Government 30-year Treasury Yield</a:t>
                </a:r>
              </a:p>
            </c:rich>
          </c:tx>
          <c:layout>
            <c:manualLayout>
              <c:xMode val="edge"/>
              <c:yMode val="edge"/>
              <c:x val="0.34729134419095042"/>
              <c:y val="0.9268066266780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143802192"/>
        <c:crosses val="autoZero"/>
        <c:crossBetween val="midCat"/>
      </c:valAx>
      <c:valAx>
        <c:axId val="1143802192"/>
        <c:scaling>
          <c:orientation val="minMax"/>
          <c:max val="9.0000000000000024E-2"/>
          <c:min val="2.000000000000000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Risk Premium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4379512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73916858202487"/>
          <c:y val="2.8104153579634011E-2"/>
          <c:w val="0.85044618010784101"/>
          <c:h val="0.81212352563677004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3.5500229939206318E-2"/>
                  <c:y val="-0.473350415067011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b="0" baseline="0"/>
                      <a:t>y = -0.5756x + 0.0848</a:t>
                    </a:r>
                    <a:br>
                      <a:rPr lang="en-US" b="0" baseline="0"/>
                    </a:br>
                    <a:r>
                      <a:rPr lang="en-US" b="0" baseline="0"/>
                      <a:t>R² = 0.8422</a:t>
                    </a:r>
                    <a:endParaRPr lang="en-US" b="0"/>
                  </a:p>
                </c:rich>
              </c:tx>
              <c:numFmt formatCode="General" sourceLinked="0"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'AEB-9 Risk Premium (Gas)'!$C$6:$C$129</c:f>
              <c:numCache>
                <c:formatCode>0.00%</c:formatCode>
                <c:ptCount val="124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6.9422222222222191E-2</c:v>
                </c:pt>
                <c:pt idx="13">
                  <c:v>6.7173015873015857E-2</c:v>
                </c:pt>
                <c:pt idx="14">
                  <c:v>6.2390476190476205E-2</c:v>
                </c:pt>
                <c:pt idx="15">
                  <c:v>6.2916923076923065E-2</c:v>
                </c:pt>
                <c:pt idx="16">
                  <c:v>6.9215384615384609E-2</c:v>
                </c:pt>
                <c:pt idx="17">
                  <c:v>6.9672727272727275E-2</c:v>
                </c:pt>
                <c:pt idx="18">
                  <c:v>6.6199999999999995E-2</c:v>
                </c:pt>
                <c:pt idx="19">
                  <c:v>6.8153124999999995E-2</c:v>
                </c:pt>
                <c:pt idx="20">
                  <c:v>6.9369230769230752E-2</c:v>
                </c:pt>
                <c:pt idx="21">
                  <c:v>6.5304545454545448E-2</c:v>
                </c:pt>
                <c:pt idx="22">
                  <c:v>6.1478125000000015E-2</c:v>
                </c:pt>
                <c:pt idx="23">
                  <c:v>5.8490769230769207E-2</c:v>
                </c:pt>
                <c:pt idx="24">
                  <c:v>5.4762121212121241E-2</c:v>
                </c:pt>
                <c:pt idx="25">
                  <c:v>5.1071212121212115E-2</c:v>
                </c:pt>
                <c:pt idx="26">
                  <c:v>5.3734374999999994E-2</c:v>
                </c:pt>
                <c:pt idx="27">
                  <c:v>5.7987692307692289E-2</c:v>
                </c:pt>
                <c:pt idx="28">
                  <c:v>6.2559090909090911E-2</c:v>
                </c:pt>
                <c:pt idx="29">
                  <c:v>6.2958461538461505E-2</c:v>
                </c:pt>
                <c:pt idx="30">
                  <c:v>5.9787692307692299E-2</c:v>
                </c:pt>
                <c:pt idx="31">
                  <c:v>5.7932307692307693E-2</c:v>
                </c:pt>
                <c:pt idx="32">
                  <c:v>5.6907692307692305E-2</c:v>
                </c:pt>
                <c:pt idx="33">
                  <c:v>5.4464615384615396E-2</c:v>
                </c:pt>
                <c:pt idx="34">
                  <c:v>5.7016923076923069E-2</c:v>
                </c:pt>
                <c:pt idx="35">
                  <c:v>5.3019696969696967E-2</c:v>
                </c:pt>
                <c:pt idx="36">
                  <c:v>5.51578125E-2</c:v>
                </c:pt>
                <c:pt idx="37">
                  <c:v>5.6164615384615389E-2</c:v>
                </c:pt>
                <c:pt idx="38">
                  <c:v>5.0868181818181826E-2</c:v>
                </c:pt>
                <c:pt idx="39">
                  <c:v>4.9322727272727268E-2</c:v>
                </c:pt>
                <c:pt idx="40">
                  <c:v>4.8518749999999999E-2</c:v>
                </c:pt>
                <c:pt idx="41">
                  <c:v>4.6032307692307678E-2</c:v>
                </c:pt>
                <c:pt idx="42">
                  <c:v>5.113939393939395E-2</c:v>
                </c:pt>
                <c:pt idx="43">
                  <c:v>5.1146969696969691E-2</c:v>
                </c:pt>
                <c:pt idx="44">
                  <c:v>4.8776923076923072E-2</c:v>
                </c:pt>
                <c:pt idx="45">
                  <c:v>5.3353846153846154E-2</c:v>
                </c:pt>
                <c:pt idx="46">
                  <c:v>5.1074242424242439E-2</c:v>
                </c:pt>
                <c:pt idx="47">
                  <c:v>4.9322727272727296E-2</c:v>
                </c:pt>
                <c:pt idx="48">
                  <c:v>4.7070312500000003E-2</c:v>
                </c:pt>
                <c:pt idx="49">
                  <c:v>4.4709230769230765E-2</c:v>
                </c:pt>
                <c:pt idx="50">
                  <c:v>4.4228787878787867E-2</c:v>
                </c:pt>
                <c:pt idx="51">
                  <c:v>4.6523076923076924E-2</c:v>
                </c:pt>
                <c:pt idx="52">
                  <c:v>4.6270769230769213E-2</c:v>
                </c:pt>
                <c:pt idx="53">
                  <c:v>5.1427692307692299E-2</c:v>
                </c:pt>
                <c:pt idx="54">
                  <c:v>4.9955384615384631E-2</c:v>
                </c:pt>
                <c:pt idx="55">
                  <c:v>4.7423076923076908E-2</c:v>
                </c:pt>
                <c:pt idx="56">
                  <c:v>4.7975384615384635E-2</c:v>
                </c:pt>
                <c:pt idx="57">
                  <c:v>4.9892307692307715E-2</c:v>
                </c:pt>
                <c:pt idx="58">
                  <c:v>4.9499999999999982E-2</c:v>
                </c:pt>
                <c:pt idx="59">
                  <c:v>4.6140000000000014E-2</c:v>
                </c:pt>
                <c:pt idx="60">
                  <c:v>4.409538461538462E-2</c:v>
                </c:pt>
                <c:pt idx="61">
                  <c:v>4.5739999999999996E-2</c:v>
                </c:pt>
                <c:pt idx="62">
                  <c:v>4.4501515151515146E-2</c:v>
                </c:pt>
                <c:pt idx="63">
                  <c:v>3.6437500000000005E-2</c:v>
                </c:pt>
                <c:pt idx="64">
                  <c:v>3.4393749999999994E-2</c:v>
                </c:pt>
                <c:pt idx="65">
                  <c:v>4.1692307692307695E-2</c:v>
                </c:pt>
                <c:pt idx="66">
                  <c:v>4.321666666666666E-2</c:v>
                </c:pt>
                <c:pt idx="67">
                  <c:v>4.3392187499999998E-2</c:v>
                </c:pt>
                <c:pt idx="68">
                  <c:v>4.6243749999999986E-2</c:v>
                </c:pt>
                <c:pt idx="69">
                  <c:v>4.3692307692307676E-2</c:v>
                </c:pt>
                <c:pt idx="70">
                  <c:v>3.8563636363636355E-2</c:v>
                </c:pt>
                <c:pt idx="71">
                  <c:v>4.1749230769230768E-2</c:v>
                </c:pt>
                <c:pt idx="72">
                  <c:v>4.5609374999999994E-2</c:v>
                </c:pt>
                <c:pt idx="73">
                  <c:v>4.3387692307692308E-2</c:v>
                </c:pt>
                <c:pt idx="74">
                  <c:v>3.6960606060606048E-2</c:v>
                </c:pt>
                <c:pt idx="75">
                  <c:v>3.0376190476190473E-2</c:v>
                </c:pt>
                <c:pt idx="76">
                  <c:v>3.1361538461538462E-2</c:v>
                </c:pt>
                <c:pt idx="77">
                  <c:v>2.9363076923076922E-2</c:v>
                </c:pt>
                <c:pt idx="78">
                  <c:v>2.7429230769230779E-2</c:v>
                </c:pt>
                <c:pt idx="79">
                  <c:v>2.8639062499999993E-2</c:v>
                </c:pt>
                <c:pt idx="80">
                  <c:v>3.1303125000000008E-2</c:v>
                </c:pt>
                <c:pt idx="81">
                  <c:v>3.1412307692307684E-2</c:v>
                </c:pt>
                <c:pt idx="82">
                  <c:v>3.7107575757575756E-2</c:v>
                </c:pt>
                <c:pt idx="83">
                  <c:v>3.7882812500000008E-2</c:v>
                </c:pt>
                <c:pt idx="84">
                  <c:v>3.6903125000000009E-2</c:v>
                </c:pt>
                <c:pt idx="85">
                  <c:v>3.4430769230769237E-2</c:v>
                </c:pt>
                <c:pt idx="86">
                  <c:v>3.2657575757575753E-2</c:v>
                </c:pt>
                <c:pt idx="87">
                  <c:v>2.9637499999999997E-2</c:v>
                </c:pt>
                <c:pt idx="88">
                  <c:v>2.5540625000000004E-2</c:v>
                </c:pt>
                <c:pt idx="89">
                  <c:v>2.8836923076923083E-2</c:v>
                </c:pt>
                <c:pt idx="90">
                  <c:v>2.9624242424242438E-2</c:v>
                </c:pt>
                <c:pt idx="91">
                  <c:v>2.9630303030303028E-2</c:v>
                </c:pt>
                <c:pt idx="92">
                  <c:v>2.7218461538461539E-2</c:v>
                </c:pt>
                <c:pt idx="93">
                  <c:v>2.5672307692307696E-2</c:v>
                </c:pt>
                <c:pt idx="94">
                  <c:v>2.2793939393939398E-2</c:v>
                </c:pt>
                <c:pt idx="95">
                  <c:v>2.8333846153846154E-2</c:v>
                </c:pt>
                <c:pt idx="96">
                  <c:v>3.0452307692307709E-2</c:v>
                </c:pt>
                <c:pt idx="97">
                  <c:v>2.8972307692307693E-2</c:v>
                </c:pt>
                <c:pt idx="98">
                  <c:v>2.8173846153846157E-2</c:v>
                </c:pt>
                <c:pt idx="99">
                  <c:v>2.817384615384615E-2</c:v>
                </c:pt>
                <c:pt idx="100">
                  <c:v>3.0235384615384615E-2</c:v>
                </c:pt>
                <c:pt idx="101">
                  <c:v>3.0853846153846162E-2</c:v>
                </c:pt>
                <c:pt idx="102">
                  <c:v>3.0607692307692315E-2</c:v>
                </c:pt>
                <c:pt idx="103">
                  <c:v>3.26939393939394E-2</c:v>
                </c:pt>
                <c:pt idx="104">
                  <c:v>3.0129687499999998E-2</c:v>
                </c:pt>
                <c:pt idx="105">
                  <c:v>2.7836923076923075E-2</c:v>
                </c:pt>
                <c:pt idx="106">
                  <c:v>2.2849999999999995E-2</c:v>
                </c:pt>
                <c:pt idx="107">
                  <c:v>2.2566666666666676E-2</c:v>
                </c:pt>
                <c:pt idx="108">
                  <c:v>1.8878461538461538E-2</c:v>
                </c:pt>
                <c:pt idx="109">
                  <c:v>1.3801538461538454E-2</c:v>
                </c:pt>
                <c:pt idx="110">
                  <c:v>1.3654545454545457E-2</c:v>
                </c:pt>
                <c:pt idx="111">
                  <c:v>1.6210606060606054E-2</c:v>
                </c:pt>
                <c:pt idx="112">
                  <c:v>2.0748437499999998E-2</c:v>
                </c:pt>
                <c:pt idx="113">
                  <c:v>2.2579999999999996E-2</c:v>
                </c:pt>
                <c:pt idx="114">
                  <c:v>1.9333333333333327E-2</c:v>
                </c:pt>
                <c:pt idx="115">
                  <c:v>1.9479687499999995E-2</c:v>
                </c:pt>
                <c:pt idx="116">
                  <c:v>2.2546031746031748E-2</c:v>
                </c:pt>
                <c:pt idx="117">
                  <c:v>3.0455384615384599E-2</c:v>
                </c:pt>
                <c:pt idx="118">
                  <c:v>3.2607575757575759E-2</c:v>
                </c:pt>
                <c:pt idx="119">
                  <c:v>3.8912500000000003E-2</c:v>
                </c:pt>
                <c:pt idx="120">
                  <c:v>3.7495384615384618E-2</c:v>
                </c:pt>
                <c:pt idx="121">
                  <c:v>3.808461538461537E-2</c:v>
                </c:pt>
                <c:pt idx="122">
                  <c:v>4.234461538461539E-2</c:v>
                </c:pt>
                <c:pt idx="123">
                  <c:v>4.7974418604651167E-2</c:v>
                </c:pt>
              </c:numCache>
            </c:numRef>
          </c:xVal>
          <c:yVal>
            <c:numRef>
              <c:f>'AEB-9 Risk Premium (Gas)'!$D$6:$D$129</c:f>
              <c:numCache>
                <c:formatCode>0.00%</c:formatCode>
                <c:ptCount val="124"/>
                <c:pt idx="0">
                  <c:v>4.6129206349206336E-2</c:v>
                </c:pt>
                <c:pt idx="1">
                  <c:v>4.0857142857142856E-2</c:v>
                </c:pt>
                <c:pt idx="2">
                  <c:v>4.4203749999999986E-2</c:v>
                </c:pt>
                <c:pt idx="3">
                  <c:v>4.4164062500000004E-2</c:v>
                </c:pt>
                <c:pt idx="4">
                  <c:v>4.678387096774192E-2</c:v>
                </c:pt>
                <c:pt idx="5">
                  <c:v>4.849920634920632E-2</c:v>
                </c:pt>
                <c:pt idx="6">
                  <c:v>5.0720312499999975E-2</c:v>
                </c:pt>
                <c:pt idx="7">
                  <c:v>5.0203993055555562E-2</c:v>
                </c:pt>
                <c:pt idx="8">
                  <c:v>4.5441269841269852E-2</c:v>
                </c:pt>
                <c:pt idx="9">
                  <c:v>3.4727419354838682E-2</c:v>
                </c:pt>
                <c:pt idx="10">
                  <c:v>3.2772916666666652E-2</c:v>
                </c:pt>
                <c:pt idx="11">
                  <c:v>3.5625000000000004E-2</c:v>
                </c:pt>
                <c:pt idx="12">
                  <c:v>4.057777777777781E-2</c:v>
                </c:pt>
                <c:pt idx="13">
                  <c:v>4.349365079365082E-2</c:v>
                </c:pt>
                <c:pt idx="14">
                  <c:v>5.3676190476190461E-2</c:v>
                </c:pt>
                <c:pt idx="15">
                  <c:v>5.1583076923076926E-2</c:v>
                </c:pt>
                <c:pt idx="16">
                  <c:v>3.953461538461539E-2</c:v>
                </c:pt>
                <c:pt idx="17">
                  <c:v>4.2827272727272728E-2</c:v>
                </c:pt>
                <c:pt idx="18">
                  <c:v>4.5742857142857155E-2</c:v>
                </c:pt>
                <c:pt idx="19">
                  <c:v>4.4918303571428578E-2</c:v>
                </c:pt>
                <c:pt idx="20">
                  <c:v>4.763076923076924E-2</c:v>
                </c:pt>
                <c:pt idx="21">
                  <c:v>5.4695454545454547E-2</c:v>
                </c:pt>
                <c:pt idx="22">
                  <c:v>4.768854166666666E-2</c:v>
                </c:pt>
                <c:pt idx="23">
                  <c:v>5.5175897435897445E-2</c:v>
                </c:pt>
                <c:pt idx="24">
                  <c:v>5.9337878787878752E-2</c:v>
                </c:pt>
                <c:pt idx="25">
                  <c:v>6.5828787878787889E-2</c:v>
                </c:pt>
                <c:pt idx="26">
                  <c:v>5.4432291666666681E-2</c:v>
                </c:pt>
                <c:pt idx="27">
                  <c:v>5.4512307692307714E-2</c:v>
                </c:pt>
                <c:pt idx="28">
                  <c:v>4.1190909090909084E-2</c:v>
                </c:pt>
                <c:pt idx="29">
                  <c:v>4.3591538461538501E-2</c:v>
                </c:pt>
                <c:pt idx="30">
                  <c:v>5.054564102564104E-2</c:v>
                </c:pt>
                <c:pt idx="31">
                  <c:v>5.5407692307692304E-2</c:v>
                </c:pt>
                <c:pt idx="32">
                  <c:v>6.4092307692307698E-2</c:v>
                </c:pt>
                <c:pt idx="33">
                  <c:v>5.9285384615384608E-2</c:v>
                </c:pt>
                <c:pt idx="34">
                  <c:v>5.0483076923076929E-2</c:v>
                </c:pt>
                <c:pt idx="35">
                  <c:v>5.3480303030303045E-2</c:v>
                </c:pt>
                <c:pt idx="36">
                  <c:v>5.1508854166666673E-2</c:v>
                </c:pt>
                <c:pt idx="37">
                  <c:v>6.0260384615384611E-2</c:v>
                </c:pt>
                <c:pt idx="38">
                  <c:v>6.4131818181818165E-2</c:v>
                </c:pt>
                <c:pt idx="39">
                  <c:v>6.0788383838383836E-2</c:v>
                </c:pt>
                <c:pt idx="40">
                  <c:v>6.5301249999999991E-2</c:v>
                </c:pt>
                <c:pt idx="41">
                  <c:v>6.7592692307692326E-2</c:v>
                </c:pt>
                <c:pt idx="42">
                  <c:v>5.498060606060607E-2</c:v>
                </c:pt>
                <c:pt idx="43">
                  <c:v>5.7271212121212139E-2</c:v>
                </c:pt>
                <c:pt idx="44">
                  <c:v>6.1823076923076918E-2</c:v>
                </c:pt>
                <c:pt idx="45">
                  <c:v>5.2379487179487191E-2</c:v>
                </c:pt>
                <c:pt idx="46">
                  <c:v>5.2613257575757549E-2</c:v>
                </c:pt>
                <c:pt idx="47">
                  <c:v>5.7260606060606026E-2</c:v>
                </c:pt>
                <c:pt idx="48">
                  <c:v>5.9429687500000009E-2</c:v>
                </c:pt>
                <c:pt idx="49">
                  <c:v>6.0650769230769244E-2</c:v>
                </c:pt>
                <c:pt idx="50">
                  <c:v>6.0491212121212126E-2</c:v>
                </c:pt>
                <c:pt idx="51">
                  <c:v>5.6641208791208798E-2</c:v>
                </c:pt>
                <c:pt idx="52">
                  <c:v>6.0529230769230793E-2</c:v>
                </c:pt>
                <c:pt idx="53">
                  <c:v>5.4572307692307698E-2</c:v>
                </c:pt>
                <c:pt idx="54">
                  <c:v>5.3419615384615364E-2</c:v>
                </c:pt>
                <c:pt idx="55">
                  <c:v>5.3996923076923088E-2</c:v>
                </c:pt>
                <c:pt idx="56">
                  <c:v>5.7206433566433533E-2</c:v>
                </c:pt>
                <c:pt idx="57">
                  <c:v>5.1374358974358943E-2</c:v>
                </c:pt>
                <c:pt idx="58">
                  <c:v>5.0762500000000009E-2</c:v>
                </c:pt>
                <c:pt idx="59">
                  <c:v>5.5036923076923053E-2</c:v>
                </c:pt>
                <c:pt idx="60">
                  <c:v>5.9661758241758248E-2</c:v>
                </c:pt>
                <c:pt idx="61">
                  <c:v>5.5926666666666687E-2</c:v>
                </c:pt>
                <c:pt idx="62">
                  <c:v>6.1009595959595965E-2</c:v>
                </c:pt>
                <c:pt idx="63">
                  <c:v>6.6947115384615369E-2</c:v>
                </c:pt>
                <c:pt idx="64">
                  <c:v>6.8031249999999988E-2</c:v>
                </c:pt>
                <c:pt idx="65">
                  <c:v>5.9382692307692303E-2</c:v>
                </c:pt>
                <c:pt idx="66">
                  <c:v>5.5583333333333339E-2</c:v>
                </c:pt>
                <c:pt idx="67">
                  <c:v>5.9657812500000032E-2</c:v>
                </c:pt>
                <c:pt idx="68">
                  <c:v>5.6122916666666675E-2</c:v>
                </c:pt>
                <c:pt idx="69">
                  <c:v>5.6162237762237784E-2</c:v>
                </c:pt>
                <c:pt idx="70">
                  <c:v>6.568636363636364E-2</c:v>
                </c:pt>
                <c:pt idx="71">
                  <c:v>5.9173846153846153E-2</c:v>
                </c:pt>
                <c:pt idx="72">
                  <c:v>5.5390625000000013E-2</c:v>
                </c:pt>
                <c:pt idx="73">
                  <c:v>5.5062307692307702E-2</c:v>
                </c:pt>
                <c:pt idx="74">
                  <c:v>5.9539393939393954E-2</c:v>
                </c:pt>
                <c:pt idx="75">
                  <c:v>6.8373809523809531E-2</c:v>
                </c:pt>
                <c:pt idx="76">
                  <c:v>6.495846153846152E-2</c:v>
                </c:pt>
                <c:pt idx="77">
                  <c:v>6.8949423076923061E-2</c:v>
                </c:pt>
                <c:pt idx="78">
                  <c:v>7.0070769230769228E-2</c:v>
                </c:pt>
                <c:pt idx="79">
                  <c:v>7.1910937500000008E-2</c:v>
                </c:pt>
                <c:pt idx="80">
                  <c:v>6.4363541666666663E-2</c:v>
                </c:pt>
                <c:pt idx="81">
                  <c:v>6.3271025641025644E-2</c:v>
                </c:pt>
                <c:pt idx="82">
                  <c:v>5.8892424242424246E-2</c:v>
                </c:pt>
                <c:pt idx="83">
                  <c:v>6.0408096590909073E-2</c:v>
                </c:pt>
                <c:pt idx="84">
                  <c:v>5.8513541666666655E-2</c:v>
                </c:pt>
                <c:pt idx="85">
                  <c:v>6.3931730769230755E-2</c:v>
                </c:pt>
                <c:pt idx="86">
                  <c:v>6.1842424242424261E-2</c:v>
                </c:pt>
                <c:pt idx="87">
                  <c:v>7.3195833333333335E-2</c:v>
                </c:pt>
                <c:pt idx="88">
                  <c:v>6.9126041666666665E-2</c:v>
                </c:pt>
                <c:pt idx="89">
                  <c:v>6.5496410256410259E-2</c:v>
                </c:pt>
                <c:pt idx="90">
                  <c:v>6.7875757575757562E-2</c:v>
                </c:pt>
                <c:pt idx="91">
                  <c:v>6.7147474747474734E-2</c:v>
                </c:pt>
                <c:pt idx="92">
                  <c:v>6.7614871794871786E-2</c:v>
                </c:pt>
                <c:pt idx="93">
                  <c:v>6.8477692307692295E-2</c:v>
                </c:pt>
                <c:pt idx="94">
                  <c:v>7.185606060606059E-2</c:v>
                </c:pt>
                <c:pt idx="95">
                  <c:v>6.8388376068376056E-2</c:v>
                </c:pt>
                <c:pt idx="96">
                  <c:v>6.5547692307692307E-2</c:v>
                </c:pt>
                <c:pt idx="97">
                  <c:v>6.5741978021978009E-2</c:v>
                </c:pt>
                <c:pt idx="98">
                  <c:v>7.3209487179487165E-2</c:v>
                </c:pt>
                <c:pt idx="99">
                  <c:v>6.8826153846153842E-2</c:v>
                </c:pt>
                <c:pt idx="100">
                  <c:v>6.6581282051282054E-2</c:v>
                </c:pt>
                <c:pt idx="101">
                  <c:v>6.343186813186813E-2</c:v>
                </c:pt>
                <c:pt idx="102">
                  <c:v>6.6500641025641016E-2</c:v>
                </c:pt>
                <c:pt idx="103">
                  <c:v>6.2613203463203454E-2</c:v>
                </c:pt>
                <c:pt idx="104">
                  <c:v>6.53703125E-2</c:v>
                </c:pt>
                <c:pt idx="105">
                  <c:v>6.9429743589743589E-2</c:v>
                </c:pt>
                <c:pt idx="106">
                  <c:v>7.665000000000001E-2</c:v>
                </c:pt>
                <c:pt idx="107">
                  <c:v>7.481969696969698E-2</c:v>
                </c:pt>
                <c:pt idx="108">
                  <c:v>7.464376068376069E-2</c:v>
                </c:pt>
                <c:pt idx="109">
                  <c:v>8.1698461538461539E-2</c:v>
                </c:pt>
                <c:pt idx="110">
                  <c:v>8.1532954545454547E-2</c:v>
                </c:pt>
                <c:pt idx="111">
                  <c:v>7.8742727272727311E-2</c:v>
                </c:pt>
                <c:pt idx="112">
                  <c:v>7.6331562500000005E-2</c:v>
                </c:pt>
                <c:pt idx="113">
                  <c:v>7.2203333333333342E-2</c:v>
                </c:pt>
                <c:pt idx="114">
                  <c:v>7.4993939393939391E-2</c:v>
                </c:pt>
                <c:pt idx="115">
                  <c:v>7.6457812500000027E-2</c:v>
                </c:pt>
                <c:pt idx="116">
                  <c:v>7.1203968253968242E-2</c:v>
                </c:pt>
                <c:pt idx="117">
                  <c:v>6.1811282051282078E-2</c:v>
                </c:pt>
                <c:pt idx="118">
                  <c:v>6.256742424242423E-2</c:v>
                </c:pt>
                <c:pt idx="119">
                  <c:v>5.7543750000000018E-2</c:v>
                </c:pt>
                <c:pt idx="120">
                  <c:v>5.8871282051282038E-2</c:v>
                </c:pt>
                <c:pt idx="121">
                  <c:v>5.5915384615384631E-2</c:v>
                </c:pt>
                <c:pt idx="122">
                  <c:v>5.297205128205127E-2</c:v>
                </c:pt>
                <c:pt idx="123">
                  <c:v>4.7465581395348844E-2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9BC-4BA9-867F-137773CAC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3795120"/>
        <c:axId val="1143802192"/>
      </c:scatterChart>
      <c:valAx>
        <c:axId val="1143795120"/>
        <c:scaling>
          <c:orientation val="minMax"/>
          <c:max val="8.0000000000000016E-2"/>
          <c:min val="1.000000000000000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U.S. Government 30-year Treasury Yield</a:t>
                </a:r>
              </a:p>
            </c:rich>
          </c:tx>
          <c:layout>
            <c:manualLayout>
              <c:xMode val="edge"/>
              <c:yMode val="edge"/>
              <c:x val="0.34729134419095042"/>
              <c:y val="0.9268066266780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43802192"/>
        <c:crosses val="autoZero"/>
        <c:crossBetween val="midCat"/>
      </c:valAx>
      <c:valAx>
        <c:axId val="1143802192"/>
        <c:scaling>
          <c:orientation val="minMax"/>
          <c:max val="9.0000000000000024E-2"/>
          <c:min val="2.000000000000000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Risk Premium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4379512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>
      <c:oddHeader>&amp;RLiberty Utilities (Granite State Electric) Corp.
d/b/a Liberty Utilities
Attachment AEB/CMW-10
Page &amp;P</c:oddHeader>
    </c:headerFooter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'AEB-12 CapEx 2'!$E$26</c:f>
              <c:strCache>
                <c:ptCount val="1"/>
                <c:pt idx="0">
                  <c:v>2024-2028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526-4C57-8866-EF35AF0193F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526-4C57-8866-EF35AF0193F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526-4C57-8866-EF35AF0193F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A8A-48C1-8A2C-16CD13FD004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CC0-4910-A235-E78B10B4BE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6526-4C57-8866-EF35AF0193F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A8A-48C1-8A2C-16CD13FD0049}"/>
              </c:ext>
            </c:extLst>
          </c:dPt>
          <c:dPt>
            <c:idx val="21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7A8A-48C1-8A2C-16CD13FD0049}"/>
              </c:ext>
            </c:extLst>
          </c:dPt>
          <c:cat>
            <c:strRef>
              <c:f>'AEB-12 CapEx 2'!$D$28:$D$49</c:f>
              <c:strCache>
                <c:ptCount val="22"/>
                <c:pt idx="0">
                  <c:v>NWE</c:v>
                </c:pt>
                <c:pt idx="1">
                  <c:v>ALE</c:v>
                </c:pt>
                <c:pt idx="2">
                  <c:v>SO</c:v>
                </c:pt>
                <c:pt idx="3">
                  <c:v>LNT</c:v>
                </c:pt>
                <c:pt idx="4">
                  <c:v>MGEE</c:v>
                </c:pt>
                <c:pt idx="5">
                  <c:v>OGE</c:v>
                </c:pt>
                <c:pt idx="6">
                  <c:v>BKH</c:v>
                </c:pt>
                <c:pt idx="7">
                  <c:v>EVRG</c:v>
                </c:pt>
                <c:pt idx="8">
                  <c:v>WEC</c:v>
                </c:pt>
                <c:pt idx="9">
                  <c:v>AVA</c:v>
                </c:pt>
                <c:pt idx="10">
                  <c:v>ETR</c:v>
                </c:pt>
                <c:pt idx="11">
                  <c:v>AEP</c:v>
                </c:pt>
                <c:pt idx="12">
                  <c:v>PNW</c:v>
                </c:pt>
                <c:pt idx="13">
                  <c:v>XEL</c:v>
                </c:pt>
                <c:pt idx="14">
                  <c:v>DUK</c:v>
                </c:pt>
                <c:pt idx="15">
                  <c:v>AEE</c:v>
                </c:pt>
                <c:pt idx="16">
                  <c:v>IDA</c:v>
                </c:pt>
                <c:pt idx="17">
                  <c:v>POR</c:v>
                </c:pt>
                <c:pt idx="18">
                  <c:v>CMS</c:v>
                </c:pt>
                <c:pt idx="19">
                  <c:v>NI</c:v>
                </c:pt>
                <c:pt idx="20">
                  <c:v>NEE</c:v>
                </c:pt>
                <c:pt idx="21">
                  <c:v>PSE</c:v>
                </c:pt>
              </c:strCache>
            </c:strRef>
          </c:cat>
          <c:val>
            <c:numRef>
              <c:f>'AEB-12 CapEx 2'!$E$28:$E$49</c:f>
              <c:numCache>
                <c:formatCode>0.00%</c:formatCode>
                <c:ptCount val="22"/>
                <c:pt idx="0">
                  <c:v>0.37329166666666669</c:v>
                </c:pt>
                <c:pt idx="1">
                  <c:v>0.39128301886792455</c:v>
                </c:pt>
                <c:pt idx="2">
                  <c:v>0.40952944136889785</c:v>
                </c:pt>
                <c:pt idx="3">
                  <c:v>0.41551906158357771</c:v>
                </c:pt>
                <c:pt idx="4">
                  <c:v>0.42995121951219506</c:v>
                </c:pt>
                <c:pt idx="5">
                  <c:v>0.43903508771929822</c:v>
                </c:pt>
                <c:pt idx="6">
                  <c:v>0.46063157894736845</c:v>
                </c:pt>
                <c:pt idx="7">
                  <c:v>0.4681965442764579</c:v>
                </c:pt>
                <c:pt idx="8">
                  <c:v>0.479091631147541</c:v>
                </c:pt>
                <c:pt idx="9">
                  <c:v>0.4876438053097345</c:v>
                </c:pt>
                <c:pt idx="10">
                  <c:v>0.49104941699056082</c:v>
                </c:pt>
                <c:pt idx="11">
                  <c:v>0.51206434316353888</c:v>
                </c:pt>
                <c:pt idx="12">
                  <c:v>0.51244635193133048</c:v>
                </c:pt>
                <c:pt idx="13">
                  <c:v>0.52038471053933699</c:v>
                </c:pt>
                <c:pt idx="14">
                  <c:v>0.52638592964824116</c:v>
                </c:pt>
                <c:pt idx="15">
                  <c:v>0.54552571860816945</c:v>
                </c:pt>
                <c:pt idx="16">
                  <c:v>0.5802433628318584</c:v>
                </c:pt>
                <c:pt idx="17">
                  <c:v>0.60235135135135132</c:v>
                </c:pt>
                <c:pt idx="18">
                  <c:v>0.60549004192872113</c:v>
                </c:pt>
                <c:pt idx="19">
                  <c:v>0.64535555555555557</c:v>
                </c:pt>
                <c:pt idx="20">
                  <c:v>0.78859487230646452</c:v>
                </c:pt>
                <c:pt idx="21">
                  <c:v>1.0378887682608695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26-4C57-8866-EF35AF019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605800"/>
        <c:axId val="484606976"/>
      </c:barChart>
      <c:scatterChart>
        <c:scatterStyle val="smoothMarker"/>
        <c:varyColors val="0"/>
        <c:ser>
          <c:idx val="1"/>
          <c:order val="1"/>
          <c:tx>
            <c:v>Median</c:v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'AEB-12 CapEx 2'!$H$28:$H$29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xVal>
          <c:yVal>
            <c:numRef>
              <c:f>'AEB-12 CapEx 2'!$I$28:$I$29</c:f>
              <c:numCache>
                <c:formatCode>0.00%</c:formatCode>
                <c:ptCount val="2"/>
                <c:pt idx="0">
                  <c:v>0.49104941699056082</c:v>
                </c:pt>
                <c:pt idx="1">
                  <c:v>0.49104941699056082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6526-4C57-8866-EF35AF019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608936"/>
        <c:axId val="484608152"/>
      </c:scatterChart>
      <c:catAx>
        <c:axId val="484605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84606976"/>
        <c:crosses val="autoZero"/>
        <c:auto val="1"/>
        <c:lblAlgn val="ctr"/>
        <c:lblOffset val="100"/>
        <c:noMultiLvlLbl val="0"/>
      </c:catAx>
      <c:valAx>
        <c:axId val="48460697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84605800"/>
        <c:crosses val="autoZero"/>
        <c:crossBetween val="between"/>
      </c:valAx>
      <c:valAx>
        <c:axId val="484608152"/>
        <c:scaling>
          <c:orientation val="minMax"/>
        </c:scaling>
        <c:delete val="1"/>
        <c:axPos val="r"/>
        <c:numFmt formatCode="0.00%" sourceLinked="1"/>
        <c:majorTickMark val="out"/>
        <c:minorTickMark val="none"/>
        <c:tickLblPos val="none"/>
        <c:crossAx val="484608936"/>
        <c:crosses val="max"/>
        <c:crossBetween val="midCat"/>
      </c:valAx>
      <c:valAx>
        <c:axId val="484608936"/>
        <c:scaling>
          <c:orientation val="minMax"/>
          <c:max val="10"/>
        </c:scaling>
        <c:delete val="0"/>
        <c:axPos val="t"/>
        <c:numFmt formatCode="General" sourceLinked="1"/>
        <c:majorTickMark val="none"/>
        <c:minorTickMark val="none"/>
        <c:tickLblPos val="none"/>
        <c:crossAx val="484608152"/>
        <c:crosses val="max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111239</xdr:colOff>
      <xdr:row>0</xdr:row>
      <xdr:rowOff>38100</xdr:rowOff>
    </xdr:from>
    <xdr:to>
      <xdr:col>23</xdr:col>
      <xdr:colOff>638174</xdr:colOff>
      <xdr:row>31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6EE14A-01F5-4140-A19C-BF31367D7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0.28076</cdr:x>
      <cdr:y>0.20954</cdr:y>
    </cdr:from>
    <cdr:to>
      <cdr:x>0.44149</cdr:x>
      <cdr:y>0.25519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A457792-F7B5-4332-9C14-41224D22A084}"/>
            </a:ext>
          </a:extLst>
        </cdr:cNvPr>
        <cdr:cNvSpPr txBox="1"/>
      </cdr:nvSpPr>
      <cdr:spPr>
        <a:xfrm xmlns:a="http://schemas.openxmlformats.org/drawingml/2006/main">
          <a:off x="2058897" y="1202531"/>
          <a:ext cx="1178718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0.64251</cdr:x>
      <cdr:y>0.31289</cdr:y>
    </cdr:from>
    <cdr:to>
      <cdr:x>0.75129</cdr:x>
      <cdr:y>0.37306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7380ECD5-C799-4397-B109-C5E8D2582F0D}"/>
            </a:ext>
          </a:extLst>
        </cdr:cNvPr>
        <cdr:cNvSpPr txBox="1"/>
      </cdr:nvSpPr>
      <cdr:spPr>
        <a:xfrm xmlns:a="http://schemas.openxmlformats.org/drawingml/2006/main">
          <a:off x="6238132" y="2059392"/>
          <a:ext cx="1056149" cy="396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CAPM</a:t>
          </a:r>
        </a:p>
      </cdr:txBody>
    </cdr:sp>
  </cdr:relSizeAnchor>
  <cdr:relSizeAnchor xmlns:cdr="http://schemas.openxmlformats.org/drawingml/2006/chartDrawing">
    <cdr:from>
      <cdr:x>0.77828</cdr:x>
      <cdr:y>0.41374</cdr:y>
    </cdr:from>
    <cdr:to>
      <cdr:x>0.88348</cdr:x>
      <cdr:y>0.4739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BEB9929-E302-4329-99E6-31AC07649BE9}"/>
            </a:ext>
          </a:extLst>
        </cdr:cNvPr>
        <cdr:cNvSpPr txBox="1"/>
      </cdr:nvSpPr>
      <cdr:spPr>
        <a:xfrm xmlns:a="http://schemas.openxmlformats.org/drawingml/2006/main">
          <a:off x="7556393" y="2723174"/>
          <a:ext cx="1021390" cy="3959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ECAPM</a:t>
          </a:r>
        </a:p>
      </cdr:txBody>
    </cdr:sp>
  </cdr:relSizeAnchor>
  <cdr:relSizeAnchor xmlns:cdr="http://schemas.openxmlformats.org/drawingml/2006/chartDrawing">
    <cdr:from>
      <cdr:x>0.33854</cdr:x>
      <cdr:y>0.11333</cdr:y>
    </cdr:from>
    <cdr:to>
      <cdr:x>0.64261</cdr:x>
      <cdr:y>0.1735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60524A09-0478-451B-BE21-AFAA95785582}"/>
            </a:ext>
          </a:extLst>
        </cdr:cNvPr>
        <cdr:cNvSpPr txBox="1"/>
      </cdr:nvSpPr>
      <cdr:spPr>
        <a:xfrm xmlns:a="http://schemas.openxmlformats.org/drawingml/2006/main">
          <a:off x="3286890" y="745914"/>
          <a:ext cx="2952226" cy="396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Constant Growth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DCF - Mean</a:t>
          </a:r>
        </a:p>
      </cdr:txBody>
    </cdr:sp>
  </cdr:relSizeAnchor>
  <cdr:relSizeAnchor xmlns:cdr="http://schemas.openxmlformats.org/drawingml/2006/chartDrawing">
    <cdr:from>
      <cdr:x>0.51301</cdr:x>
      <cdr:y>0.38559</cdr:y>
    </cdr:from>
    <cdr:to>
      <cdr:x>0.56984</cdr:x>
      <cdr:y>0.38559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653CABBF-61E2-4E43-AA0A-6C017C891534}"/>
            </a:ext>
          </a:extLst>
        </cdr:cNvPr>
        <cdr:cNvCxnSpPr/>
      </cdr:nvCxnSpPr>
      <cdr:spPr>
        <a:xfrm xmlns:a="http://schemas.openxmlformats.org/drawingml/2006/main" flipV="1">
          <a:off x="4191000" y="2166919"/>
          <a:ext cx="464304" cy="18"/>
        </a:xfrm>
        <a:prstGeom xmlns:a="http://schemas.openxmlformats.org/drawingml/2006/main" prst="straightConnector1">
          <a:avLst/>
        </a:prstGeom>
        <a:ln xmlns:a="http://schemas.openxmlformats.org/drawingml/2006/main" w="19050">
          <a:noFill/>
          <a:prstDash val="dash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0.32771</cdr:x>
      <cdr:y>0.20953</cdr:y>
    </cdr:from>
    <cdr:to>
      <cdr:x>0.66349</cdr:x>
      <cdr:y>0.25556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66204D9D-EE32-4988-B6CD-046DA4C804FD}"/>
            </a:ext>
          </a:extLst>
        </cdr:cNvPr>
        <cdr:cNvSpPr txBox="1"/>
      </cdr:nvSpPr>
      <cdr:spPr>
        <a:xfrm xmlns:a="http://schemas.openxmlformats.org/drawingml/2006/main">
          <a:off x="3181714" y="1379083"/>
          <a:ext cx="3260101" cy="3029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Constant Growth DCF - Median</a:t>
          </a:r>
        </a:p>
      </cdr:txBody>
    </cdr:sp>
  </cdr:relSizeAnchor>
  <cdr:relSizeAnchor xmlns:cdr="http://schemas.openxmlformats.org/drawingml/2006/chartDrawing">
    <cdr:from>
      <cdr:x>0.54627</cdr:x>
      <cdr:y>0.584</cdr:y>
    </cdr:from>
    <cdr:to>
      <cdr:x>0.75376</cdr:x>
      <cdr:y>0.62229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5BEB9929-E302-4329-99E6-31AC07649BE9}"/>
            </a:ext>
          </a:extLst>
        </cdr:cNvPr>
        <cdr:cNvSpPr txBox="1"/>
      </cdr:nvSpPr>
      <cdr:spPr>
        <a:xfrm xmlns:a="http://schemas.openxmlformats.org/drawingml/2006/main">
          <a:off x="5303798" y="3843776"/>
          <a:ext cx="2014463" cy="2519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Risk Premium (natural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gas)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0.58571</cdr:x>
      <cdr:y>0.74302</cdr:y>
    </cdr:from>
    <cdr:to>
      <cdr:x>0.72875</cdr:x>
      <cdr:y>0.83323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66204D9D-EE32-4988-B6CD-046DA4C804FD}"/>
            </a:ext>
          </a:extLst>
        </cdr:cNvPr>
        <cdr:cNvSpPr txBox="1"/>
      </cdr:nvSpPr>
      <cdr:spPr>
        <a:xfrm xmlns:a="http://schemas.openxmlformats.org/drawingml/2006/main">
          <a:off x="5686709" y="4890375"/>
          <a:ext cx="1388781" cy="59374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Recommended ROE Range</a:t>
          </a:r>
        </a:p>
      </cdr:txBody>
    </cdr:sp>
  </cdr:relSizeAnchor>
  <cdr:relSizeAnchor xmlns:cdr="http://schemas.openxmlformats.org/drawingml/2006/chartDrawing">
    <cdr:from>
      <cdr:x>0.54349</cdr:x>
      <cdr:y>0.80994</cdr:y>
    </cdr:from>
    <cdr:to>
      <cdr:x>0.76593</cdr:x>
      <cdr:y>0.81083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01D0C8A9-267B-1BDE-57B1-1912C5FC2A81}"/>
            </a:ext>
          </a:extLst>
        </cdr:cNvPr>
        <cdr:cNvCxnSpPr/>
      </cdr:nvCxnSpPr>
      <cdr:spPr>
        <a:xfrm xmlns:a="http://schemas.openxmlformats.org/drawingml/2006/main" flipV="1">
          <a:off x="4154786" y="3669394"/>
          <a:ext cx="1700474" cy="403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0.375</cdr:x>
      <cdr:y>0.84691</cdr:y>
    </cdr:from>
    <cdr:to>
      <cdr:x>0.49084</cdr:x>
      <cdr:y>0.90159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66204D9D-EE32-4988-B6CD-046DA4C804FD}"/>
            </a:ext>
          </a:extLst>
        </cdr:cNvPr>
        <cdr:cNvSpPr txBox="1"/>
      </cdr:nvSpPr>
      <cdr:spPr>
        <a:xfrm xmlns:a="http://schemas.openxmlformats.org/drawingml/2006/main">
          <a:off x="3640858" y="5574191"/>
          <a:ext cx="1124703" cy="3598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Proposed ROE </a:t>
          </a:r>
        </a:p>
      </cdr:txBody>
    </cdr:sp>
  </cdr:relSizeAnchor>
  <cdr:relSizeAnchor xmlns:cdr="http://schemas.openxmlformats.org/drawingml/2006/chartDrawing">
    <cdr:from>
      <cdr:x>0.48483</cdr:x>
      <cdr:y>0.86661</cdr:y>
    </cdr:from>
    <cdr:to>
      <cdr:x>0.53646</cdr:x>
      <cdr:y>0.86699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42B0E8A5-390E-5F73-A1DA-5B175EFC8416}"/>
            </a:ext>
          </a:extLst>
        </cdr:cNvPr>
        <cdr:cNvCxnSpPr/>
      </cdr:nvCxnSpPr>
      <cdr:spPr>
        <a:xfrm xmlns:a="http://schemas.openxmlformats.org/drawingml/2006/main">
          <a:off x="3701705" y="3926126"/>
          <a:ext cx="394247" cy="1704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0.60942</cdr:x>
      <cdr:y>0.66063</cdr:y>
    </cdr:from>
    <cdr:to>
      <cdr:x>0.78711</cdr:x>
      <cdr:y>0.70188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5BEB9929-E302-4329-99E6-31AC07649BE9}"/>
            </a:ext>
          </a:extLst>
        </cdr:cNvPr>
        <cdr:cNvSpPr txBox="1"/>
      </cdr:nvSpPr>
      <cdr:spPr>
        <a:xfrm xmlns:a="http://schemas.openxmlformats.org/drawingml/2006/main">
          <a:off x="5916908" y="4348130"/>
          <a:ext cx="1725203" cy="271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Expected Earnings</a:t>
          </a:r>
        </a:p>
      </cdr:txBody>
    </cdr:sp>
  </cdr:relSizeAnchor>
  <cdr:relSizeAnchor xmlns:cdr="http://schemas.openxmlformats.org/drawingml/2006/chartDrawing">
    <cdr:from>
      <cdr:x>0.58833</cdr:x>
      <cdr:y>0.50951</cdr:y>
    </cdr:from>
    <cdr:to>
      <cdr:x>0.86193</cdr:x>
      <cdr:y>0.56967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5BEB9929-E302-4329-99E6-31AC07649BE9}"/>
            </a:ext>
          </a:extLst>
        </cdr:cNvPr>
        <cdr:cNvSpPr txBox="1"/>
      </cdr:nvSpPr>
      <cdr:spPr>
        <a:xfrm xmlns:a="http://schemas.openxmlformats.org/drawingml/2006/main">
          <a:off x="5712164" y="3353463"/>
          <a:ext cx="2656392" cy="395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Risk Premium (electric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0.19027</cdr:x>
      <cdr:y>0.5737</cdr:y>
    </cdr:from>
    <cdr:to>
      <cdr:x>0.29008</cdr:x>
      <cdr:y>0.64308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1452765" y="2599091"/>
          <a:ext cx="7620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0.5321</cdr:x>
      <cdr:y>0.89012</cdr:y>
    </cdr:from>
    <cdr:to>
      <cdr:x>0.59946</cdr:x>
      <cdr:y>0.90063</cdr:y>
    </cdr:to>
    <cdr:sp macro="" textlink="">
      <cdr:nvSpPr>
        <cdr:cNvPr id="19" name="TextBox 1">
          <a:extLst xmlns:a="http://schemas.openxmlformats.org/drawingml/2006/main">
            <a:ext uri="{FF2B5EF4-FFF2-40B4-BE49-F238E27FC236}">
              <a16:creationId xmlns:a16="http://schemas.microsoft.com/office/drawing/2014/main" id="{66204D9D-EE32-4988-B6CD-046DA4C804FD}"/>
            </a:ext>
          </a:extLst>
        </cdr:cNvPr>
        <cdr:cNvSpPr txBox="1"/>
      </cdr:nvSpPr>
      <cdr:spPr>
        <a:xfrm xmlns:a="http://schemas.openxmlformats.org/drawingml/2006/main">
          <a:off x="4062615" y="4032604"/>
          <a:ext cx="514350" cy="476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2025</a:t>
          </a:r>
        </a:p>
      </cdr:txBody>
    </cdr:sp>
  </cdr:relSizeAnchor>
  <cdr:relSizeAnchor xmlns:cdr="http://schemas.openxmlformats.org/drawingml/2006/chartDrawing">
    <cdr:from>
      <cdr:x>0.63042</cdr:x>
      <cdr:y>0.88794</cdr:y>
    </cdr:from>
    <cdr:to>
      <cdr:x>0.69778</cdr:x>
      <cdr:y>0.90904</cdr:y>
    </cdr:to>
    <cdr:sp macro="" textlink="">
      <cdr:nvSpPr>
        <cdr:cNvPr id="20" name="TextBox 1">
          <a:extLst xmlns:a="http://schemas.openxmlformats.org/drawingml/2006/main">
            <a:ext uri="{FF2B5EF4-FFF2-40B4-BE49-F238E27FC236}">
              <a16:creationId xmlns:a16="http://schemas.microsoft.com/office/drawing/2014/main" id="{66204D9D-EE32-4988-B6CD-046DA4C804FD}"/>
            </a:ext>
          </a:extLst>
        </cdr:cNvPr>
        <cdr:cNvSpPr txBox="1"/>
      </cdr:nvSpPr>
      <cdr:spPr>
        <a:xfrm xmlns:a="http://schemas.openxmlformats.org/drawingml/2006/main">
          <a:off x="4813300" y="4022725"/>
          <a:ext cx="514350" cy="956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2026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11906</xdr:colOff>
      <xdr:row>1</xdr:row>
      <xdr:rowOff>154781</xdr:rowOff>
    </xdr:from>
    <xdr:to>
      <xdr:col>11</xdr:col>
      <xdr:colOff>514952</xdr:colOff>
      <xdr:row>18</xdr:row>
      <xdr:rowOff>184019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7057</xdr:colOff>
      <xdr:row>2</xdr:row>
      <xdr:rowOff>14609</xdr:rowOff>
    </xdr:from>
    <xdr:to>
      <xdr:col>11</xdr:col>
      <xdr:colOff>664884</xdr:colOff>
      <xdr:row>19</xdr:row>
      <xdr:rowOff>43847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176609</xdr:colOff>
      <xdr:row>2</xdr:row>
      <xdr:rowOff>30237</xdr:rowOff>
    </xdr:from>
    <xdr:to>
      <xdr:col>5</xdr:col>
      <xdr:colOff>723447</xdr:colOff>
      <xdr:row>21</xdr:row>
      <xdr:rowOff>75140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DA8C22-4B07-4368-97D8-103E3B2CD4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335492</xdr:colOff>
      <xdr:row>7</xdr:row>
      <xdr:rowOff>10581</xdr:rowOff>
    </xdr:from>
    <xdr:to>
      <xdr:col>2</xdr:col>
      <xdr:colOff>2004484</xdr:colOff>
      <xdr:row>8</xdr:row>
      <xdr:rowOff>97367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9F23AF93-C7CA-44E5-88AC-B220321C0EF1}"/>
            </a:ext>
          </a:extLst>
        </xdr:cNvPr>
        <xdr:cNvSpPr txBox="1"/>
      </xdr:nvSpPr>
      <xdr:spPr>
        <a:xfrm>
          <a:off x="1237192" y="1136648"/>
          <a:ext cx="2041525" cy="2476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/>
            <a:t>Proxy Group Median = 49.10%</a:t>
          </a:r>
        </a:p>
      </xdr:txBody>
    </xdr:sp>
    <xdr:clientData/>
  </xdr:twoCellAnchor>
  <xdr:twoCellAnchor>
    <xdr:from>
      <xdr:col>2</xdr:col>
      <xdr:colOff>804334</xdr:colOff>
      <xdr:row>8</xdr:row>
      <xdr:rowOff>101600</xdr:rowOff>
    </xdr:from>
    <xdr:to>
      <xdr:col>2</xdr:col>
      <xdr:colOff>1072622</xdr:colOff>
      <xdr:row>12</xdr:row>
      <xdr:rowOff>25399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A612DCD8-0678-4265-B399-8595771F2FBB}"/>
            </a:ext>
          </a:extLst>
        </xdr:cNvPr>
        <xdr:cNvCxnSpPr/>
      </xdr:nvCxnSpPr>
      <xdr:spPr>
        <a:xfrm flipH="1">
          <a:off x="2078567" y="1388533"/>
          <a:ext cx="268288" cy="56726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hazards.fema.gov/nri/data-resources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61"/>
  <sheetViews>
    <sheetView showGridLines="0" view="pageBreakPreview" zoomScale="85" zoomScaleNormal="80" zoomScaleSheetLayoutView="85" zoomScalePageLayoutView="80" workbookViewId="0">
      <selection activeCell="E36" sqref="E36"/>
    </sheetView>
  </sheetViews>
  <sheetFormatPr defaultColWidth="9" defaultRowHeight="15.6" x14ac:dyDescent="0.3"/>
  <cols>
    <col min="1" max="1" width="5" style="21" customWidth="1"/>
    <col min="2" max="2" width="32.109375" style="21" customWidth="1"/>
    <col min="3" max="3" width="18.109375" style="21" customWidth="1"/>
    <col min="4" max="5" width="15.5546875" style="21" customWidth="1"/>
    <col min="6" max="6" width="15.6640625" style="21" customWidth="1"/>
    <col min="7" max="7" width="5.5546875" style="21" customWidth="1"/>
    <col min="8" max="8" width="10.6640625" style="21" customWidth="1"/>
    <col min="9" max="9" width="12.44140625" style="21" bestFit="1" customWidth="1"/>
    <col min="10" max="11" width="9" style="21"/>
    <col min="12" max="12" width="17.6640625" style="21" bestFit="1" customWidth="1"/>
    <col min="13" max="15" width="9" style="21"/>
    <col min="16" max="16" width="12.6640625" style="21" bestFit="1" customWidth="1"/>
    <col min="17" max="16384" width="9" style="21"/>
  </cols>
  <sheetData>
    <row r="1" spans="2:10" s="5" customFormat="1" ht="16.2" thickBot="1" x14ac:dyDescent="0.35">
      <c r="B1" s="379" t="s">
        <v>0</v>
      </c>
      <c r="C1" s="379"/>
      <c r="D1" s="379"/>
      <c r="E1" s="379"/>
      <c r="F1" s="4"/>
    </row>
    <row r="2" spans="2:10" s="7" customFormat="1" ht="15" customHeight="1" thickTop="1" x14ac:dyDescent="0.3">
      <c r="B2" s="380" t="s">
        <v>1</v>
      </c>
      <c r="C2" s="380"/>
      <c r="D2" s="380"/>
      <c r="E2" s="380"/>
      <c r="F2" s="6"/>
      <c r="H2" s="8"/>
      <c r="I2" s="8" t="s">
        <v>2</v>
      </c>
      <c r="J2" s="8" t="s">
        <v>3</v>
      </c>
    </row>
    <row r="3" spans="2:10" s="7" customFormat="1" x14ac:dyDescent="0.3">
      <c r="B3" s="9"/>
      <c r="C3" s="7" t="s">
        <v>4</v>
      </c>
      <c r="D3" s="7" t="s">
        <v>5</v>
      </c>
      <c r="E3" s="7" t="s">
        <v>6</v>
      </c>
      <c r="H3" s="10" t="s">
        <v>7</v>
      </c>
      <c r="I3" s="11">
        <f>C7</f>
        <v>8.9600136046873488E-2</v>
      </c>
      <c r="J3" s="12">
        <v>8</v>
      </c>
    </row>
    <row r="4" spans="2:10" s="7" customFormat="1" x14ac:dyDescent="0.3">
      <c r="B4" s="7" t="s">
        <v>8</v>
      </c>
      <c r="C4" s="11">
        <f>'AEB-5 CGDCF'!L29</f>
        <v>9.0676479821124811E-2</v>
      </c>
      <c r="D4" s="11">
        <f>'AEB-5 CGDCF'!M29</f>
        <v>0.10161477638493341</v>
      </c>
      <c r="E4" s="11">
        <f>'AEB-5 CGDCF'!N29</f>
        <v>0.11183483322553289</v>
      </c>
      <c r="F4" s="13"/>
      <c r="H4" s="10"/>
      <c r="I4" s="13">
        <f>D7</f>
        <v>0.10053395110553949</v>
      </c>
      <c r="J4" s="12">
        <v>8</v>
      </c>
    </row>
    <row r="5" spans="2:10" s="7" customFormat="1" x14ac:dyDescent="0.3">
      <c r="B5" s="7" t="s">
        <v>9</v>
      </c>
      <c r="C5" s="11">
        <f>'AEB-5 CGDCF'!L73</f>
        <v>9.000233616990562E-2</v>
      </c>
      <c r="D5" s="11">
        <f>'AEB-5 CGDCF'!M73</f>
        <v>0.10093809799780799</v>
      </c>
      <c r="E5" s="11">
        <f>'AEB-5 CGDCF'!N73</f>
        <v>0.11115521112271756</v>
      </c>
      <c r="F5" s="13"/>
      <c r="H5" s="10"/>
      <c r="I5" s="11">
        <f>E7</f>
        <v>0.11074920125752059</v>
      </c>
      <c r="J5" s="12">
        <v>8</v>
      </c>
    </row>
    <row r="6" spans="2:10" s="7" customFormat="1" x14ac:dyDescent="0.3">
      <c r="B6" s="7" t="s">
        <v>10</v>
      </c>
      <c r="C6" s="11">
        <f>'AEB-5 CGDCF'!L117</f>
        <v>8.8121592149590047E-2</v>
      </c>
      <c r="D6" s="11">
        <f>'AEB-5 CGDCF'!M117</f>
        <v>9.9048978933877083E-2</v>
      </c>
      <c r="E6" s="11">
        <f>'AEB-5 CGDCF'!N117</f>
        <v>0.10925755942431137</v>
      </c>
      <c r="F6" s="13"/>
      <c r="H6" s="10" t="s">
        <v>11</v>
      </c>
      <c r="I6" s="11">
        <f>C12</f>
        <v>9.1448161363253025E-2</v>
      </c>
      <c r="J6" s="12">
        <v>7</v>
      </c>
    </row>
    <row r="7" spans="2:10" s="7" customFormat="1" ht="16.2" x14ac:dyDescent="0.3">
      <c r="B7" s="14" t="s">
        <v>12</v>
      </c>
      <c r="C7" s="15">
        <f>AVERAGE(C4:C6)</f>
        <v>8.9600136046873488E-2</v>
      </c>
      <c r="D7" s="15">
        <f>AVERAGE(D4:D6)</f>
        <v>0.10053395110553949</v>
      </c>
      <c r="E7" s="15">
        <f>AVERAGE(E4:E6)</f>
        <v>0.11074920125752059</v>
      </c>
      <c r="F7" s="6"/>
      <c r="H7" s="10"/>
      <c r="I7" s="11">
        <f>D12</f>
        <v>9.9313210821388775E-2</v>
      </c>
      <c r="J7" s="12">
        <v>7</v>
      </c>
    </row>
    <row r="8" spans="2:10" s="7" customFormat="1" x14ac:dyDescent="0.3">
      <c r="B8" s="9"/>
      <c r="C8" s="7" t="s">
        <v>13</v>
      </c>
      <c r="D8" s="7" t="s">
        <v>14</v>
      </c>
      <c r="E8" s="7" t="s">
        <v>15</v>
      </c>
      <c r="H8" s="10"/>
      <c r="I8" s="11">
        <f>E12</f>
        <v>0.11136523088522721</v>
      </c>
      <c r="J8" s="12">
        <v>7</v>
      </c>
    </row>
    <row r="9" spans="2:10" s="7" customFormat="1" x14ac:dyDescent="0.3">
      <c r="B9" s="7" t="s">
        <v>8</v>
      </c>
      <c r="C9" s="11">
        <f>'AEB-5 CGDCF'!L30</f>
        <v>9.3716114038820339E-2</v>
      </c>
      <c r="D9" s="11">
        <f>'AEB-5 CGDCF'!M30</f>
        <v>0.100830256201708</v>
      </c>
      <c r="E9" s="11">
        <f>'AEB-5 CGDCF'!N30</f>
        <v>0.11241805943879324</v>
      </c>
      <c r="G9" s="16"/>
      <c r="H9" s="17" t="s">
        <v>16</v>
      </c>
      <c r="I9" s="11">
        <f>MIN(C17:E19)</f>
        <v>0.10411538350234723</v>
      </c>
      <c r="J9" s="12">
        <v>6</v>
      </c>
    </row>
    <row r="10" spans="2:10" s="7" customFormat="1" x14ac:dyDescent="0.3">
      <c r="B10" s="7" t="s">
        <v>9</v>
      </c>
      <c r="C10" s="11">
        <f>'AEB-5 CGDCF'!L74</f>
        <v>9.1672779999064757E-2</v>
      </c>
      <c r="D10" s="11">
        <f>'AEB-5 CGDCF'!M74</f>
        <v>9.9491753558543533E-2</v>
      </c>
      <c r="E10" s="11">
        <f>'AEB-5 CGDCF'!N74</f>
        <v>0.11209530367404444</v>
      </c>
      <c r="H10" s="17"/>
      <c r="I10" s="11">
        <f>MAX(C17:E19)</f>
        <v>0.11686118303071844</v>
      </c>
      <c r="J10" s="12">
        <v>6</v>
      </c>
    </row>
    <row r="11" spans="2:10" s="7" customFormat="1" x14ac:dyDescent="0.3">
      <c r="B11" s="7" t="s">
        <v>10</v>
      </c>
      <c r="C11" s="11">
        <f>'AEB-5 CGDCF'!L118</f>
        <v>8.8955590051874006E-2</v>
      </c>
      <c r="D11" s="11">
        <f>'AEB-5 CGDCF'!M118</f>
        <v>9.7617622703914747E-2</v>
      </c>
      <c r="E11" s="11">
        <f>'AEB-5 CGDCF'!N118</f>
        <v>0.10958232954284396</v>
      </c>
      <c r="H11" s="17" t="s">
        <v>17</v>
      </c>
      <c r="I11" s="11">
        <f>MIN(C21:E23)</f>
        <v>0.10947903329671242</v>
      </c>
      <c r="J11" s="12">
        <v>5</v>
      </c>
    </row>
    <row r="12" spans="2:10" s="7" customFormat="1" x14ac:dyDescent="0.3">
      <c r="B12" s="8" t="s">
        <v>12</v>
      </c>
      <c r="C12" s="11">
        <f>AVERAGE(C9:C11)</f>
        <v>9.1448161363253025E-2</v>
      </c>
      <c r="D12" s="11">
        <f>AVERAGE(D9:D11)</f>
        <v>9.9313210821388775E-2</v>
      </c>
      <c r="E12" s="11">
        <f>AVERAGE(E9:E11)</f>
        <v>0.11136523088522721</v>
      </c>
      <c r="H12" s="17"/>
      <c r="I12" s="11">
        <f>MAX(C21:E23)</f>
        <v>0.11903838294299085</v>
      </c>
      <c r="J12" s="12">
        <v>5</v>
      </c>
    </row>
    <row r="13" spans="2:10" s="7" customFormat="1" ht="16.2" x14ac:dyDescent="0.3">
      <c r="B13" s="378" t="s">
        <v>18</v>
      </c>
      <c r="C13" s="378"/>
      <c r="D13" s="378"/>
      <c r="E13" s="378"/>
      <c r="H13" s="17" t="s">
        <v>19</v>
      </c>
      <c r="I13" s="11">
        <f>E26</f>
        <v>0.10383630585688483</v>
      </c>
      <c r="J13" s="12">
        <v>4</v>
      </c>
    </row>
    <row r="14" spans="2:10" s="7" customFormat="1" x14ac:dyDescent="0.3">
      <c r="B14" s="9"/>
      <c r="C14" s="381" t="s">
        <v>20</v>
      </c>
      <c r="D14" s="381" t="s">
        <v>21</v>
      </c>
      <c r="E14" s="381" t="s">
        <v>22</v>
      </c>
      <c r="H14" s="17"/>
      <c r="I14" s="11">
        <f>C26</f>
        <v>0.10679098480134493</v>
      </c>
      <c r="J14" s="12">
        <v>4</v>
      </c>
    </row>
    <row r="15" spans="2:10" s="7" customFormat="1" x14ac:dyDescent="0.3">
      <c r="B15" s="9"/>
      <c r="C15" s="381"/>
      <c r="D15" s="381"/>
      <c r="E15" s="381"/>
      <c r="H15" s="17" t="s">
        <v>23</v>
      </c>
      <c r="I15" s="11">
        <f>E27</f>
        <v>0.10219191579423781</v>
      </c>
      <c r="J15" s="12">
        <v>3.25</v>
      </c>
    </row>
    <row r="16" spans="2:10" s="7" customFormat="1" x14ac:dyDescent="0.3">
      <c r="B16" s="9"/>
      <c r="C16" s="381"/>
      <c r="D16" s="381"/>
      <c r="E16" s="381"/>
      <c r="H16" s="17"/>
      <c r="I16" s="11">
        <f>C27</f>
        <v>0.10505515777388055</v>
      </c>
      <c r="J16" s="12">
        <v>3.25</v>
      </c>
    </row>
    <row r="17" spans="1:12" s="7" customFormat="1" x14ac:dyDescent="0.3">
      <c r="B17" s="7" t="s">
        <v>24</v>
      </c>
      <c r="C17" s="13">
        <f>'AEB-6 CAPM'!G30</f>
        <v>0.11686118303071844</v>
      </c>
      <c r="D17" s="13">
        <f>'AEB-6 CAPM'!G70</f>
        <v>0.11653143699897239</v>
      </c>
      <c r="E17" s="13">
        <f>'AEB-6 CAPM'!G110</f>
        <v>0.11610619890373428</v>
      </c>
      <c r="G17" s="10"/>
      <c r="H17" s="17" t="s">
        <v>25</v>
      </c>
      <c r="I17" s="11">
        <f>E30</f>
        <v>0.10309332565069569</v>
      </c>
      <c r="J17" s="12">
        <v>2.5</v>
      </c>
    </row>
    <row r="18" spans="1:12" s="7" customFormat="1" x14ac:dyDescent="0.3">
      <c r="B18" s="7" t="s">
        <v>26</v>
      </c>
      <c r="C18" s="13">
        <f>'AEB-6 CAPM'!G150</f>
        <v>0.10934732561272797</v>
      </c>
      <c r="D18" s="13">
        <f>'AEB-6 CAPM'!G190</f>
        <v>0.10873307829877057</v>
      </c>
      <c r="E18" s="13">
        <f>'AEB-6 CAPM'!G230</f>
        <v>0.10794094940973049</v>
      </c>
      <c r="G18" s="10"/>
      <c r="H18" s="17"/>
      <c r="I18" s="11">
        <f>D30</f>
        <v>0.10855188648206433</v>
      </c>
      <c r="J18" s="12">
        <v>2.5</v>
      </c>
      <c r="L18" s="18"/>
    </row>
    <row r="19" spans="1:12" s="7" customFormat="1" x14ac:dyDescent="0.3">
      <c r="B19" s="7" t="s">
        <v>27</v>
      </c>
      <c r="C19" s="13">
        <f>'AEB-6 CAPM'!G270</f>
        <v>0.10582694858171231</v>
      </c>
      <c r="D19" s="13">
        <f>'AEB-6 CAPM'!G310</f>
        <v>0.10507940731187103</v>
      </c>
      <c r="E19" s="13">
        <f>'AEB-6 CAPM'!G350</f>
        <v>0.10411538350234723</v>
      </c>
      <c r="G19" s="10"/>
      <c r="H19" s="17" t="s">
        <v>28</v>
      </c>
      <c r="I19" s="20">
        <v>9.9000000000000005E-2</v>
      </c>
      <c r="J19" s="12">
        <v>0</v>
      </c>
      <c r="L19" s="18"/>
    </row>
    <row r="20" spans="1:12" s="5" customFormat="1" ht="16.2" x14ac:dyDescent="0.3">
      <c r="A20" s="7"/>
      <c r="B20" s="378" t="s">
        <v>29</v>
      </c>
      <c r="C20" s="378"/>
      <c r="D20" s="378"/>
      <c r="E20" s="378"/>
      <c r="F20" s="7"/>
      <c r="G20" s="10"/>
      <c r="H20" s="12"/>
      <c r="I20" s="20">
        <f>I19</f>
        <v>9.9000000000000005E-2</v>
      </c>
      <c r="J20" s="12">
        <v>9</v>
      </c>
      <c r="L20" s="18"/>
    </row>
    <row r="21" spans="1:12" s="5" customFormat="1" x14ac:dyDescent="0.3">
      <c r="B21" s="7" t="s">
        <v>24</v>
      </c>
      <c r="C21" s="13">
        <f>'AEB-6 CAPM'!H30</f>
        <v>0.11903838294299085</v>
      </c>
      <c r="D21" s="13">
        <f>'AEB-6 CAPM'!H70</f>
        <v>0.11879107341918131</v>
      </c>
      <c r="E21" s="13">
        <f>'AEB-6 CAPM'!H110</f>
        <v>0.11847214484775276</v>
      </c>
      <c r="F21" s="7"/>
      <c r="G21" s="19"/>
      <c r="H21" s="17" t="s">
        <v>30</v>
      </c>
      <c r="I21" s="20">
        <v>0.11</v>
      </c>
      <c r="J21" s="12">
        <f>J19</f>
        <v>0</v>
      </c>
      <c r="L21" s="18"/>
    </row>
    <row r="22" spans="1:12" x14ac:dyDescent="0.3">
      <c r="B22" s="7" t="s">
        <v>26</v>
      </c>
      <c r="C22" s="13">
        <f>'AEB-6 CAPM'!H150</f>
        <v>0.113402989879498</v>
      </c>
      <c r="D22" s="13">
        <f>'AEB-6 CAPM'!H190</f>
        <v>0.11294230439402997</v>
      </c>
      <c r="E22" s="13">
        <f>'AEB-6 CAPM'!H230</f>
        <v>0.11234820772724989</v>
      </c>
      <c r="F22" s="13"/>
      <c r="G22" s="22"/>
      <c r="H22" s="12"/>
      <c r="I22" s="20">
        <f>I21</f>
        <v>0.11</v>
      </c>
      <c r="J22" s="12">
        <v>9</v>
      </c>
      <c r="L22" s="18"/>
    </row>
    <row r="23" spans="1:12" ht="16.2" x14ac:dyDescent="0.3">
      <c r="B23" s="7" t="s">
        <v>27</v>
      </c>
      <c r="C23" s="13">
        <f>'AEB-6 CAPM'!H270</f>
        <v>0.11076270710623624</v>
      </c>
      <c r="D23" s="13">
        <f>'AEB-6 CAPM'!H310</f>
        <v>0.1102020511538553</v>
      </c>
      <c r="E23" s="13">
        <f>'AEB-6 CAPM'!H350</f>
        <v>0.10947903329671242</v>
      </c>
      <c r="F23" s="23"/>
      <c r="L23" s="18"/>
    </row>
    <row r="24" spans="1:12" ht="16.2" x14ac:dyDescent="0.3">
      <c r="B24" s="378" t="s">
        <v>31</v>
      </c>
      <c r="C24" s="378"/>
      <c r="D24" s="378"/>
      <c r="E24" s="378"/>
      <c r="F24" s="24"/>
    </row>
    <row r="25" spans="1:12" ht="46.8" x14ac:dyDescent="0.3">
      <c r="B25" s="9"/>
      <c r="C25" s="7" t="s">
        <v>20</v>
      </c>
      <c r="D25" s="7" t="s">
        <v>21</v>
      </c>
      <c r="E25" s="7" t="s">
        <v>22</v>
      </c>
      <c r="F25" s="18"/>
      <c r="G25" s="18"/>
      <c r="H25" s="17" t="s">
        <v>32</v>
      </c>
      <c r="I25" s="20">
        <v>9.9500000000000005E-2</v>
      </c>
      <c r="J25" s="12">
        <v>0.8</v>
      </c>
    </row>
    <row r="26" spans="1:12" x14ac:dyDescent="0.3">
      <c r="B26" s="7" t="s">
        <v>33</v>
      </c>
      <c r="C26" s="13">
        <f>'AEB-9 Risk Premium (Electric)'!K47</f>
        <v>0.10679098480134493</v>
      </c>
      <c r="D26" s="13">
        <f>'AEB-9 Risk Premium (Electric)'!K48</f>
        <v>0.10550050249556295</v>
      </c>
      <c r="E26" s="13">
        <f>'AEB-9 Risk Premium (Electric)'!K49</f>
        <v>0.10383630585688483</v>
      </c>
      <c r="F26" s="18"/>
      <c r="G26" s="18"/>
      <c r="H26" s="17" t="s">
        <v>34</v>
      </c>
      <c r="I26" s="20">
        <v>0.105</v>
      </c>
      <c r="J26" s="12">
        <v>0.8</v>
      </c>
    </row>
    <row r="27" spans="1:12" s="18" customFormat="1" ht="31.2" x14ac:dyDescent="0.3">
      <c r="B27" s="25" t="s">
        <v>35</v>
      </c>
      <c r="C27" s="26">
        <f>'AEB-9 Risk Premium (Gas)'!K47</f>
        <v>0.10505515777388055</v>
      </c>
      <c r="D27" s="26">
        <f>'AEB-9 Risk Premium (Gas)'!K48</f>
        <v>0.10380461137565714</v>
      </c>
      <c r="E27" s="26">
        <f>'AEB-9 Risk Premium (Gas)'!K49</f>
        <v>0.10219191579423781</v>
      </c>
      <c r="H27" s="21"/>
      <c r="I27" s="21"/>
      <c r="J27" s="21"/>
    </row>
    <row r="28" spans="1:12" s="18" customFormat="1" ht="16.2" x14ac:dyDescent="0.3">
      <c r="B28" s="378" t="s">
        <v>25</v>
      </c>
      <c r="C28" s="378"/>
      <c r="D28" s="378"/>
      <c r="E28" s="378"/>
      <c r="H28" s="21"/>
      <c r="I28" s="21"/>
      <c r="J28" s="21"/>
    </row>
    <row r="29" spans="1:12" s="18" customFormat="1" x14ac:dyDescent="0.3">
      <c r="D29" s="7" t="s">
        <v>5</v>
      </c>
      <c r="E29" s="7" t="s">
        <v>14</v>
      </c>
    </row>
    <row r="30" spans="1:12" s="18" customFormat="1" x14ac:dyDescent="0.3">
      <c r="B30" s="25" t="s">
        <v>36</v>
      </c>
      <c r="C30" s="27"/>
      <c r="D30" s="26">
        <f>'AEB-10 Expected Earnings'!L29</f>
        <v>0.10855188648206433</v>
      </c>
      <c r="E30" s="26">
        <f>'AEB-10 Expected Earnings'!L30</f>
        <v>0.10309332565069569</v>
      </c>
    </row>
    <row r="31" spans="1:12" s="18" customFormat="1" ht="12.75" customHeight="1" x14ac:dyDescent="0.3"/>
    <row r="32" spans="1:12" s="18" customFormat="1" ht="15" customHeight="1" x14ac:dyDescent="0.3"/>
    <row r="33" s="18" customFormat="1" ht="27.9" customHeight="1" x14ac:dyDescent="0.3"/>
    <row r="34" s="18" customFormat="1" ht="15" customHeight="1" x14ac:dyDescent="0.3"/>
    <row r="35" s="18" customFormat="1" ht="15" customHeight="1" x14ac:dyDescent="0.3"/>
    <row r="36" s="18" customFormat="1" ht="15" customHeight="1" x14ac:dyDescent="0.3"/>
    <row r="37" s="18" customFormat="1" ht="15" customHeight="1" x14ac:dyDescent="0.3"/>
    <row r="38" s="18" customFormat="1" ht="13.5" customHeight="1" x14ac:dyDescent="0.3"/>
    <row r="39" s="18" customFormat="1" x14ac:dyDescent="0.3"/>
    <row r="40" s="18" customFormat="1" ht="15" customHeight="1" x14ac:dyDescent="0.3"/>
    <row r="41" s="18" customFormat="1" ht="15" customHeight="1" x14ac:dyDescent="0.3"/>
    <row r="42" s="18" customFormat="1" ht="15" customHeight="1" x14ac:dyDescent="0.3"/>
    <row r="43" s="18" customFormat="1" ht="15" customHeight="1" x14ac:dyDescent="0.3"/>
    <row r="44" s="18" customFormat="1" ht="45" customHeight="1" x14ac:dyDescent="0.3"/>
    <row r="45" s="18" customFormat="1" x14ac:dyDescent="0.3"/>
    <row r="46" s="18" customFormat="1" x14ac:dyDescent="0.3"/>
    <row r="47" s="18" customFormat="1" x14ac:dyDescent="0.3"/>
    <row r="48" s="18" customFormat="1" ht="18" customHeight="1" x14ac:dyDescent="0.3"/>
    <row r="49" spans="2:10" s="18" customFormat="1" ht="14.25" customHeight="1" x14ac:dyDescent="0.3"/>
    <row r="50" spans="2:10" s="18" customFormat="1" x14ac:dyDescent="0.3"/>
    <row r="51" spans="2:10" s="18" customFormat="1" ht="12.75" customHeight="1" x14ac:dyDescent="0.3"/>
    <row r="52" spans="2:10" s="18" customFormat="1" ht="12.9" customHeight="1" x14ac:dyDescent="0.3"/>
    <row r="53" spans="2:10" s="18" customFormat="1" ht="43.5" customHeight="1" x14ac:dyDescent="0.3"/>
    <row r="54" spans="2:10" s="18" customFormat="1" x14ac:dyDescent="0.3"/>
    <row r="55" spans="2:10" s="18" customFormat="1" x14ac:dyDescent="0.3"/>
    <row r="56" spans="2:10" s="18" customFormat="1" x14ac:dyDescent="0.3"/>
    <row r="57" spans="2:10" s="18" customFormat="1" x14ac:dyDescent="0.3"/>
    <row r="58" spans="2:10" x14ac:dyDescent="0.3">
      <c r="B58" s="18"/>
      <c r="C58" s="18"/>
      <c r="D58" s="18"/>
      <c r="E58" s="18"/>
      <c r="H58" s="18"/>
      <c r="I58" s="18"/>
      <c r="J58" s="18"/>
    </row>
    <row r="59" spans="2:10" x14ac:dyDescent="0.3">
      <c r="H59" s="18"/>
      <c r="I59" s="18"/>
      <c r="J59" s="18"/>
    </row>
    <row r="60" spans="2:10" x14ac:dyDescent="0.3">
      <c r="H60" s="18"/>
      <c r="I60" s="18"/>
      <c r="J60" s="18"/>
    </row>
    <row r="61" spans="2:10" x14ac:dyDescent="0.3">
      <c r="H61" s="18"/>
      <c r="I61" s="18"/>
      <c r="J61" s="18"/>
    </row>
  </sheetData>
  <mergeCells count="9">
    <mergeCell ref="B28:E28"/>
    <mergeCell ref="B1:E1"/>
    <mergeCell ref="B2:E2"/>
    <mergeCell ref="B13:E13"/>
    <mergeCell ref="B20:E20"/>
    <mergeCell ref="B24:E24"/>
    <mergeCell ref="C14:C16"/>
    <mergeCell ref="D14:D16"/>
    <mergeCell ref="E14:E16"/>
  </mergeCells>
  <printOptions horizontalCentered="1"/>
  <pageMargins left="0.7" right="0.7" top="1.25" bottom="0.75" header="0.3" footer="0.3"/>
  <pageSetup scale="87" orientation="landscape" useFirstPageNumber="1" r:id="rId1"/>
  <headerFooter scaleWithDoc="0">
    <oddFooter>&amp;L&amp;"Times New Roman,Bold"&amp;12&amp;KFF0000Draft- Privileged and Confidential&amp;R&amp;"Times New Roman,Regular"&amp;12Exhibit AEB-3
Page &amp;P of &amp;N</oddFooter>
  </headerFooter>
  <colBreaks count="1" manualBreakCount="1">
    <brk id="10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>
    <pageSetUpPr autoPageBreaks="0"/>
  </sheetPr>
  <dimension ref="A2:U95"/>
  <sheetViews>
    <sheetView view="pageBreakPreview" zoomScale="60" zoomScaleNormal="85" workbookViewId="0"/>
  </sheetViews>
  <sheetFormatPr defaultColWidth="9" defaultRowHeight="15" customHeight="1" x14ac:dyDescent="0.3"/>
  <cols>
    <col min="1" max="1" width="35.44140625" style="248" customWidth="1"/>
    <col min="2" max="2" width="17.88671875" style="248" bestFit="1" customWidth="1"/>
    <col min="3" max="3" width="32.6640625" style="248" customWidth="1"/>
    <col min="4" max="4" width="20.5546875" style="248" customWidth="1"/>
    <col min="5" max="5" width="9" style="248"/>
    <col min="6" max="6" width="19.33203125" style="248" bestFit="1" customWidth="1"/>
    <col min="7" max="8" width="9" style="248"/>
    <col min="9" max="10" width="9" style="18"/>
    <col min="11" max="11" width="16" style="18" customWidth="1"/>
    <col min="12" max="21" width="9" style="18"/>
    <col min="22" max="16384" width="9" style="248"/>
  </cols>
  <sheetData>
    <row r="2" spans="1:7" ht="15.6" x14ac:dyDescent="0.3">
      <c r="A2" s="394" t="s">
        <v>1385</v>
      </c>
      <c r="B2" s="394"/>
      <c r="C2" s="394"/>
      <c r="D2" s="394"/>
    </row>
    <row r="3" spans="1:7" ht="15.6" x14ac:dyDescent="0.3">
      <c r="A3" s="394" t="s">
        <v>1386</v>
      </c>
      <c r="B3" s="395"/>
      <c r="C3" s="395"/>
      <c r="D3" s="395"/>
      <c r="E3" s="249"/>
    </row>
    <row r="4" spans="1:7" ht="15.6" x14ac:dyDescent="0.3">
      <c r="E4" s="250"/>
    </row>
    <row r="5" spans="1:7" ht="16.2" thickBot="1" x14ac:dyDescent="0.35">
      <c r="A5" s="249"/>
      <c r="B5" s="249"/>
      <c r="C5" s="251" t="s">
        <v>38</v>
      </c>
      <c r="D5" s="251" t="s">
        <v>39</v>
      </c>
    </row>
    <row r="6" spans="1:7" ht="15.6" x14ac:dyDescent="0.3">
      <c r="A6" s="252" t="s">
        <v>1387</v>
      </c>
      <c r="B6" s="253" t="s">
        <v>1388</v>
      </c>
      <c r="C6" s="396" t="s">
        <v>1389</v>
      </c>
      <c r="D6" s="396"/>
      <c r="F6" s="397" t="s">
        <v>1390</v>
      </c>
      <c r="G6" s="397"/>
    </row>
    <row r="7" spans="1:7" ht="15.6" x14ac:dyDescent="0.3">
      <c r="A7" s="254"/>
      <c r="B7" s="255"/>
      <c r="C7" s="256" t="s">
        <v>1391</v>
      </c>
      <c r="D7" s="257" t="s">
        <v>1392</v>
      </c>
    </row>
    <row r="8" spans="1:7" ht="15.6" x14ac:dyDescent="0.3">
      <c r="F8" s="258" t="s">
        <v>1393</v>
      </c>
      <c r="G8" s="259" t="s">
        <v>1394</v>
      </c>
    </row>
    <row r="9" spans="1:7" ht="15.6" x14ac:dyDescent="0.3">
      <c r="A9" s="248" t="s">
        <v>56</v>
      </c>
      <c r="B9" s="248" t="s">
        <v>1395</v>
      </c>
      <c r="C9" s="260" t="s">
        <v>1396</v>
      </c>
      <c r="D9" s="260">
        <f>IFERROR(INDEX($G$9:$G$13,MATCH(C9,$F$9:$F$13,0)),"")</f>
        <v>1</v>
      </c>
      <c r="F9" s="261" t="s">
        <v>1397</v>
      </c>
      <c r="G9" s="262">
        <v>5</v>
      </c>
    </row>
    <row r="10" spans="1:7" ht="15.6" x14ac:dyDescent="0.3">
      <c r="B10" s="248" t="s">
        <v>1398</v>
      </c>
      <c r="C10" s="260" t="s">
        <v>1399</v>
      </c>
      <c r="D10" s="260">
        <f t="shared" ref="D10:D73" si="0">IFERROR(INDEX($G$9:$G$13,MATCH(C10,$F$9:$F$13,0)),"")</f>
        <v>2</v>
      </c>
      <c r="F10" s="263" t="s">
        <v>1400</v>
      </c>
      <c r="G10" s="264">
        <v>4</v>
      </c>
    </row>
    <row r="11" spans="1:7" ht="15.6" x14ac:dyDescent="0.3">
      <c r="B11" s="248" t="s">
        <v>1401</v>
      </c>
      <c r="C11" s="260" t="s">
        <v>1396</v>
      </c>
      <c r="D11" s="260">
        <f t="shared" si="0"/>
        <v>1</v>
      </c>
      <c r="F11" s="263" t="s">
        <v>1402</v>
      </c>
      <c r="G11" s="264">
        <v>3</v>
      </c>
    </row>
    <row r="12" spans="1:7" ht="15.6" x14ac:dyDescent="0.3">
      <c r="B12" s="248" t="s">
        <v>1403</v>
      </c>
      <c r="C12" s="260" t="s">
        <v>1396</v>
      </c>
      <c r="D12" s="260">
        <f t="shared" si="0"/>
        <v>1</v>
      </c>
      <c r="F12" s="263" t="s">
        <v>1399</v>
      </c>
      <c r="G12" s="264">
        <v>2</v>
      </c>
    </row>
    <row r="13" spans="1:7" ht="15.6" x14ac:dyDescent="0.3">
      <c r="B13" s="248" t="s">
        <v>1404</v>
      </c>
      <c r="C13" s="260" t="s">
        <v>1396</v>
      </c>
      <c r="D13" s="260">
        <f t="shared" si="0"/>
        <v>1</v>
      </c>
      <c r="F13" s="265" t="s">
        <v>1396</v>
      </c>
      <c r="G13" s="266">
        <v>1</v>
      </c>
    </row>
    <row r="14" spans="1:7" ht="15.6" x14ac:dyDescent="0.3">
      <c r="B14" s="248" t="s">
        <v>1405</v>
      </c>
      <c r="C14" s="260" t="s">
        <v>1399</v>
      </c>
      <c r="D14" s="260">
        <f t="shared" si="0"/>
        <v>2</v>
      </c>
      <c r="F14" s="18"/>
      <c r="G14" s="18"/>
    </row>
    <row r="15" spans="1:7" ht="15.6" x14ac:dyDescent="0.3">
      <c r="A15" s="248" t="s">
        <v>61</v>
      </c>
      <c r="B15" s="248" t="s">
        <v>1406</v>
      </c>
      <c r="C15" s="260" t="s">
        <v>1399</v>
      </c>
      <c r="D15" s="260">
        <f t="shared" si="0"/>
        <v>2</v>
      </c>
      <c r="F15" s="18"/>
      <c r="G15" s="18"/>
    </row>
    <row r="16" spans="1:7" ht="15.6" x14ac:dyDescent="0.3">
      <c r="A16" s="248" t="s">
        <v>64</v>
      </c>
      <c r="B16" s="248" t="s">
        <v>1407</v>
      </c>
      <c r="C16" s="260" t="s">
        <v>1396</v>
      </c>
      <c r="D16" s="260">
        <f t="shared" si="0"/>
        <v>1</v>
      </c>
      <c r="F16" s="18"/>
      <c r="G16" s="18"/>
    </row>
    <row r="17" spans="1:7" ht="15.6" x14ac:dyDescent="0.3">
      <c r="B17" s="248" t="s">
        <v>1408</v>
      </c>
      <c r="C17" s="260" t="s">
        <v>1396</v>
      </c>
      <c r="D17" s="260">
        <f t="shared" si="0"/>
        <v>1</v>
      </c>
      <c r="F17" s="18"/>
      <c r="G17" s="18"/>
    </row>
    <row r="18" spans="1:7" ht="15.6" x14ac:dyDescent="0.3">
      <c r="A18" s="248" t="s">
        <v>67</v>
      </c>
      <c r="B18" s="248" t="s">
        <v>1409</v>
      </c>
      <c r="C18" s="260" t="s">
        <v>1396</v>
      </c>
      <c r="D18" s="260">
        <f t="shared" si="0"/>
        <v>1</v>
      </c>
      <c r="F18" s="18"/>
      <c r="G18" s="18"/>
    </row>
    <row r="19" spans="1:7" ht="15.6" x14ac:dyDescent="0.3">
      <c r="B19" s="248" t="s">
        <v>1410</v>
      </c>
      <c r="C19" s="260" t="s">
        <v>1399</v>
      </c>
      <c r="D19" s="260">
        <f t="shared" si="0"/>
        <v>2</v>
      </c>
    </row>
    <row r="20" spans="1:7" ht="15.6" x14ac:dyDescent="0.3">
      <c r="A20" s="248" t="s">
        <v>69</v>
      </c>
      <c r="B20" s="248" t="s">
        <v>1411</v>
      </c>
      <c r="C20" s="260" t="s">
        <v>1399</v>
      </c>
      <c r="D20" s="260">
        <f t="shared" si="0"/>
        <v>2</v>
      </c>
    </row>
    <row r="21" spans="1:7" ht="15.6" x14ac:dyDescent="0.3">
      <c r="B21" s="248" t="s">
        <v>1395</v>
      </c>
      <c r="C21" s="260" t="s">
        <v>1396</v>
      </c>
      <c r="D21" s="260">
        <f t="shared" si="0"/>
        <v>1</v>
      </c>
    </row>
    <row r="22" spans="1:7" ht="15.6" x14ac:dyDescent="0.3">
      <c r="B22" s="248" t="s">
        <v>1398</v>
      </c>
      <c r="C22" s="260" t="s">
        <v>1399</v>
      </c>
      <c r="D22" s="260">
        <f t="shared" si="0"/>
        <v>2</v>
      </c>
    </row>
    <row r="23" spans="1:7" ht="15.6" x14ac:dyDescent="0.3">
      <c r="B23" s="248" t="s">
        <v>1412</v>
      </c>
      <c r="C23" s="260" t="s">
        <v>1399</v>
      </c>
      <c r="D23" s="260">
        <f t="shared" si="0"/>
        <v>2</v>
      </c>
    </row>
    <row r="24" spans="1:7" ht="15.6" x14ac:dyDescent="0.3">
      <c r="B24" s="248" t="s">
        <v>1413</v>
      </c>
      <c r="C24" s="260" t="s">
        <v>1396</v>
      </c>
      <c r="D24" s="260">
        <f t="shared" si="0"/>
        <v>1</v>
      </c>
    </row>
    <row r="25" spans="1:7" ht="15.6" x14ac:dyDescent="0.3">
      <c r="B25" s="248" t="s">
        <v>1403</v>
      </c>
      <c r="C25" s="260" t="s">
        <v>1396</v>
      </c>
      <c r="D25" s="260">
        <f t="shared" si="0"/>
        <v>1</v>
      </c>
    </row>
    <row r="26" spans="1:7" ht="15.6" x14ac:dyDescent="0.3">
      <c r="B26" s="248" t="s">
        <v>1414</v>
      </c>
      <c r="C26" s="260" t="s">
        <v>1402</v>
      </c>
      <c r="D26" s="260">
        <f t="shared" si="0"/>
        <v>3</v>
      </c>
    </row>
    <row r="27" spans="1:7" ht="15.6" x14ac:dyDescent="0.3">
      <c r="B27" s="248" t="s">
        <v>1415</v>
      </c>
      <c r="C27" s="260" t="s">
        <v>1396</v>
      </c>
      <c r="D27" s="260">
        <f t="shared" si="0"/>
        <v>1</v>
      </c>
    </row>
    <row r="28" spans="1:7" ht="15.6" x14ac:dyDescent="0.3">
      <c r="B28" s="248" t="s">
        <v>1416</v>
      </c>
      <c r="C28" s="260" t="s">
        <v>1417</v>
      </c>
      <c r="D28" s="260">
        <v>1</v>
      </c>
    </row>
    <row r="29" spans="1:7" ht="15.6" x14ac:dyDescent="0.3">
      <c r="B29" s="248" t="s">
        <v>1405</v>
      </c>
      <c r="C29" s="260" t="s">
        <v>1399</v>
      </c>
      <c r="D29" s="260">
        <f t="shared" si="0"/>
        <v>2</v>
      </c>
    </row>
    <row r="30" spans="1:7" ht="15.6" x14ac:dyDescent="0.3">
      <c r="B30" s="248" t="s">
        <v>1418</v>
      </c>
      <c r="C30" s="260" t="s">
        <v>1396</v>
      </c>
      <c r="D30" s="260">
        <f t="shared" si="0"/>
        <v>1</v>
      </c>
    </row>
    <row r="31" spans="1:7" ht="15.6" x14ac:dyDescent="0.3">
      <c r="A31" s="248" t="s">
        <v>71</v>
      </c>
      <c r="B31" s="248" t="s">
        <v>1419</v>
      </c>
      <c r="C31" s="260" t="s">
        <v>1399</v>
      </c>
      <c r="D31" s="260">
        <f t="shared" si="0"/>
        <v>2</v>
      </c>
    </row>
    <row r="32" spans="1:7" ht="15.6" x14ac:dyDescent="0.3">
      <c r="B32" s="248" t="s">
        <v>1420</v>
      </c>
      <c r="C32" s="260" t="s">
        <v>1402</v>
      </c>
      <c r="D32" s="260">
        <f t="shared" si="0"/>
        <v>3</v>
      </c>
    </row>
    <row r="33" spans="1:4" ht="15.6" x14ac:dyDescent="0.3">
      <c r="B33" s="248" t="s">
        <v>1421</v>
      </c>
      <c r="C33" s="260" t="s">
        <v>1402</v>
      </c>
      <c r="D33" s="260">
        <f t="shared" si="0"/>
        <v>3</v>
      </c>
    </row>
    <row r="34" spans="1:4" ht="15.6" x14ac:dyDescent="0.3">
      <c r="B34" s="248" t="s">
        <v>1422</v>
      </c>
      <c r="C34" s="260" t="s">
        <v>1402</v>
      </c>
      <c r="D34" s="260">
        <f t="shared" si="0"/>
        <v>3</v>
      </c>
    </row>
    <row r="35" spans="1:4" ht="15.6" x14ac:dyDescent="0.3">
      <c r="A35" s="248" t="s">
        <v>73</v>
      </c>
      <c r="B35" s="248" t="s">
        <v>1411</v>
      </c>
      <c r="C35" s="260" t="s">
        <v>1399</v>
      </c>
      <c r="D35" s="260">
        <f t="shared" si="0"/>
        <v>2</v>
      </c>
    </row>
    <row r="36" spans="1:4" ht="15.6" x14ac:dyDescent="0.3">
      <c r="B36" s="248" t="s">
        <v>1423</v>
      </c>
      <c r="C36" s="260" t="s">
        <v>1402</v>
      </c>
      <c r="D36" s="260">
        <f t="shared" si="0"/>
        <v>3</v>
      </c>
    </row>
    <row r="37" spans="1:4" ht="15.6" x14ac:dyDescent="0.3">
      <c r="B37" s="248" t="s">
        <v>1407</v>
      </c>
      <c r="C37" s="260" t="s">
        <v>1396</v>
      </c>
      <c r="D37" s="260">
        <f t="shared" si="0"/>
        <v>1</v>
      </c>
    </row>
    <row r="38" spans="1:4" ht="15.6" x14ac:dyDescent="0.3">
      <c r="B38" s="248" t="s">
        <v>1424</v>
      </c>
      <c r="C38" s="260" t="s">
        <v>1399</v>
      </c>
      <c r="D38" s="260">
        <f t="shared" si="0"/>
        <v>2</v>
      </c>
    </row>
    <row r="39" spans="1:4" ht="15.6" x14ac:dyDescent="0.3">
      <c r="B39" s="248" t="s">
        <v>1425</v>
      </c>
      <c r="C39" s="260" t="s">
        <v>1396</v>
      </c>
      <c r="D39" s="260">
        <f t="shared" si="0"/>
        <v>1</v>
      </c>
    </row>
    <row r="40" spans="1:4" ht="15.6" x14ac:dyDescent="0.3">
      <c r="B40" s="248" t="s">
        <v>1426</v>
      </c>
      <c r="C40" s="260" t="s">
        <v>1399</v>
      </c>
      <c r="D40" s="260">
        <f t="shared" si="0"/>
        <v>2</v>
      </c>
    </row>
    <row r="41" spans="1:4" ht="15.6" x14ac:dyDescent="0.3">
      <c r="B41" s="248" t="s">
        <v>1427</v>
      </c>
      <c r="C41" s="260" t="s">
        <v>1399</v>
      </c>
      <c r="D41" s="260">
        <f t="shared" si="0"/>
        <v>2</v>
      </c>
    </row>
    <row r="42" spans="1:4" ht="15.6" x14ac:dyDescent="0.3">
      <c r="A42" s="248" t="s">
        <v>76</v>
      </c>
      <c r="B42" s="248" t="s">
        <v>1413</v>
      </c>
      <c r="C42" s="260" t="s">
        <v>1396</v>
      </c>
      <c r="D42" s="260">
        <f t="shared" si="0"/>
        <v>1</v>
      </c>
    </row>
    <row r="43" spans="1:4" ht="15.6" x14ac:dyDescent="0.3">
      <c r="A43" s="248" t="s">
        <v>77</v>
      </c>
      <c r="B43" s="248" t="s">
        <v>1428</v>
      </c>
      <c r="C43" s="260" t="s">
        <v>1400</v>
      </c>
      <c r="D43" s="260">
        <f t="shared" si="0"/>
        <v>4</v>
      </c>
    </row>
    <row r="44" spans="1:4" ht="15.6" x14ac:dyDescent="0.3">
      <c r="B44" s="248" t="s">
        <v>1395</v>
      </c>
      <c r="C44" s="260" t="s">
        <v>1396</v>
      </c>
      <c r="D44" s="260">
        <f t="shared" si="0"/>
        <v>1</v>
      </c>
    </row>
    <row r="45" spans="1:4" ht="15" customHeight="1" x14ac:dyDescent="0.3">
      <c r="B45" s="248" t="s">
        <v>1398</v>
      </c>
      <c r="C45" s="260" t="s">
        <v>1399</v>
      </c>
      <c r="D45" s="260">
        <f t="shared" si="0"/>
        <v>2</v>
      </c>
    </row>
    <row r="46" spans="1:4" ht="15.6" x14ac:dyDescent="0.3">
      <c r="B46" s="248" t="s">
        <v>1429</v>
      </c>
      <c r="C46" s="260" t="s">
        <v>1399</v>
      </c>
      <c r="D46" s="260">
        <f t="shared" si="0"/>
        <v>2</v>
      </c>
    </row>
    <row r="47" spans="1:4" ht="15.6" x14ac:dyDescent="0.3">
      <c r="B47" s="248" t="s">
        <v>1403</v>
      </c>
      <c r="C47" s="260" t="s">
        <v>1396</v>
      </c>
      <c r="D47" s="260">
        <f t="shared" si="0"/>
        <v>1</v>
      </c>
    </row>
    <row r="48" spans="1:4" ht="15.6" x14ac:dyDescent="0.3">
      <c r="B48" s="248" t="s">
        <v>1430</v>
      </c>
      <c r="C48" s="260" t="s">
        <v>1399</v>
      </c>
      <c r="D48" s="260">
        <f t="shared" si="0"/>
        <v>2</v>
      </c>
    </row>
    <row r="49" spans="1:4" ht="15.6" x14ac:dyDescent="0.3">
      <c r="B49" s="248" t="s">
        <v>1415</v>
      </c>
      <c r="C49" s="260" t="s">
        <v>1396</v>
      </c>
      <c r="D49" s="260">
        <f t="shared" si="0"/>
        <v>1</v>
      </c>
    </row>
    <row r="50" spans="1:4" ht="15.6" x14ac:dyDescent="0.3">
      <c r="A50" s="248" t="s">
        <v>79</v>
      </c>
      <c r="B50" s="248" t="s">
        <v>1411</v>
      </c>
      <c r="C50" s="260" t="s">
        <v>1399</v>
      </c>
      <c r="D50" s="260">
        <f t="shared" si="0"/>
        <v>2</v>
      </c>
    </row>
    <row r="51" spans="1:4" ht="15.6" x14ac:dyDescent="0.3">
      <c r="B51" s="248" t="s">
        <v>1431</v>
      </c>
      <c r="C51" s="260" t="s">
        <v>1399</v>
      </c>
      <c r="D51" s="260">
        <f t="shared" si="0"/>
        <v>2</v>
      </c>
    </row>
    <row r="52" spans="1:4" ht="15.6" x14ac:dyDescent="0.3">
      <c r="B52" s="248" t="s">
        <v>1412</v>
      </c>
      <c r="C52" s="260" t="s">
        <v>1399</v>
      </c>
      <c r="D52" s="260">
        <f t="shared" si="0"/>
        <v>2</v>
      </c>
    </row>
    <row r="53" spans="1:4" ht="15.6" x14ac:dyDescent="0.3">
      <c r="B53" s="248" t="s">
        <v>1432</v>
      </c>
      <c r="C53" s="260" t="s">
        <v>1399</v>
      </c>
      <c r="D53" s="260">
        <f t="shared" si="0"/>
        <v>2</v>
      </c>
    </row>
    <row r="54" spans="1:4" ht="15.6" x14ac:dyDescent="0.3">
      <c r="B54" s="248" t="s">
        <v>1433</v>
      </c>
      <c r="C54" s="260" t="s">
        <v>1400</v>
      </c>
      <c r="D54" s="260">
        <f t="shared" si="0"/>
        <v>4</v>
      </c>
    </row>
    <row r="55" spans="1:4" ht="15.6" x14ac:dyDescent="0.3">
      <c r="A55" s="248" t="s">
        <v>81</v>
      </c>
      <c r="B55" s="248" t="s">
        <v>1424</v>
      </c>
      <c r="C55" s="260" t="s">
        <v>1399</v>
      </c>
      <c r="D55" s="260">
        <f t="shared" si="0"/>
        <v>2</v>
      </c>
    </row>
    <row r="56" spans="1:4" ht="15.6" x14ac:dyDescent="0.3">
      <c r="B56" s="248" t="s">
        <v>1410</v>
      </c>
      <c r="C56" s="260" t="s">
        <v>1399</v>
      </c>
      <c r="D56" s="260">
        <f t="shared" si="0"/>
        <v>2</v>
      </c>
    </row>
    <row r="57" spans="1:4" ht="15.6" x14ac:dyDescent="0.3">
      <c r="A57" s="248" t="s">
        <v>83</v>
      </c>
      <c r="B57" s="248" t="s">
        <v>1420</v>
      </c>
      <c r="C57" s="260" t="s">
        <v>1402</v>
      </c>
      <c r="D57" s="260">
        <f t="shared" si="0"/>
        <v>3</v>
      </c>
    </row>
    <row r="58" spans="1:4" ht="15.6" x14ac:dyDescent="0.3">
      <c r="B58" s="248" t="s">
        <v>1421</v>
      </c>
      <c r="C58" s="260" t="s">
        <v>1402</v>
      </c>
      <c r="D58" s="260">
        <f t="shared" si="0"/>
        <v>3</v>
      </c>
    </row>
    <row r="59" spans="1:4" ht="15.6" x14ac:dyDescent="0.3">
      <c r="A59" s="248" t="s">
        <v>85</v>
      </c>
      <c r="B59" s="248" t="s">
        <v>1408</v>
      </c>
      <c r="C59" s="260" t="s">
        <v>1396</v>
      </c>
      <c r="D59" s="260">
        <f t="shared" si="0"/>
        <v>1</v>
      </c>
    </row>
    <row r="60" spans="1:4" ht="15.6" x14ac:dyDescent="0.3">
      <c r="A60" s="248" t="s">
        <v>88</v>
      </c>
      <c r="B60" s="248" t="s">
        <v>1428</v>
      </c>
      <c r="C60" s="260" t="s">
        <v>1400</v>
      </c>
      <c r="D60" s="260">
        <f t="shared" si="0"/>
        <v>4</v>
      </c>
    </row>
    <row r="61" spans="1:4" ht="15.6" x14ac:dyDescent="0.3">
      <c r="B61" s="248" t="s">
        <v>1433</v>
      </c>
      <c r="C61" s="260" t="s">
        <v>1400</v>
      </c>
      <c r="D61" s="260">
        <f t="shared" si="0"/>
        <v>4</v>
      </c>
    </row>
    <row r="62" spans="1:4" ht="14.4" customHeight="1" x14ac:dyDescent="0.3">
      <c r="A62" s="248" t="s">
        <v>90</v>
      </c>
      <c r="B62" s="248" t="s">
        <v>1434</v>
      </c>
      <c r="C62" s="260" t="s">
        <v>1435</v>
      </c>
      <c r="D62" s="260">
        <v>2</v>
      </c>
    </row>
    <row r="63" spans="1:4" ht="15.6" x14ac:dyDescent="0.3">
      <c r="B63" s="248" t="s">
        <v>1425</v>
      </c>
      <c r="C63" s="260" t="s">
        <v>1396</v>
      </c>
      <c r="D63" s="260">
        <f t="shared" si="0"/>
        <v>1</v>
      </c>
    </row>
    <row r="64" spans="1:4" ht="15.6" x14ac:dyDescent="0.3">
      <c r="B64" s="248" t="s">
        <v>1426</v>
      </c>
      <c r="C64" s="260" t="s">
        <v>1399</v>
      </c>
      <c r="D64" s="260">
        <f t="shared" si="0"/>
        <v>2</v>
      </c>
    </row>
    <row r="65" spans="1:4" ht="15.6" x14ac:dyDescent="0.3">
      <c r="A65" s="248" t="s">
        <v>92</v>
      </c>
      <c r="B65" s="248" t="s">
        <v>1411</v>
      </c>
      <c r="C65" s="260" t="s">
        <v>1399</v>
      </c>
      <c r="D65" s="260">
        <f t="shared" si="0"/>
        <v>2</v>
      </c>
    </row>
    <row r="66" spans="1:4" ht="15.6" x14ac:dyDescent="0.3">
      <c r="B66" s="248" t="s">
        <v>1414</v>
      </c>
      <c r="C66" s="260" t="s">
        <v>1402</v>
      </c>
      <c r="D66" s="260">
        <f t="shared" si="0"/>
        <v>3</v>
      </c>
    </row>
    <row r="67" spans="1:4" ht="15.6" x14ac:dyDescent="0.3">
      <c r="A67" s="248" t="s">
        <v>94</v>
      </c>
      <c r="B67" s="248" t="s">
        <v>1436</v>
      </c>
      <c r="C67" s="260" t="s">
        <v>1400</v>
      </c>
      <c r="D67" s="260">
        <f t="shared" si="0"/>
        <v>4</v>
      </c>
    </row>
    <row r="68" spans="1:4" ht="15.6" x14ac:dyDescent="0.3">
      <c r="A68" s="248" t="s">
        <v>96</v>
      </c>
      <c r="B68" s="248" t="s">
        <v>1421</v>
      </c>
      <c r="C68" s="260" t="s">
        <v>1435</v>
      </c>
      <c r="D68" s="260">
        <v>2</v>
      </c>
    </row>
    <row r="69" spans="1:4" ht="15.6" x14ac:dyDescent="0.3">
      <c r="A69" s="248" t="s">
        <v>98</v>
      </c>
      <c r="B69" s="248" t="s">
        <v>1437</v>
      </c>
      <c r="C69" s="260" t="s">
        <v>1396</v>
      </c>
      <c r="D69" s="260">
        <f t="shared" si="0"/>
        <v>1</v>
      </c>
    </row>
    <row r="70" spans="1:4" ht="15.6" x14ac:dyDescent="0.3">
      <c r="B70" s="248" t="s">
        <v>1438</v>
      </c>
      <c r="C70" s="260" t="s">
        <v>1399</v>
      </c>
      <c r="D70" s="260">
        <f t="shared" si="0"/>
        <v>2</v>
      </c>
    </row>
    <row r="71" spans="1:4" ht="15.6" x14ac:dyDescent="0.3">
      <c r="B71" s="248" t="s">
        <v>1409</v>
      </c>
      <c r="C71" s="260" t="s">
        <v>1396</v>
      </c>
      <c r="D71" s="260">
        <f t="shared" si="0"/>
        <v>1</v>
      </c>
    </row>
    <row r="72" spans="1:4" ht="15.6" x14ac:dyDescent="0.3">
      <c r="B72" s="248" t="s">
        <v>1432</v>
      </c>
      <c r="C72" s="260" t="s">
        <v>1399</v>
      </c>
      <c r="D72" s="260">
        <f t="shared" si="0"/>
        <v>2</v>
      </c>
    </row>
    <row r="73" spans="1:4" ht="15.6" x14ac:dyDescent="0.3">
      <c r="B73" s="248" t="s">
        <v>1415</v>
      </c>
      <c r="C73" s="260" t="s">
        <v>1396</v>
      </c>
      <c r="D73" s="260">
        <f t="shared" si="0"/>
        <v>1</v>
      </c>
    </row>
    <row r="74" spans="1:4" ht="15.6" x14ac:dyDescent="0.3">
      <c r="B74" s="248" t="s">
        <v>1405</v>
      </c>
      <c r="C74" s="260" t="s">
        <v>1399</v>
      </c>
      <c r="D74" s="260">
        <f t="shared" ref="D74:D85" si="1">IFERROR(INDEX($G$9:$G$13,MATCH(C74,$F$9:$F$13,0)),"")</f>
        <v>2</v>
      </c>
    </row>
    <row r="75" spans="1:4" ht="15.6" x14ac:dyDescent="0.3">
      <c r="A75" s="248" t="s">
        <v>100</v>
      </c>
      <c r="B75" s="248" t="s">
        <v>1409</v>
      </c>
      <c r="C75" s="260" t="s">
        <v>1396</v>
      </c>
      <c r="D75" s="260">
        <f t="shared" si="1"/>
        <v>1</v>
      </c>
    </row>
    <row r="76" spans="1:4" ht="15.6" x14ac:dyDescent="0.3">
      <c r="B76" s="248" t="s">
        <v>1413</v>
      </c>
      <c r="C76" s="260" t="s">
        <v>1396</v>
      </c>
      <c r="D76" s="260">
        <f t="shared" si="1"/>
        <v>1</v>
      </c>
    </row>
    <row r="77" spans="1:4" ht="15.6" x14ac:dyDescent="0.3">
      <c r="B77" s="248" t="s">
        <v>1406</v>
      </c>
      <c r="C77" s="260" t="s">
        <v>1399</v>
      </c>
      <c r="D77" s="260">
        <f t="shared" si="1"/>
        <v>2</v>
      </c>
    </row>
    <row r="78" spans="1:4" ht="15.6" x14ac:dyDescent="0.3">
      <c r="B78" s="248" t="s">
        <v>1408</v>
      </c>
      <c r="C78" s="260" t="s">
        <v>1396</v>
      </c>
      <c r="D78" s="260">
        <f t="shared" si="1"/>
        <v>1</v>
      </c>
    </row>
    <row r="79" spans="1:4" ht="15" customHeight="1" x14ac:dyDescent="0.3">
      <c r="A79" s="248" t="s">
        <v>102</v>
      </c>
      <c r="B79" s="248" t="s">
        <v>1439</v>
      </c>
      <c r="C79" s="260" t="s">
        <v>1402</v>
      </c>
      <c r="D79" s="260">
        <f t="shared" si="1"/>
        <v>3</v>
      </c>
    </row>
    <row r="80" spans="1:4" ht="15" customHeight="1" x14ac:dyDescent="0.3">
      <c r="B80" s="248" t="s">
        <v>1406</v>
      </c>
      <c r="C80" s="260" t="s">
        <v>1399</v>
      </c>
      <c r="D80" s="260">
        <f t="shared" si="1"/>
        <v>2</v>
      </c>
    </row>
    <row r="81" spans="1:4" ht="15" customHeight="1" x14ac:dyDescent="0.3">
      <c r="B81" s="248" t="s">
        <v>1440</v>
      </c>
      <c r="C81" s="260" t="s">
        <v>1402</v>
      </c>
      <c r="D81" s="260">
        <f t="shared" si="1"/>
        <v>3</v>
      </c>
    </row>
    <row r="82" spans="1:4" ht="15" customHeight="1" x14ac:dyDescent="0.3">
      <c r="B82" s="248" t="s">
        <v>1441</v>
      </c>
      <c r="C82" s="260" t="s">
        <v>1399</v>
      </c>
      <c r="D82" s="260">
        <f t="shared" si="1"/>
        <v>2</v>
      </c>
    </row>
    <row r="83" spans="1:4" ht="15" customHeight="1" x14ac:dyDescent="0.3">
      <c r="B83" s="248" t="s">
        <v>1426</v>
      </c>
      <c r="C83" s="260" t="s">
        <v>1399</v>
      </c>
      <c r="D83" s="260">
        <f t="shared" si="1"/>
        <v>2</v>
      </c>
    </row>
    <row r="84" spans="1:4" ht="15" customHeight="1" x14ac:dyDescent="0.3">
      <c r="B84" s="248" t="s">
        <v>1433</v>
      </c>
      <c r="C84" s="260" t="s">
        <v>1442</v>
      </c>
      <c r="D84" s="260">
        <v>3.5</v>
      </c>
    </row>
    <row r="85" spans="1:4" ht="15" customHeight="1" x14ac:dyDescent="0.3">
      <c r="B85" s="248" t="s">
        <v>1408</v>
      </c>
      <c r="C85" s="260" t="s">
        <v>1396</v>
      </c>
      <c r="D85" s="260">
        <f t="shared" si="1"/>
        <v>1</v>
      </c>
    </row>
    <row r="86" spans="1:4" ht="15" customHeight="1" x14ac:dyDescent="0.3">
      <c r="C86" s="260"/>
      <c r="D86" s="260"/>
    </row>
    <row r="87" spans="1:4" ht="15" customHeight="1" x14ac:dyDescent="0.3">
      <c r="A87" s="267" t="s">
        <v>1443</v>
      </c>
      <c r="B87" s="268"/>
      <c r="C87" s="269" t="str">
        <f>F12</f>
        <v>Relatively Low</v>
      </c>
      <c r="D87" s="270">
        <f>AVERAGE(D9:D85)</f>
        <v>1.9155844155844155</v>
      </c>
    </row>
    <row r="89" spans="1:4" ht="15" customHeight="1" thickBot="1" x14ac:dyDescent="0.35">
      <c r="A89" s="271" t="s">
        <v>1444</v>
      </c>
      <c r="B89" s="272" t="s">
        <v>1445</v>
      </c>
      <c r="C89" s="273" t="s">
        <v>1417</v>
      </c>
      <c r="D89" s="274">
        <v>1</v>
      </c>
    </row>
    <row r="91" spans="1:4" ht="15" customHeight="1" x14ac:dyDescent="0.3">
      <c r="A91" s="275" t="s">
        <v>1446</v>
      </c>
    </row>
    <row r="92" spans="1:4" ht="15" customHeight="1" x14ac:dyDescent="0.3">
      <c r="A92" s="276" t="s">
        <v>1447</v>
      </c>
      <c r="B92" s="277"/>
      <c r="C92" s="41"/>
    </row>
    <row r="93" spans="1:4" ht="15" customHeight="1" x14ac:dyDescent="0.3">
      <c r="A93" s="278" t="s">
        <v>1448</v>
      </c>
      <c r="B93" s="277"/>
      <c r="C93" s="41"/>
    </row>
    <row r="94" spans="1:4" ht="15" customHeight="1" x14ac:dyDescent="0.3">
      <c r="A94" s="276" t="s">
        <v>1449</v>
      </c>
      <c r="B94" s="277"/>
      <c r="C94" s="41"/>
    </row>
    <row r="95" spans="1:4" ht="15" customHeight="1" x14ac:dyDescent="0.3">
      <c r="A95" s="249" t="s">
        <v>1450</v>
      </c>
    </row>
  </sheetData>
  <mergeCells count="4">
    <mergeCell ref="A2:D2"/>
    <mergeCell ref="A3:D3"/>
    <mergeCell ref="C6:D6"/>
    <mergeCell ref="F6:G6"/>
  </mergeCells>
  <hyperlinks>
    <hyperlink ref="A93" r:id="rId1" location="csvDownload" xr:uid="{00000000-0004-0000-0900-000000000000}"/>
  </hyperlinks>
  <printOptions horizontalCentered="1"/>
  <pageMargins left="0.7" right="0.7" top="1.25" bottom="0.75" header="0.3" footer="0.3"/>
  <pageSetup paperSize="9" scale="57" orientation="portrait" useFirstPageNumber="1" horizontalDpi="1200" verticalDpi="1200" r:id="rId2"/>
  <headerFooter scaleWithDoc="0">
    <oddHeader>&amp;L&amp;"Times New Roman,Bold"&amp;12&amp;KFF0000Draft- Privileged and Confidential&amp;R&amp;"Times New Roman,Regular"&amp;12Exhibit AEB-11
Page &amp;P of 2</oddHeader>
  </headerFooter>
  <rowBreaks count="1" manualBreakCount="1">
    <brk id="68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2:O132"/>
  <sheetViews>
    <sheetView view="pageBreakPreview" zoomScale="80" zoomScaleNormal="80" zoomScaleSheetLayoutView="80" zoomScalePageLayoutView="70" workbookViewId="0">
      <selection activeCell="R29" sqref="R29"/>
    </sheetView>
  </sheetViews>
  <sheetFormatPr defaultColWidth="9" defaultRowHeight="15.6" x14ac:dyDescent="0.3"/>
  <cols>
    <col min="1" max="1" width="10" style="281" customWidth="1"/>
    <col min="2" max="2" width="27" style="281" customWidth="1"/>
    <col min="3" max="3" width="10" style="281" customWidth="1"/>
    <col min="4" max="4" width="14" style="281" bestFit="1" customWidth="1"/>
    <col min="5" max="5" width="11.109375" style="281" customWidth="1"/>
    <col min="6" max="10" width="10" style="281" customWidth="1"/>
    <col min="11" max="11" width="10.5546875" style="281" customWidth="1"/>
    <col min="12" max="14" width="9" style="281"/>
    <col min="15" max="15" width="15" style="281" bestFit="1" customWidth="1"/>
    <col min="16" max="16384" width="9" style="281"/>
  </cols>
  <sheetData>
    <row r="2" spans="1:11" x14ac:dyDescent="0.3">
      <c r="A2" s="398" t="s">
        <v>1451</v>
      </c>
      <c r="B2" s="398"/>
      <c r="C2" s="398"/>
      <c r="D2" s="398"/>
      <c r="E2" s="398"/>
      <c r="F2" s="398"/>
      <c r="G2" s="398"/>
      <c r="H2" s="398"/>
      <c r="I2" s="398"/>
      <c r="J2" s="398"/>
    </row>
    <row r="3" spans="1:11" x14ac:dyDescent="0.3">
      <c r="A3" s="399" t="s">
        <v>1452</v>
      </c>
      <c r="B3" s="399"/>
      <c r="C3" s="399"/>
      <c r="D3" s="399"/>
      <c r="E3" s="399"/>
      <c r="F3" s="399"/>
      <c r="G3" s="399"/>
      <c r="H3" s="399"/>
      <c r="I3" s="399"/>
      <c r="J3" s="399"/>
    </row>
    <row r="4" spans="1:11" x14ac:dyDescent="0.3">
      <c r="A4" s="282"/>
    </row>
    <row r="5" spans="1:11" ht="16.2" thickBot="1" x14ac:dyDescent="0.35">
      <c r="A5" s="282"/>
      <c r="D5" s="377" t="s">
        <v>38</v>
      </c>
      <c r="E5" s="377" t="s">
        <v>39</v>
      </c>
      <c r="F5" s="377" t="s">
        <v>40</v>
      </c>
      <c r="G5" s="377" t="s">
        <v>41</v>
      </c>
      <c r="H5" s="377" t="s">
        <v>42</v>
      </c>
      <c r="I5" s="377" t="s">
        <v>43</v>
      </c>
      <c r="J5" s="377" t="s">
        <v>44</v>
      </c>
    </row>
    <row r="6" spans="1:11" x14ac:dyDescent="0.3">
      <c r="A6" s="283"/>
      <c r="B6" s="284"/>
      <c r="C6" s="284"/>
      <c r="D6" s="284"/>
      <c r="E6" s="284"/>
      <c r="F6" s="284"/>
      <c r="G6" s="284"/>
      <c r="H6" s="284"/>
      <c r="I6" s="284"/>
      <c r="J6" s="285" t="s">
        <v>1453</v>
      </c>
    </row>
    <row r="7" spans="1:11" x14ac:dyDescent="0.3">
      <c r="J7" s="377" t="s">
        <v>1454</v>
      </c>
    </row>
    <row r="8" spans="1:11" x14ac:dyDescent="0.3">
      <c r="J8" s="377">
        <v>2023</v>
      </c>
    </row>
    <row r="9" spans="1:11" x14ac:dyDescent="0.3">
      <c r="A9" s="286"/>
      <c r="B9" s="286"/>
      <c r="C9" s="286"/>
      <c r="D9" s="287">
        <v>2023</v>
      </c>
      <c r="E9" s="287">
        <v>2024</v>
      </c>
      <c r="F9" s="287">
        <f>E9+1</f>
        <v>2025</v>
      </c>
      <c r="G9" s="287">
        <f>F9+1</f>
        <v>2026</v>
      </c>
      <c r="H9" s="287">
        <f>G9+1</f>
        <v>2027</v>
      </c>
      <c r="I9" s="287">
        <v>2028</v>
      </c>
      <c r="J9" s="287" t="s">
        <v>1455</v>
      </c>
      <c r="K9" s="377" t="s">
        <v>1391</v>
      </c>
    </row>
    <row r="10" spans="1:11" x14ac:dyDescent="0.3">
      <c r="D10" s="377"/>
      <c r="E10" s="377"/>
      <c r="F10" s="377"/>
      <c r="G10" s="377"/>
      <c r="H10" s="377"/>
      <c r="I10" s="377"/>
      <c r="J10" s="377"/>
    </row>
    <row r="11" spans="1:11" x14ac:dyDescent="0.3">
      <c r="A11" s="281" t="s">
        <v>56</v>
      </c>
      <c r="C11" s="281" t="s">
        <v>57</v>
      </c>
    </row>
    <row r="12" spans="1:11" x14ac:dyDescent="0.3">
      <c r="A12" s="288"/>
      <c r="B12" s="288" t="s">
        <v>1456</v>
      </c>
      <c r="C12" s="289"/>
      <c r="E12" s="290">
        <v>6.55</v>
      </c>
      <c r="F12" s="290">
        <f>AVERAGE(E12,G12)</f>
        <v>6.65</v>
      </c>
      <c r="G12" s="290">
        <v>6.75</v>
      </c>
      <c r="H12" s="290">
        <f>G12</f>
        <v>6.75</v>
      </c>
      <c r="I12" s="290">
        <f>H12</f>
        <v>6.75</v>
      </c>
    </row>
    <row r="13" spans="1:11" x14ac:dyDescent="0.3">
      <c r="A13" s="288"/>
      <c r="B13" s="288" t="s">
        <v>1457</v>
      </c>
      <c r="C13" s="289"/>
      <c r="D13" s="286"/>
      <c r="E13" s="291">
        <v>420</v>
      </c>
      <c r="F13" s="291">
        <f>AVERAGE(E13,G13)</f>
        <v>430</v>
      </c>
      <c r="G13" s="291">
        <v>440</v>
      </c>
      <c r="H13" s="291">
        <f>G13</f>
        <v>440</v>
      </c>
      <c r="I13" s="291">
        <f>H13</f>
        <v>440</v>
      </c>
      <c r="J13" s="286"/>
    </row>
    <row r="14" spans="1:11" x14ac:dyDescent="0.3">
      <c r="A14" s="288"/>
      <c r="B14" s="288" t="s">
        <v>1458</v>
      </c>
      <c r="C14" s="289"/>
      <c r="E14" s="292">
        <f>E12*E13</f>
        <v>2751</v>
      </c>
      <c r="F14" s="292">
        <f>F12*F13</f>
        <v>2859.5</v>
      </c>
      <c r="G14" s="292">
        <f>G12*G13</f>
        <v>2970</v>
      </c>
      <c r="H14" s="292">
        <f>H12*H13</f>
        <v>2970</v>
      </c>
      <c r="I14" s="292">
        <f>I12*I13</f>
        <v>2970</v>
      </c>
      <c r="J14" s="293">
        <f>SUM(E14:I14)/D15</f>
        <v>0.64535555555555557</v>
      </c>
      <c r="K14" s="281">
        <f>IFERROR(RANK(J14,$J$14:$J$120,1),"")</f>
        <v>20</v>
      </c>
    </row>
    <row r="15" spans="1:11" x14ac:dyDescent="0.3">
      <c r="A15" s="288"/>
      <c r="B15" s="288" t="s">
        <v>1455</v>
      </c>
      <c r="C15" s="289"/>
      <c r="D15" s="292">
        <v>22500</v>
      </c>
      <c r="K15" s="281" t="str">
        <f>IFERROR(RANK(J15,$J$19:$J$120,1),"")</f>
        <v/>
      </c>
    </row>
    <row r="16" spans="1:11" x14ac:dyDescent="0.3">
      <c r="A16" s="281" t="s">
        <v>61</v>
      </c>
      <c r="C16" s="281" t="s">
        <v>62</v>
      </c>
    </row>
    <row r="17" spans="1:11" x14ac:dyDescent="0.3">
      <c r="A17" s="288"/>
      <c r="B17" s="288" t="s">
        <v>1456</v>
      </c>
      <c r="C17" s="289"/>
      <c r="E17" s="290">
        <v>5.95</v>
      </c>
      <c r="F17" s="290">
        <f>AVERAGE(E17,G17)</f>
        <v>6.6</v>
      </c>
      <c r="G17" s="290">
        <v>7.25</v>
      </c>
      <c r="H17" s="290">
        <f>G17</f>
        <v>7.25</v>
      </c>
      <c r="I17" s="290">
        <f>H17</f>
        <v>7.25</v>
      </c>
    </row>
    <row r="18" spans="1:11" x14ac:dyDescent="0.3">
      <c r="A18" s="288"/>
      <c r="B18" s="288" t="s">
        <v>1457</v>
      </c>
      <c r="C18" s="289"/>
      <c r="D18" s="286"/>
      <c r="E18" s="291">
        <v>59</v>
      </c>
      <c r="F18" s="291">
        <f>AVERAGE(E18,G18)</f>
        <v>60</v>
      </c>
      <c r="G18" s="291">
        <v>61</v>
      </c>
      <c r="H18" s="291">
        <f>G18</f>
        <v>61</v>
      </c>
      <c r="I18" s="291">
        <f>H18</f>
        <v>61</v>
      </c>
      <c r="J18" s="286"/>
    </row>
    <row r="19" spans="1:11" x14ac:dyDescent="0.3">
      <c r="A19" s="288"/>
      <c r="B19" s="288" t="s">
        <v>1458</v>
      </c>
      <c r="C19" s="289"/>
      <c r="E19" s="292">
        <f>E17*E18</f>
        <v>351.05</v>
      </c>
      <c r="F19" s="292">
        <f>F17*F18</f>
        <v>396</v>
      </c>
      <c r="G19" s="292">
        <f>G17*G18</f>
        <v>442.25</v>
      </c>
      <c r="H19" s="292">
        <f>H17*H18</f>
        <v>442.25</v>
      </c>
      <c r="I19" s="292">
        <f>I17*I18</f>
        <v>442.25</v>
      </c>
      <c r="J19" s="293">
        <f>SUM(E19:I19)/D20</f>
        <v>0.39128301886792455</v>
      </c>
      <c r="K19" s="281">
        <f>IFERROR(RANK(J19,$J$14:$J$120,1),"")</f>
        <v>2</v>
      </c>
    </row>
    <row r="20" spans="1:11" x14ac:dyDescent="0.3">
      <c r="A20" s="288"/>
      <c r="B20" s="288" t="s">
        <v>1455</v>
      </c>
      <c r="C20" s="289"/>
      <c r="D20" s="292">
        <v>5300</v>
      </c>
      <c r="K20" s="281" t="str">
        <f>IFERROR(RANK(J20,$J$19:$J$120,1),"")</f>
        <v/>
      </c>
    </row>
    <row r="21" spans="1:11" x14ac:dyDescent="0.3">
      <c r="A21" s="288" t="s">
        <v>64</v>
      </c>
      <c r="C21" s="288" t="s">
        <v>65</v>
      </c>
      <c r="K21" s="281" t="str">
        <f>IFERROR(RANK(J21,$J$19:$J$120,1),"")</f>
        <v/>
      </c>
    </row>
    <row r="22" spans="1:11" x14ac:dyDescent="0.3">
      <c r="A22" s="288"/>
      <c r="B22" s="288" t="s">
        <v>1456</v>
      </c>
      <c r="C22" s="289"/>
      <c r="E22" s="290">
        <v>5.8</v>
      </c>
      <c r="F22" s="290">
        <f>AVERAGE(E22,G22)</f>
        <v>5.6</v>
      </c>
      <c r="G22" s="290">
        <v>5.4</v>
      </c>
      <c r="H22" s="290">
        <f>G22</f>
        <v>5.4</v>
      </c>
      <c r="I22" s="290">
        <f>H22</f>
        <v>5.4</v>
      </c>
      <c r="K22" s="281" t="str">
        <f>IFERROR(RANK(J22,$J$19:$J$120,1),"")</f>
        <v/>
      </c>
    </row>
    <row r="23" spans="1:11" x14ac:dyDescent="0.3">
      <c r="A23" s="288"/>
      <c r="B23" s="288" t="s">
        <v>1457</v>
      </c>
      <c r="C23" s="289"/>
      <c r="D23" s="286"/>
      <c r="E23" s="291">
        <v>256</v>
      </c>
      <c r="F23" s="291">
        <f>AVERAGE(E23,G23)</f>
        <v>256.5</v>
      </c>
      <c r="G23" s="291">
        <v>257</v>
      </c>
      <c r="H23" s="291">
        <f>G23</f>
        <v>257</v>
      </c>
      <c r="I23" s="291">
        <f>H23</f>
        <v>257</v>
      </c>
      <c r="J23" s="286"/>
      <c r="K23" s="281" t="str">
        <f>IFERROR(RANK(J23,$J$19:$J$120,1),"")</f>
        <v/>
      </c>
    </row>
    <row r="24" spans="1:11" x14ac:dyDescent="0.3">
      <c r="A24" s="288"/>
      <c r="B24" s="288" t="s">
        <v>1458</v>
      </c>
      <c r="C24" s="289"/>
      <c r="E24" s="292">
        <f>E22*E23</f>
        <v>1484.8</v>
      </c>
      <c r="F24" s="292">
        <f>F22*F23</f>
        <v>1436.3999999999999</v>
      </c>
      <c r="G24" s="292">
        <f>G22*G23</f>
        <v>1387.8000000000002</v>
      </c>
      <c r="H24" s="292">
        <f>H22*H23</f>
        <v>1387.8000000000002</v>
      </c>
      <c r="I24" s="292">
        <f>I22*I23</f>
        <v>1387.8000000000002</v>
      </c>
      <c r="J24" s="293">
        <f>SUM(E24:I24)/D25</f>
        <v>0.41551906158357771</v>
      </c>
      <c r="K24" s="281">
        <f t="shared" ref="K24:K55" si="0">IFERROR(RANK(J24,$J$14:$J$120,1),"")</f>
        <v>4</v>
      </c>
    </row>
    <row r="25" spans="1:11" x14ac:dyDescent="0.3">
      <c r="A25" s="288"/>
      <c r="B25" s="288" t="s">
        <v>1455</v>
      </c>
      <c r="C25" s="289"/>
      <c r="D25" s="292">
        <v>17050</v>
      </c>
      <c r="K25" s="281" t="str">
        <f t="shared" si="0"/>
        <v/>
      </c>
    </row>
    <row r="26" spans="1:11" x14ac:dyDescent="0.3">
      <c r="A26" s="281" t="s">
        <v>67</v>
      </c>
      <c r="C26" s="281" t="s">
        <v>68</v>
      </c>
      <c r="K26" s="281" t="str">
        <f t="shared" si="0"/>
        <v/>
      </c>
    </row>
    <row r="27" spans="1:11" x14ac:dyDescent="0.3">
      <c r="A27" s="288"/>
      <c r="B27" s="288" t="s">
        <v>1456</v>
      </c>
      <c r="C27" s="289"/>
      <c r="E27" s="290">
        <v>12.55</v>
      </c>
      <c r="F27" s="290">
        <f>AVERAGE(E27,G27)</f>
        <v>12.775</v>
      </c>
      <c r="G27" s="290">
        <v>13</v>
      </c>
      <c r="H27" s="290">
        <f>G27</f>
        <v>13</v>
      </c>
      <c r="I27" s="290">
        <f>H27</f>
        <v>13</v>
      </c>
      <c r="K27" s="281" t="str">
        <f t="shared" si="0"/>
        <v/>
      </c>
    </row>
    <row r="28" spans="1:11" x14ac:dyDescent="0.3">
      <c r="A28" s="288"/>
      <c r="B28" s="288" t="s">
        <v>1457</v>
      </c>
      <c r="C28" s="289"/>
      <c r="D28" s="286"/>
      <c r="E28" s="291">
        <v>269</v>
      </c>
      <c r="F28" s="291">
        <f>AVERAGE(E28,G28)</f>
        <v>277</v>
      </c>
      <c r="G28" s="291">
        <v>285</v>
      </c>
      <c r="H28" s="291">
        <f>G28</f>
        <v>285</v>
      </c>
      <c r="I28" s="291">
        <f>H28</f>
        <v>285</v>
      </c>
      <c r="J28" s="286"/>
      <c r="K28" s="281" t="str">
        <f t="shared" si="0"/>
        <v/>
      </c>
    </row>
    <row r="29" spans="1:11" x14ac:dyDescent="0.3">
      <c r="A29" s="288"/>
      <c r="B29" s="288" t="s">
        <v>1458</v>
      </c>
      <c r="C29" s="289"/>
      <c r="E29" s="292">
        <f>E27*E28</f>
        <v>3375.9500000000003</v>
      </c>
      <c r="F29" s="292">
        <f>F27*F28</f>
        <v>3538.6750000000002</v>
      </c>
      <c r="G29" s="292">
        <f>G27*G28</f>
        <v>3705</v>
      </c>
      <c r="H29" s="292">
        <f>H27*H28</f>
        <v>3705</v>
      </c>
      <c r="I29" s="292">
        <f>I27*I28</f>
        <v>3705</v>
      </c>
      <c r="J29" s="293">
        <f>SUM(E29:I29)/D30</f>
        <v>0.54552571860816945</v>
      </c>
      <c r="K29" s="281">
        <f t="shared" si="0"/>
        <v>16</v>
      </c>
    </row>
    <row r="30" spans="1:11" x14ac:dyDescent="0.3">
      <c r="A30" s="288"/>
      <c r="B30" s="288" t="s">
        <v>1455</v>
      </c>
      <c r="C30" s="289"/>
      <c r="D30" s="292">
        <v>33050</v>
      </c>
      <c r="K30" s="281" t="str">
        <f t="shared" si="0"/>
        <v/>
      </c>
    </row>
    <row r="31" spans="1:11" x14ac:dyDescent="0.3">
      <c r="A31" s="281" t="s">
        <v>69</v>
      </c>
      <c r="C31" s="281" t="s">
        <v>70</v>
      </c>
      <c r="K31" s="281" t="str">
        <f t="shared" si="0"/>
        <v/>
      </c>
    </row>
    <row r="32" spans="1:11" x14ac:dyDescent="0.3">
      <c r="A32" s="288"/>
      <c r="B32" s="288" t="s">
        <v>1456</v>
      </c>
      <c r="C32" s="289"/>
      <c r="E32" s="290">
        <v>14.15</v>
      </c>
      <c r="F32" s="290">
        <f>AVERAGE(E32,G32)</f>
        <v>14.074999999999999</v>
      </c>
      <c r="G32" s="290">
        <v>14</v>
      </c>
      <c r="H32" s="290">
        <f>G32</f>
        <v>14</v>
      </c>
      <c r="I32" s="290">
        <f>H32</f>
        <v>14</v>
      </c>
      <c r="K32" s="281" t="str">
        <f t="shared" si="0"/>
        <v/>
      </c>
    </row>
    <row r="33" spans="1:11" x14ac:dyDescent="0.3">
      <c r="A33" s="288"/>
      <c r="B33" s="288" t="s">
        <v>1457</v>
      </c>
      <c r="C33" s="289"/>
      <c r="D33" s="286"/>
      <c r="E33" s="291">
        <v>530</v>
      </c>
      <c r="F33" s="291">
        <f>AVERAGE(E33,G33)</f>
        <v>540</v>
      </c>
      <c r="G33" s="291">
        <v>550</v>
      </c>
      <c r="H33" s="291">
        <f>G33</f>
        <v>550</v>
      </c>
      <c r="I33" s="291">
        <f>H33</f>
        <v>550</v>
      </c>
      <c r="J33" s="286"/>
      <c r="K33" s="281" t="str">
        <f t="shared" si="0"/>
        <v/>
      </c>
    </row>
    <row r="34" spans="1:11" x14ac:dyDescent="0.3">
      <c r="A34" s="288"/>
      <c r="B34" s="288" t="s">
        <v>1458</v>
      </c>
      <c r="C34" s="289"/>
      <c r="E34" s="292">
        <f>E32*E33</f>
        <v>7499.5</v>
      </c>
      <c r="F34" s="292">
        <f>F32*F33</f>
        <v>7600.5</v>
      </c>
      <c r="G34" s="292">
        <f>G32*G33</f>
        <v>7700</v>
      </c>
      <c r="H34" s="292">
        <f>H32*H33</f>
        <v>7700</v>
      </c>
      <c r="I34" s="292">
        <f>I32*I33</f>
        <v>7700</v>
      </c>
      <c r="J34" s="293">
        <f>SUM(E34:I34)/D35</f>
        <v>0.51206434316353888</v>
      </c>
      <c r="K34" s="281">
        <f t="shared" si="0"/>
        <v>12</v>
      </c>
    </row>
    <row r="35" spans="1:11" x14ac:dyDescent="0.3">
      <c r="A35" s="288"/>
      <c r="B35" s="288" t="s">
        <v>1455</v>
      </c>
      <c r="C35" s="289"/>
      <c r="D35" s="292">
        <v>74600</v>
      </c>
      <c r="K35" s="281" t="str">
        <f t="shared" si="0"/>
        <v/>
      </c>
    </row>
    <row r="36" spans="1:11" x14ac:dyDescent="0.3">
      <c r="A36" s="294" t="s">
        <v>71</v>
      </c>
      <c r="B36" s="294"/>
      <c r="C36" s="295" t="s">
        <v>72</v>
      </c>
      <c r="K36" s="281" t="str">
        <f t="shared" si="0"/>
        <v/>
      </c>
    </row>
    <row r="37" spans="1:11" x14ac:dyDescent="0.3">
      <c r="A37" s="288"/>
      <c r="B37" s="288" t="s">
        <v>1456</v>
      </c>
      <c r="C37" s="296"/>
      <c r="E37" s="290">
        <v>6.35</v>
      </c>
      <c r="F37" s="290">
        <f>AVERAGE(E37, G37)</f>
        <v>6.55</v>
      </c>
      <c r="G37" s="290">
        <v>6.75</v>
      </c>
      <c r="H37" s="290">
        <f>G37</f>
        <v>6.75</v>
      </c>
      <c r="I37" s="290">
        <f>H37</f>
        <v>6.75</v>
      </c>
      <c r="K37" s="281" t="str">
        <f t="shared" si="0"/>
        <v/>
      </c>
    </row>
    <row r="38" spans="1:11" x14ac:dyDescent="0.3">
      <c r="A38" s="288"/>
      <c r="B38" s="288" t="s">
        <v>1457</v>
      </c>
      <c r="C38" s="296"/>
      <c r="D38" s="286"/>
      <c r="E38" s="291">
        <v>78.5</v>
      </c>
      <c r="F38" s="291">
        <f>AVERAGE(E38, G38)</f>
        <v>81.75</v>
      </c>
      <c r="G38" s="291">
        <v>85</v>
      </c>
      <c r="H38" s="291">
        <f>G38</f>
        <v>85</v>
      </c>
      <c r="I38" s="291">
        <f>H38</f>
        <v>85</v>
      </c>
      <c r="J38" s="286"/>
      <c r="K38" s="281" t="str">
        <f t="shared" si="0"/>
        <v/>
      </c>
    </row>
    <row r="39" spans="1:11" x14ac:dyDescent="0.3">
      <c r="A39" s="288"/>
      <c r="B39" s="288" t="s">
        <v>1458</v>
      </c>
      <c r="C39" s="296"/>
      <c r="E39" s="292">
        <f>E37*E38</f>
        <v>498.47499999999997</v>
      </c>
      <c r="F39" s="292">
        <f t="shared" ref="F39:I39" si="1">F37*F38</f>
        <v>535.46249999999998</v>
      </c>
      <c r="G39" s="292">
        <f t="shared" si="1"/>
        <v>573.75</v>
      </c>
      <c r="H39" s="292">
        <f t="shared" si="1"/>
        <v>573.75</v>
      </c>
      <c r="I39" s="292">
        <f t="shared" si="1"/>
        <v>573.75</v>
      </c>
      <c r="J39" s="293">
        <f>SUM(E39:I39)/D40</f>
        <v>0.4876438053097345</v>
      </c>
      <c r="K39" s="281">
        <f t="shared" si="0"/>
        <v>10</v>
      </c>
    </row>
    <row r="40" spans="1:11" x14ac:dyDescent="0.3">
      <c r="A40" s="288"/>
      <c r="B40" s="288" t="s">
        <v>1455</v>
      </c>
      <c r="C40" s="296"/>
      <c r="D40" s="292">
        <v>5650</v>
      </c>
      <c r="K40" s="281" t="str">
        <f t="shared" si="0"/>
        <v/>
      </c>
    </row>
    <row r="41" spans="1:11" x14ac:dyDescent="0.3">
      <c r="A41" s="294" t="s">
        <v>73</v>
      </c>
      <c r="B41" s="294"/>
      <c r="C41" s="295" t="s">
        <v>74</v>
      </c>
      <c r="K41" s="281" t="str">
        <f t="shared" si="0"/>
        <v/>
      </c>
    </row>
    <row r="42" spans="1:11" x14ac:dyDescent="0.3">
      <c r="A42" s="288"/>
      <c r="B42" s="288" t="s">
        <v>1456</v>
      </c>
      <c r="C42" s="296"/>
      <c r="E42" s="290">
        <v>9.5</v>
      </c>
      <c r="F42" s="290">
        <f>AVERAGE(E42, G42)</f>
        <v>9.375</v>
      </c>
      <c r="G42" s="290">
        <v>9.25</v>
      </c>
      <c r="H42" s="290">
        <f>G42</f>
        <v>9.25</v>
      </c>
      <c r="I42" s="290">
        <f>H42</f>
        <v>9.25</v>
      </c>
      <c r="K42" s="281" t="str">
        <f t="shared" si="0"/>
        <v/>
      </c>
    </row>
    <row r="43" spans="1:11" x14ac:dyDescent="0.3">
      <c r="A43" s="288"/>
      <c r="B43" s="288" t="s">
        <v>1457</v>
      </c>
      <c r="C43" s="296"/>
      <c r="D43" s="286"/>
      <c r="E43" s="291">
        <v>69</v>
      </c>
      <c r="F43" s="291">
        <f>AVERAGE(E43, G43)</f>
        <v>70</v>
      </c>
      <c r="G43" s="291">
        <v>71</v>
      </c>
      <c r="H43" s="291">
        <f>G43</f>
        <v>71</v>
      </c>
      <c r="I43" s="291">
        <f>H43</f>
        <v>71</v>
      </c>
      <c r="J43" s="286"/>
      <c r="K43" s="281" t="str">
        <f t="shared" si="0"/>
        <v/>
      </c>
    </row>
    <row r="44" spans="1:11" x14ac:dyDescent="0.3">
      <c r="A44" s="288"/>
      <c r="B44" s="288" t="s">
        <v>1458</v>
      </c>
      <c r="C44" s="296"/>
      <c r="E44" s="292">
        <f>E42*E43</f>
        <v>655.5</v>
      </c>
      <c r="F44" s="292">
        <f t="shared" ref="F44:I44" si="2">F42*F43</f>
        <v>656.25</v>
      </c>
      <c r="G44" s="292">
        <f t="shared" si="2"/>
        <v>656.75</v>
      </c>
      <c r="H44" s="292">
        <f t="shared" si="2"/>
        <v>656.75</v>
      </c>
      <c r="I44" s="292">
        <f t="shared" si="2"/>
        <v>656.75</v>
      </c>
      <c r="J44" s="293">
        <f>SUM(E44:I44)/D45</f>
        <v>0.46063157894736845</v>
      </c>
      <c r="K44" s="281">
        <f t="shared" si="0"/>
        <v>7</v>
      </c>
    </row>
    <row r="45" spans="1:11" x14ac:dyDescent="0.3">
      <c r="A45" s="288"/>
      <c r="B45" s="288" t="s">
        <v>1455</v>
      </c>
      <c r="C45" s="296"/>
      <c r="D45" s="292">
        <v>7125</v>
      </c>
      <c r="K45" s="281" t="str">
        <f t="shared" si="0"/>
        <v/>
      </c>
    </row>
    <row r="46" spans="1:11" x14ac:dyDescent="0.3">
      <c r="A46" s="294" t="s">
        <v>75</v>
      </c>
      <c r="B46" s="294"/>
      <c r="C46" s="295" t="s">
        <v>76</v>
      </c>
      <c r="K46" s="281" t="str">
        <f t="shared" si="0"/>
        <v/>
      </c>
    </row>
    <row r="47" spans="1:11" x14ac:dyDescent="0.3">
      <c r="A47" s="288"/>
      <c r="B47" s="288" t="s">
        <v>1456</v>
      </c>
      <c r="C47" s="296"/>
      <c r="E47" s="290">
        <v>9.5</v>
      </c>
      <c r="F47" s="290">
        <f>AVERAGE(E47, G47)</f>
        <v>9.625</v>
      </c>
      <c r="G47" s="290">
        <v>9.75</v>
      </c>
      <c r="H47" s="290">
        <f>G47</f>
        <v>9.75</v>
      </c>
      <c r="I47" s="290">
        <f>H47</f>
        <v>9.75</v>
      </c>
      <c r="K47" s="281" t="str">
        <f t="shared" si="0"/>
        <v/>
      </c>
    </row>
    <row r="48" spans="1:11" x14ac:dyDescent="0.3">
      <c r="A48" s="288"/>
      <c r="B48" s="288" t="s">
        <v>1457</v>
      </c>
      <c r="C48" s="296"/>
      <c r="D48" s="286"/>
      <c r="E48" s="291">
        <v>295</v>
      </c>
      <c r="F48" s="291">
        <f>AVERAGE(E48, G48)</f>
        <v>297.5</v>
      </c>
      <c r="G48" s="291">
        <v>300</v>
      </c>
      <c r="H48" s="291">
        <f>G48</f>
        <v>300</v>
      </c>
      <c r="I48" s="291">
        <f>H48</f>
        <v>300</v>
      </c>
      <c r="J48" s="286"/>
      <c r="K48" s="281" t="str">
        <f t="shared" si="0"/>
        <v/>
      </c>
    </row>
    <row r="49" spans="1:11" x14ac:dyDescent="0.3">
      <c r="A49" s="288"/>
      <c r="B49" s="288" t="s">
        <v>1458</v>
      </c>
      <c r="C49" s="296"/>
      <c r="E49" s="292">
        <f>E47*E48</f>
        <v>2802.5</v>
      </c>
      <c r="F49" s="292">
        <f t="shared" ref="F49:I49" si="3">F47*F48</f>
        <v>2863.4375</v>
      </c>
      <c r="G49" s="292">
        <f t="shared" si="3"/>
        <v>2925</v>
      </c>
      <c r="H49" s="292">
        <f t="shared" si="3"/>
        <v>2925</v>
      </c>
      <c r="I49" s="292">
        <f t="shared" si="3"/>
        <v>2925</v>
      </c>
      <c r="J49" s="293">
        <f>SUM(E49:I49)/D50</f>
        <v>0.60549004192872113</v>
      </c>
      <c r="K49" s="281">
        <f t="shared" si="0"/>
        <v>19</v>
      </c>
    </row>
    <row r="50" spans="1:11" x14ac:dyDescent="0.3">
      <c r="A50" s="288"/>
      <c r="B50" s="288" t="s">
        <v>1455</v>
      </c>
      <c r="C50" s="296"/>
      <c r="D50" s="292">
        <v>23850</v>
      </c>
      <c r="K50" s="281" t="str">
        <f t="shared" si="0"/>
        <v/>
      </c>
    </row>
    <row r="51" spans="1:11" x14ac:dyDescent="0.3">
      <c r="A51" s="288" t="s">
        <v>77</v>
      </c>
      <c r="C51" s="288" t="s">
        <v>78</v>
      </c>
      <c r="K51" s="281" t="str">
        <f t="shared" si="0"/>
        <v/>
      </c>
    </row>
    <row r="52" spans="1:11" x14ac:dyDescent="0.3">
      <c r="A52" s="288"/>
      <c r="B52" s="288" t="s">
        <v>1456</v>
      </c>
      <c r="C52" s="296"/>
      <c r="E52" s="290">
        <v>17.600000000000001</v>
      </c>
      <c r="F52" s="290">
        <f>AVERAGE(E52,G52)</f>
        <v>17.175000000000001</v>
      </c>
      <c r="G52" s="290">
        <v>16.75</v>
      </c>
      <c r="H52" s="290">
        <f>G52</f>
        <v>16.75</v>
      </c>
      <c r="I52" s="290">
        <f>H52</f>
        <v>16.75</v>
      </c>
      <c r="K52" s="281" t="str">
        <f t="shared" si="0"/>
        <v/>
      </c>
    </row>
    <row r="53" spans="1:11" x14ac:dyDescent="0.3">
      <c r="A53" s="288"/>
      <c r="B53" s="288" t="s">
        <v>1457</v>
      </c>
      <c r="C53" s="296"/>
      <c r="D53" s="286"/>
      <c r="E53" s="291">
        <v>770</v>
      </c>
      <c r="F53" s="291">
        <f>AVERAGE(E53,G53)</f>
        <v>770</v>
      </c>
      <c r="G53" s="291">
        <v>770</v>
      </c>
      <c r="H53" s="291">
        <f>G53</f>
        <v>770</v>
      </c>
      <c r="I53" s="291">
        <f>H53</f>
        <v>770</v>
      </c>
      <c r="J53" s="286"/>
      <c r="K53" s="281" t="str">
        <f t="shared" si="0"/>
        <v/>
      </c>
    </row>
    <row r="54" spans="1:11" x14ac:dyDescent="0.3">
      <c r="A54" s="288"/>
      <c r="B54" s="288" t="s">
        <v>1458</v>
      </c>
      <c r="C54" s="296"/>
      <c r="E54" s="292">
        <f>E52*E53</f>
        <v>13552.000000000002</v>
      </c>
      <c r="F54" s="292">
        <f>F52*F53</f>
        <v>13224.75</v>
      </c>
      <c r="G54" s="292">
        <f>G52*G53</f>
        <v>12897.5</v>
      </c>
      <c r="H54" s="292">
        <f>H52*H53</f>
        <v>12897.5</v>
      </c>
      <c r="I54" s="292">
        <f>I52*I53</f>
        <v>12897.5</v>
      </c>
      <c r="J54" s="293">
        <f>SUM(E54:I54)/D55</f>
        <v>0.52638592964824116</v>
      </c>
      <c r="K54" s="281">
        <f t="shared" si="0"/>
        <v>15</v>
      </c>
    </row>
    <row r="55" spans="1:11" x14ac:dyDescent="0.3">
      <c r="A55" s="288"/>
      <c r="B55" s="288" t="s">
        <v>1455</v>
      </c>
      <c r="C55" s="296"/>
      <c r="D55" s="292">
        <v>124375</v>
      </c>
      <c r="K55" s="281" t="str">
        <f t="shared" si="0"/>
        <v/>
      </c>
    </row>
    <row r="56" spans="1:11" x14ac:dyDescent="0.3">
      <c r="A56" s="288" t="s">
        <v>79</v>
      </c>
      <c r="C56" s="288" t="s">
        <v>80</v>
      </c>
      <c r="K56" s="281" t="str">
        <f t="shared" ref="K56:K87" si="4">IFERROR(RANK(J56,$J$14:$J$120,1),"")</f>
        <v/>
      </c>
    </row>
    <row r="57" spans="1:11" x14ac:dyDescent="0.3">
      <c r="A57" s="288"/>
      <c r="B57" s="288" t="s">
        <v>1456</v>
      </c>
      <c r="C57" s="296"/>
      <c r="E57" s="290">
        <v>19</v>
      </c>
      <c r="F57" s="290">
        <f>AVERAGE(E57,G57)</f>
        <v>19.375</v>
      </c>
      <c r="G57" s="290">
        <v>19.75</v>
      </c>
      <c r="H57" s="290">
        <f>G57</f>
        <v>19.75</v>
      </c>
      <c r="I57" s="290">
        <f>H57</f>
        <v>19.75</v>
      </c>
      <c r="K57" s="281" t="str">
        <f t="shared" si="4"/>
        <v/>
      </c>
    </row>
    <row r="58" spans="1:11" x14ac:dyDescent="0.3">
      <c r="A58" s="288"/>
      <c r="B58" s="288" t="s">
        <v>1457</v>
      </c>
      <c r="C58" s="296"/>
      <c r="D58" s="286"/>
      <c r="E58" s="291">
        <v>218</v>
      </c>
      <c r="F58" s="291">
        <f>AVERAGE(E58,G58)</f>
        <v>224</v>
      </c>
      <c r="G58" s="291">
        <v>230</v>
      </c>
      <c r="H58" s="291">
        <f>G58</f>
        <v>230</v>
      </c>
      <c r="I58" s="291">
        <f>H58</f>
        <v>230</v>
      </c>
      <c r="J58" s="286"/>
      <c r="K58" s="281" t="str">
        <f t="shared" si="4"/>
        <v/>
      </c>
    </row>
    <row r="59" spans="1:11" x14ac:dyDescent="0.3">
      <c r="A59" s="288"/>
      <c r="B59" s="288" t="s">
        <v>1458</v>
      </c>
      <c r="C59" s="296"/>
      <c r="E59" s="292">
        <f>E57*E58</f>
        <v>4142</v>
      </c>
      <c r="F59" s="292">
        <f>F57*F58</f>
        <v>4340</v>
      </c>
      <c r="G59" s="292">
        <f>G57*G58</f>
        <v>4542.5</v>
      </c>
      <c r="H59" s="292">
        <f>H57*H58</f>
        <v>4542.5</v>
      </c>
      <c r="I59" s="292">
        <f>I57*I58</f>
        <v>4542.5</v>
      </c>
      <c r="J59" s="293">
        <f>SUM(E59:I59)/D60</f>
        <v>0.49104941699056082</v>
      </c>
      <c r="K59" s="281">
        <f t="shared" si="4"/>
        <v>11</v>
      </c>
    </row>
    <row r="60" spans="1:11" x14ac:dyDescent="0.3">
      <c r="A60" s="288"/>
      <c r="B60" s="288" t="s">
        <v>1455</v>
      </c>
      <c r="C60" s="296"/>
      <c r="D60" s="292">
        <v>45025</v>
      </c>
      <c r="K60" s="281" t="str">
        <f t="shared" si="4"/>
        <v/>
      </c>
    </row>
    <row r="61" spans="1:11" x14ac:dyDescent="0.3">
      <c r="A61" s="288" t="s">
        <v>1459</v>
      </c>
      <c r="C61" s="288" t="s">
        <v>82</v>
      </c>
      <c r="K61" s="281" t="str">
        <f t="shared" si="4"/>
        <v/>
      </c>
    </row>
    <row r="62" spans="1:11" x14ac:dyDescent="0.3">
      <c r="A62" s="288"/>
      <c r="B62" s="288" t="s">
        <v>1456</v>
      </c>
      <c r="C62" s="296"/>
      <c r="E62" s="290">
        <v>9.25</v>
      </c>
      <c r="F62" s="290">
        <f>AVERAGE(E62,G62)</f>
        <v>9.375</v>
      </c>
      <c r="G62" s="290">
        <v>9.5</v>
      </c>
      <c r="H62" s="290">
        <f>G62</f>
        <v>9.5</v>
      </c>
      <c r="I62" s="290">
        <f>H62</f>
        <v>9.5</v>
      </c>
      <c r="K62" s="281" t="str">
        <f t="shared" si="4"/>
        <v/>
      </c>
    </row>
    <row r="63" spans="1:11" x14ac:dyDescent="0.3">
      <c r="A63" s="288"/>
      <c r="B63" s="288" t="s">
        <v>1457</v>
      </c>
      <c r="C63" s="296"/>
      <c r="D63" s="286"/>
      <c r="E63" s="291">
        <v>230</v>
      </c>
      <c r="F63" s="291">
        <f>AVERAGE(E63,G63)</f>
        <v>230</v>
      </c>
      <c r="G63" s="291">
        <v>230</v>
      </c>
      <c r="H63" s="291">
        <f>G63</f>
        <v>230</v>
      </c>
      <c r="I63" s="291">
        <f>H63</f>
        <v>230</v>
      </c>
      <c r="J63" s="286"/>
      <c r="K63" s="281" t="str">
        <f t="shared" si="4"/>
        <v/>
      </c>
    </row>
    <row r="64" spans="1:11" x14ac:dyDescent="0.3">
      <c r="A64" s="288"/>
      <c r="B64" s="288" t="s">
        <v>1458</v>
      </c>
      <c r="C64" s="296"/>
      <c r="E64" s="292">
        <f>E62*E63</f>
        <v>2127.5</v>
      </c>
      <c r="F64" s="292">
        <f>F62*F63</f>
        <v>2156.25</v>
      </c>
      <c r="G64" s="292">
        <f>G62*G63</f>
        <v>2185</v>
      </c>
      <c r="H64" s="292">
        <f>H62*H63</f>
        <v>2185</v>
      </c>
      <c r="I64" s="292">
        <f>I62*I63</f>
        <v>2185</v>
      </c>
      <c r="J64" s="293">
        <f>SUM(E64:I64)/D65</f>
        <v>0.4681965442764579</v>
      </c>
      <c r="K64" s="281">
        <f t="shared" si="4"/>
        <v>8</v>
      </c>
    </row>
    <row r="65" spans="1:11" x14ac:dyDescent="0.3">
      <c r="A65" s="288"/>
      <c r="B65" s="288" t="s">
        <v>1455</v>
      </c>
      <c r="C65" s="296"/>
      <c r="D65" s="292">
        <v>23150</v>
      </c>
      <c r="K65" s="281" t="str">
        <f t="shared" si="4"/>
        <v/>
      </c>
    </row>
    <row r="66" spans="1:11" x14ac:dyDescent="0.3">
      <c r="A66" s="288" t="s">
        <v>83</v>
      </c>
      <c r="C66" s="288" t="s">
        <v>84</v>
      </c>
      <c r="K66" s="281" t="str">
        <f t="shared" si="4"/>
        <v/>
      </c>
    </row>
    <row r="67" spans="1:11" x14ac:dyDescent="0.3">
      <c r="A67" s="288"/>
      <c r="B67" s="288" t="s">
        <v>1456</v>
      </c>
      <c r="C67" s="296"/>
      <c r="E67" s="290">
        <v>16</v>
      </c>
      <c r="F67" s="290">
        <f>AVERAGE(E67,G67)</f>
        <v>13.5</v>
      </c>
      <c r="G67" s="290">
        <v>11</v>
      </c>
      <c r="H67" s="290">
        <f>G67</f>
        <v>11</v>
      </c>
      <c r="I67" s="290">
        <f>H67</f>
        <v>11</v>
      </c>
      <c r="K67" s="281" t="str">
        <f t="shared" si="4"/>
        <v/>
      </c>
    </row>
    <row r="68" spans="1:11" x14ac:dyDescent="0.3">
      <c r="A68" s="288"/>
      <c r="B68" s="288" t="s">
        <v>1457</v>
      </c>
      <c r="C68" s="296"/>
      <c r="D68" s="286"/>
      <c r="E68" s="291">
        <v>51.5</v>
      </c>
      <c r="F68" s="291">
        <f>AVERAGE(E68,G68)</f>
        <v>52.25</v>
      </c>
      <c r="G68" s="291">
        <v>53</v>
      </c>
      <c r="H68" s="291">
        <f>G68</f>
        <v>53</v>
      </c>
      <c r="I68" s="291">
        <f>H68</f>
        <v>53</v>
      </c>
      <c r="J68" s="286"/>
      <c r="K68" s="281" t="str">
        <f t="shared" si="4"/>
        <v/>
      </c>
    </row>
    <row r="69" spans="1:11" x14ac:dyDescent="0.3">
      <c r="A69" s="288"/>
      <c r="B69" s="288" t="s">
        <v>1458</v>
      </c>
      <c r="C69" s="296"/>
      <c r="E69" s="292">
        <f>E67*E68</f>
        <v>824</v>
      </c>
      <c r="F69" s="292">
        <f>F67*F68</f>
        <v>705.375</v>
      </c>
      <c r="G69" s="292">
        <f>G67*G68</f>
        <v>583</v>
      </c>
      <c r="H69" s="292">
        <f>H67*H68</f>
        <v>583</v>
      </c>
      <c r="I69" s="292">
        <f>I67*I68</f>
        <v>583</v>
      </c>
      <c r="J69" s="293">
        <f>SUM(E69:I69)/D70</f>
        <v>0.5802433628318584</v>
      </c>
      <c r="K69" s="281">
        <f t="shared" si="4"/>
        <v>17</v>
      </c>
    </row>
    <row r="70" spans="1:11" x14ac:dyDescent="0.3">
      <c r="A70" s="288"/>
      <c r="B70" s="288" t="s">
        <v>1455</v>
      </c>
      <c r="C70" s="296"/>
      <c r="D70" s="292">
        <v>5650</v>
      </c>
      <c r="K70" s="281" t="str">
        <f t="shared" si="4"/>
        <v/>
      </c>
    </row>
    <row r="71" spans="1:11" x14ac:dyDescent="0.3">
      <c r="A71" s="288" t="s">
        <v>85</v>
      </c>
      <c r="C71" s="288" t="s">
        <v>86</v>
      </c>
      <c r="D71" s="292"/>
      <c r="K71" s="281" t="str">
        <f t="shared" si="4"/>
        <v/>
      </c>
    </row>
    <row r="72" spans="1:11" x14ac:dyDescent="0.3">
      <c r="A72" s="288"/>
      <c r="B72" s="288" t="s">
        <v>1456</v>
      </c>
      <c r="C72" s="296"/>
      <c r="E72" s="290">
        <v>4</v>
      </c>
      <c r="F72" s="290">
        <f>AVERAGE(E72,G72)</f>
        <v>4.625</v>
      </c>
      <c r="G72" s="290">
        <v>5.25</v>
      </c>
      <c r="H72" s="290">
        <f>G72</f>
        <v>5.25</v>
      </c>
      <c r="I72" s="290">
        <f>H72</f>
        <v>5.25</v>
      </c>
      <c r="K72" s="281" t="str">
        <f t="shared" si="4"/>
        <v/>
      </c>
    </row>
    <row r="73" spans="1:11" x14ac:dyDescent="0.3">
      <c r="A73" s="288"/>
      <c r="B73" s="288" t="s">
        <v>1457</v>
      </c>
      <c r="C73" s="296"/>
      <c r="D73" s="286"/>
      <c r="E73" s="291">
        <v>36.159999999999997</v>
      </c>
      <c r="F73" s="291">
        <f>AVERAGE(E73,G73)</f>
        <v>36.159999999999997</v>
      </c>
      <c r="G73" s="291">
        <v>36.159999999999997</v>
      </c>
      <c r="H73" s="291">
        <f>G73</f>
        <v>36.159999999999997</v>
      </c>
      <c r="I73" s="291">
        <f>H73</f>
        <v>36.159999999999997</v>
      </c>
      <c r="J73" s="286"/>
      <c r="K73" s="281" t="str">
        <f t="shared" si="4"/>
        <v/>
      </c>
    </row>
    <row r="74" spans="1:11" x14ac:dyDescent="0.3">
      <c r="A74" s="288"/>
      <c r="B74" s="288" t="s">
        <v>1458</v>
      </c>
      <c r="C74" s="296"/>
      <c r="E74" s="292">
        <f>E72*E73</f>
        <v>144.63999999999999</v>
      </c>
      <c r="F74" s="292">
        <f>F72*F73</f>
        <v>167.23999999999998</v>
      </c>
      <c r="G74" s="292">
        <f>G72*G73</f>
        <v>189.83999999999997</v>
      </c>
      <c r="H74" s="292">
        <f>H72*H73</f>
        <v>189.83999999999997</v>
      </c>
      <c r="I74" s="292">
        <f>I72*I73</f>
        <v>189.83999999999997</v>
      </c>
      <c r="J74" s="293">
        <f>SUM(E74:I74)/D75</f>
        <v>0.42995121951219506</v>
      </c>
      <c r="K74" s="281">
        <f t="shared" si="4"/>
        <v>5</v>
      </c>
    </row>
    <row r="75" spans="1:11" x14ac:dyDescent="0.3">
      <c r="A75" s="288"/>
      <c r="B75" s="288" t="s">
        <v>1455</v>
      </c>
      <c r="C75" s="296"/>
      <c r="D75" s="292">
        <v>2050</v>
      </c>
      <c r="K75" s="281" t="str">
        <f t="shared" si="4"/>
        <v/>
      </c>
    </row>
    <row r="76" spans="1:11" x14ac:dyDescent="0.3">
      <c r="A76" s="288" t="s">
        <v>88</v>
      </c>
      <c r="C76" s="288" t="s">
        <v>89</v>
      </c>
      <c r="D76" s="292"/>
      <c r="K76" s="281" t="str">
        <f t="shared" si="4"/>
        <v/>
      </c>
    </row>
    <row r="77" spans="1:11" x14ac:dyDescent="0.3">
      <c r="A77" s="288"/>
      <c r="B77" s="288" t="s">
        <v>1456</v>
      </c>
      <c r="C77" s="296"/>
      <c r="E77" s="290">
        <v>9.5</v>
      </c>
      <c r="F77" s="290">
        <f>AVERAGE(E77,G77)</f>
        <v>9.625</v>
      </c>
      <c r="G77" s="290">
        <v>9.75</v>
      </c>
      <c r="H77" s="290">
        <f>G77</f>
        <v>9.75</v>
      </c>
      <c r="I77" s="290">
        <f>H77</f>
        <v>9.75</v>
      </c>
      <c r="K77" s="281" t="str">
        <f t="shared" si="4"/>
        <v/>
      </c>
    </row>
    <row r="78" spans="1:11" x14ac:dyDescent="0.3">
      <c r="A78" s="288"/>
      <c r="B78" s="288" t="s">
        <v>1457</v>
      </c>
      <c r="C78" s="296"/>
      <c r="D78" s="286"/>
      <c r="E78" s="291">
        <v>2025</v>
      </c>
      <c r="F78" s="291">
        <f>AVERAGE(E78,G78)</f>
        <v>2037.5</v>
      </c>
      <c r="G78" s="291">
        <v>2050</v>
      </c>
      <c r="H78" s="291">
        <f>G78</f>
        <v>2050</v>
      </c>
      <c r="I78" s="291">
        <f>H78</f>
        <v>2050</v>
      </c>
      <c r="J78" s="286"/>
      <c r="K78" s="281" t="str">
        <f t="shared" si="4"/>
        <v/>
      </c>
    </row>
    <row r="79" spans="1:11" x14ac:dyDescent="0.3">
      <c r="A79" s="288"/>
      <c r="B79" s="288" t="s">
        <v>1458</v>
      </c>
      <c r="C79" s="296"/>
      <c r="E79" s="292">
        <f>E77*E78</f>
        <v>19237.5</v>
      </c>
      <c r="F79" s="292">
        <f>F77*F78</f>
        <v>19610.9375</v>
      </c>
      <c r="G79" s="292">
        <f>G77*G78</f>
        <v>19987.5</v>
      </c>
      <c r="H79" s="292">
        <f>H77*H78</f>
        <v>19987.5</v>
      </c>
      <c r="I79" s="292">
        <f>I77*I78</f>
        <v>19987.5</v>
      </c>
      <c r="J79" s="293">
        <f>SUM(E79:I79)/D80</f>
        <v>0.78859487230646452</v>
      </c>
      <c r="K79" s="281">
        <f t="shared" si="4"/>
        <v>21</v>
      </c>
    </row>
    <row r="80" spans="1:11" x14ac:dyDescent="0.3">
      <c r="A80" s="288"/>
      <c r="B80" s="288" t="s">
        <v>1455</v>
      </c>
      <c r="C80" s="296"/>
      <c r="D80" s="292">
        <v>125300</v>
      </c>
      <c r="K80" s="281" t="str">
        <f t="shared" si="4"/>
        <v/>
      </c>
    </row>
    <row r="81" spans="1:11" x14ac:dyDescent="0.3">
      <c r="A81" s="288" t="s">
        <v>90</v>
      </c>
      <c r="C81" s="288" t="s">
        <v>91</v>
      </c>
      <c r="K81" s="281" t="str">
        <f t="shared" si="4"/>
        <v/>
      </c>
    </row>
    <row r="82" spans="1:11" x14ac:dyDescent="0.3">
      <c r="A82" s="288"/>
      <c r="B82" s="288" t="s">
        <v>1456</v>
      </c>
      <c r="C82" s="296"/>
      <c r="E82" s="290">
        <v>7.75</v>
      </c>
      <c r="F82" s="290">
        <f>AVERAGE(E82,G82)</f>
        <v>7.375</v>
      </c>
      <c r="G82" s="290">
        <v>7</v>
      </c>
      <c r="H82" s="290">
        <f>G82</f>
        <v>7</v>
      </c>
      <c r="I82" s="290">
        <f>H82</f>
        <v>7</v>
      </c>
      <c r="K82" s="281" t="str">
        <f t="shared" si="4"/>
        <v/>
      </c>
    </row>
    <row r="83" spans="1:11" x14ac:dyDescent="0.3">
      <c r="A83" s="288"/>
      <c r="B83" s="288" t="s">
        <v>1457</v>
      </c>
      <c r="C83" s="296"/>
      <c r="D83" s="286"/>
      <c r="E83" s="291">
        <v>62</v>
      </c>
      <c r="F83" s="291">
        <f>AVERAGE(E83,G83)</f>
        <v>62</v>
      </c>
      <c r="G83" s="291">
        <v>62</v>
      </c>
      <c r="H83" s="291">
        <f>G83</f>
        <v>62</v>
      </c>
      <c r="I83" s="291">
        <f>H83</f>
        <v>62</v>
      </c>
      <c r="J83" s="286"/>
      <c r="K83" s="281" t="str">
        <f t="shared" si="4"/>
        <v/>
      </c>
    </row>
    <row r="84" spans="1:11" x14ac:dyDescent="0.3">
      <c r="A84" s="288"/>
      <c r="B84" s="288" t="s">
        <v>1458</v>
      </c>
      <c r="C84" s="296"/>
      <c r="E84" s="292">
        <f>E82*E83</f>
        <v>480.5</v>
      </c>
      <c r="F84" s="292">
        <f>F82*F83</f>
        <v>457.25</v>
      </c>
      <c r="G84" s="292">
        <f>G82*G83</f>
        <v>434</v>
      </c>
      <c r="H84" s="292">
        <f>H82*H83</f>
        <v>434</v>
      </c>
      <c r="I84" s="292">
        <f>I82*I83</f>
        <v>434</v>
      </c>
      <c r="J84" s="293">
        <f>SUM(E84:I84)/D85</f>
        <v>0.37329166666666669</v>
      </c>
      <c r="K84" s="281">
        <f t="shared" si="4"/>
        <v>1</v>
      </c>
    </row>
    <row r="85" spans="1:11" x14ac:dyDescent="0.3">
      <c r="A85" s="288"/>
      <c r="B85" s="288" t="s">
        <v>1455</v>
      </c>
      <c r="C85" s="296"/>
      <c r="D85" s="292">
        <v>6000</v>
      </c>
      <c r="K85" s="281" t="str">
        <f t="shared" si="4"/>
        <v/>
      </c>
    </row>
    <row r="86" spans="1:11" x14ac:dyDescent="0.3">
      <c r="A86" s="288" t="s">
        <v>92</v>
      </c>
      <c r="C86" s="288" t="s">
        <v>93</v>
      </c>
      <c r="K86" s="281" t="str">
        <f t="shared" si="4"/>
        <v/>
      </c>
    </row>
    <row r="87" spans="1:11" x14ac:dyDescent="0.3">
      <c r="A87" s="288"/>
      <c r="B87" s="288" t="s">
        <v>1456</v>
      </c>
      <c r="C87" s="296"/>
      <c r="E87" s="290">
        <v>4.75</v>
      </c>
      <c r="F87" s="290">
        <f>AVERAGE(E87,G87)</f>
        <v>4.75</v>
      </c>
      <c r="G87" s="290">
        <v>4.75</v>
      </c>
      <c r="H87" s="290">
        <f>G87</f>
        <v>4.75</v>
      </c>
      <c r="I87" s="290">
        <f>H87</f>
        <v>4.75</v>
      </c>
      <c r="K87" s="281" t="str">
        <f t="shared" si="4"/>
        <v/>
      </c>
    </row>
    <row r="88" spans="1:11" x14ac:dyDescent="0.3">
      <c r="A88" s="288"/>
      <c r="B88" s="288" t="s">
        <v>1457</v>
      </c>
      <c r="C88" s="296"/>
      <c r="D88" s="286"/>
      <c r="E88" s="291">
        <v>200.2</v>
      </c>
      <c r="F88" s="291">
        <f>AVERAGE(E88,G88)</f>
        <v>200.2</v>
      </c>
      <c r="G88" s="291">
        <v>200.2</v>
      </c>
      <c r="H88" s="291">
        <f>G88</f>
        <v>200.2</v>
      </c>
      <c r="I88" s="291">
        <f>H88</f>
        <v>200.2</v>
      </c>
      <c r="J88" s="286"/>
      <c r="K88" s="281" t="str">
        <f t="shared" ref="K88:K117" si="5">IFERROR(RANK(J88,$J$14:$J$120,1),"")</f>
        <v/>
      </c>
    </row>
    <row r="89" spans="1:11" x14ac:dyDescent="0.3">
      <c r="A89" s="288"/>
      <c r="B89" s="288" t="s">
        <v>1458</v>
      </c>
      <c r="C89" s="296"/>
      <c r="E89" s="292">
        <f>E87*E88</f>
        <v>950.94999999999993</v>
      </c>
      <c r="F89" s="292">
        <f>F87*F88</f>
        <v>950.94999999999993</v>
      </c>
      <c r="G89" s="292">
        <f>G87*G88</f>
        <v>950.94999999999993</v>
      </c>
      <c r="H89" s="292">
        <f>H87*H88</f>
        <v>950.94999999999993</v>
      </c>
      <c r="I89" s="292">
        <f>I87*I88</f>
        <v>950.94999999999993</v>
      </c>
      <c r="J89" s="293">
        <f>SUM(E89:I89)/D90</f>
        <v>0.43903508771929822</v>
      </c>
      <c r="K89" s="281">
        <f t="shared" si="5"/>
        <v>6</v>
      </c>
    </row>
    <row r="90" spans="1:11" x14ac:dyDescent="0.3">
      <c r="A90" s="288"/>
      <c r="B90" s="288" t="s">
        <v>1455</v>
      </c>
      <c r="C90" s="296"/>
      <c r="D90" s="292">
        <v>10830</v>
      </c>
      <c r="K90" s="281" t="str">
        <f t="shared" si="5"/>
        <v/>
      </c>
    </row>
    <row r="91" spans="1:11" x14ac:dyDescent="0.3">
      <c r="A91" s="288" t="s">
        <v>94</v>
      </c>
      <c r="C91" s="288" t="s">
        <v>95</v>
      </c>
      <c r="K91" s="281" t="str">
        <f t="shared" si="5"/>
        <v/>
      </c>
    </row>
    <row r="92" spans="1:11" x14ac:dyDescent="0.3">
      <c r="A92" s="288"/>
      <c r="B92" s="288" t="s">
        <v>1456</v>
      </c>
      <c r="C92" s="296"/>
      <c r="E92" s="290">
        <v>15</v>
      </c>
      <c r="F92" s="290">
        <f>AVERAGE(E92,G92)</f>
        <v>15</v>
      </c>
      <c r="G92" s="290">
        <v>15</v>
      </c>
      <c r="H92" s="290">
        <f>G92</f>
        <v>15</v>
      </c>
      <c r="I92" s="290">
        <f>H92</f>
        <v>15</v>
      </c>
      <c r="K92" s="281" t="str">
        <f t="shared" si="5"/>
        <v/>
      </c>
    </row>
    <row r="93" spans="1:11" x14ac:dyDescent="0.3">
      <c r="A93" s="288"/>
      <c r="B93" s="288" t="s">
        <v>1457</v>
      </c>
      <c r="C93" s="296"/>
      <c r="D93" s="286"/>
      <c r="E93" s="291">
        <v>118</v>
      </c>
      <c r="F93" s="291">
        <f>AVERAGE(E93,G93)</f>
        <v>119</v>
      </c>
      <c r="G93" s="291">
        <v>120</v>
      </c>
      <c r="H93" s="291">
        <f>G93</f>
        <v>120</v>
      </c>
      <c r="I93" s="291">
        <f>H93</f>
        <v>120</v>
      </c>
      <c r="J93" s="286"/>
      <c r="K93" s="281" t="str">
        <f t="shared" si="5"/>
        <v/>
      </c>
    </row>
    <row r="94" spans="1:11" x14ac:dyDescent="0.3">
      <c r="A94" s="288"/>
      <c r="B94" s="288" t="s">
        <v>1458</v>
      </c>
      <c r="C94" s="296"/>
      <c r="E94" s="292">
        <f>E92*E93</f>
        <v>1770</v>
      </c>
      <c r="F94" s="292">
        <f>F92*F93</f>
        <v>1785</v>
      </c>
      <c r="G94" s="292">
        <f>G92*G93</f>
        <v>1800</v>
      </c>
      <c r="H94" s="292">
        <f>H92*H93</f>
        <v>1800</v>
      </c>
      <c r="I94" s="292">
        <f>I92*I93</f>
        <v>1800</v>
      </c>
      <c r="J94" s="293">
        <f>SUM(E94:I94)/D95</f>
        <v>0.51244635193133048</v>
      </c>
      <c r="K94" s="281">
        <f t="shared" si="5"/>
        <v>13</v>
      </c>
    </row>
    <row r="95" spans="1:11" x14ac:dyDescent="0.3">
      <c r="A95" s="288"/>
      <c r="B95" s="288" t="s">
        <v>1455</v>
      </c>
      <c r="C95" s="296"/>
      <c r="D95" s="292">
        <v>17475</v>
      </c>
      <c r="K95" s="281" t="str">
        <f t="shared" si="5"/>
        <v/>
      </c>
    </row>
    <row r="96" spans="1:11" x14ac:dyDescent="0.3">
      <c r="A96" s="288" t="s">
        <v>96</v>
      </c>
      <c r="C96" s="288" t="s">
        <v>97</v>
      </c>
      <c r="K96" s="281" t="str">
        <f t="shared" si="5"/>
        <v/>
      </c>
    </row>
    <row r="97" spans="1:15" x14ac:dyDescent="0.3">
      <c r="A97" s="288"/>
      <c r="B97" s="288" t="s">
        <v>1456</v>
      </c>
      <c r="C97" s="296"/>
      <c r="E97" s="290">
        <v>10.75</v>
      </c>
      <c r="F97" s="290">
        <f>AVERAGE(E97,G97)</f>
        <v>10.875</v>
      </c>
      <c r="G97" s="290">
        <v>11</v>
      </c>
      <c r="H97" s="290">
        <f>G97</f>
        <v>11</v>
      </c>
      <c r="I97" s="290">
        <f>H97</f>
        <v>11</v>
      </c>
      <c r="K97" s="281" t="str">
        <f t="shared" si="5"/>
        <v/>
      </c>
    </row>
    <row r="98" spans="1:15" x14ac:dyDescent="0.3">
      <c r="A98" s="288"/>
      <c r="B98" s="288" t="s">
        <v>1457</v>
      </c>
      <c r="C98" s="296"/>
      <c r="D98" s="286"/>
      <c r="E98" s="291">
        <v>102</v>
      </c>
      <c r="F98" s="291">
        <f>AVERAGE(E98,G98)</f>
        <v>102</v>
      </c>
      <c r="G98" s="291">
        <v>102</v>
      </c>
      <c r="H98" s="291">
        <f>G98</f>
        <v>102</v>
      </c>
      <c r="I98" s="291">
        <f>H98</f>
        <v>102</v>
      </c>
      <c r="J98" s="286"/>
      <c r="K98" s="281" t="str">
        <f t="shared" si="5"/>
        <v/>
      </c>
    </row>
    <row r="99" spans="1:15" x14ac:dyDescent="0.3">
      <c r="A99" s="288"/>
      <c r="B99" s="288" t="s">
        <v>1458</v>
      </c>
      <c r="C99" s="296"/>
      <c r="E99" s="292">
        <f>E97*E98</f>
        <v>1096.5</v>
      </c>
      <c r="F99" s="292">
        <f>F97*F98</f>
        <v>1109.25</v>
      </c>
      <c r="G99" s="292">
        <f>G97*G98</f>
        <v>1122</v>
      </c>
      <c r="H99" s="292">
        <f>H97*H98</f>
        <v>1122</v>
      </c>
      <c r="I99" s="292">
        <f>I97*I98</f>
        <v>1122</v>
      </c>
      <c r="J99" s="293">
        <f>SUM(E99:I99)/D100</f>
        <v>0.60235135135135132</v>
      </c>
      <c r="K99" s="281">
        <f t="shared" si="5"/>
        <v>18</v>
      </c>
    </row>
    <row r="100" spans="1:15" x14ac:dyDescent="0.3">
      <c r="A100" s="288"/>
      <c r="B100" s="288" t="s">
        <v>1455</v>
      </c>
      <c r="C100" s="296"/>
      <c r="D100" s="292">
        <v>9250</v>
      </c>
      <c r="K100" s="281" t="str">
        <f t="shared" si="5"/>
        <v/>
      </c>
    </row>
    <row r="101" spans="1:15" x14ac:dyDescent="0.3">
      <c r="A101" s="288" t="s">
        <v>98</v>
      </c>
      <c r="C101" s="288" t="s">
        <v>99</v>
      </c>
      <c r="D101" s="292"/>
      <c r="K101" s="281" t="str">
        <f t="shared" si="5"/>
        <v/>
      </c>
    </row>
    <row r="102" spans="1:15" x14ac:dyDescent="0.3">
      <c r="A102" s="288"/>
      <c r="B102" s="288" t="s">
        <v>1456</v>
      </c>
      <c r="C102" s="296"/>
      <c r="E102" s="290">
        <v>7.85</v>
      </c>
      <c r="F102" s="290">
        <f>AVERAGE(E102,G102)</f>
        <v>7.6749999999999998</v>
      </c>
      <c r="G102" s="290">
        <v>7.5</v>
      </c>
      <c r="H102" s="290">
        <f>G102</f>
        <v>7.5</v>
      </c>
      <c r="I102" s="290">
        <f>H102</f>
        <v>7.5</v>
      </c>
      <c r="K102" s="281" t="str">
        <f t="shared" si="5"/>
        <v/>
      </c>
    </row>
    <row r="103" spans="1:15" x14ac:dyDescent="0.3">
      <c r="A103" s="288"/>
      <c r="B103" s="288" t="s">
        <v>1457</v>
      </c>
      <c r="C103" s="296"/>
      <c r="D103" s="286"/>
      <c r="E103" s="291">
        <v>1070</v>
      </c>
      <c r="F103" s="291">
        <f>AVERAGE(E103,G103)</f>
        <v>1070</v>
      </c>
      <c r="G103" s="291">
        <v>1070</v>
      </c>
      <c r="H103" s="291">
        <f>G103</f>
        <v>1070</v>
      </c>
      <c r="I103" s="291">
        <f>H103</f>
        <v>1070</v>
      </c>
      <c r="J103" s="286"/>
      <c r="K103" s="281" t="str">
        <f t="shared" si="5"/>
        <v/>
      </c>
    </row>
    <row r="104" spans="1:15" x14ac:dyDescent="0.3">
      <c r="A104" s="288"/>
      <c r="B104" s="288" t="s">
        <v>1458</v>
      </c>
      <c r="C104" s="296"/>
      <c r="E104" s="292">
        <f>E102*E103</f>
        <v>8399.5</v>
      </c>
      <c r="F104" s="292">
        <f t="shared" ref="F104:H104" si="6">F102*F103</f>
        <v>8212.25</v>
      </c>
      <c r="G104" s="292">
        <f t="shared" si="6"/>
        <v>8025</v>
      </c>
      <c r="H104" s="292">
        <f t="shared" si="6"/>
        <v>8025</v>
      </c>
      <c r="I104" s="292">
        <f t="shared" ref="I104" si="7">I102*I103</f>
        <v>8025</v>
      </c>
      <c r="J104" s="293">
        <f>SUM(E104:I104)/D105</f>
        <v>0.40952944136889785</v>
      </c>
      <c r="K104" s="281">
        <f t="shared" si="5"/>
        <v>3</v>
      </c>
    </row>
    <row r="105" spans="1:15" x14ac:dyDescent="0.3">
      <c r="A105" s="288"/>
      <c r="B105" s="288" t="s">
        <v>1455</v>
      </c>
      <c r="C105" s="296"/>
      <c r="D105" s="292">
        <v>99350</v>
      </c>
      <c r="K105" s="281" t="str">
        <f t="shared" si="5"/>
        <v/>
      </c>
      <c r="O105" s="290"/>
    </row>
    <row r="106" spans="1:15" x14ac:dyDescent="0.3">
      <c r="A106" s="288" t="s">
        <v>100</v>
      </c>
      <c r="C106" s="288" t="s">
        <v>101</v>
      </c>
      <c r="K106" s="281" t="str">
        <f t="shared" si="5"/>
        <v/>
      </c>
    </row>
    <row r="107" spans="1:15" x14ac:dyDescent="0.3">
      <c r="A107" s="288"/>
      <c r="B107" s="288" t="s">
        <v>1456</v>
      </c>
      <c r="C107" s="296"/>
      <c r="E107" s="290">
        <v>9.3000000000000007</v>
      </c>
      <c r="F107" s="290">
        <f>AVERAGE(E107, G107)</f>
        <v>9.2750000000000004</v>
      </c>
      <c r="G107" s="290">
        <v>9.25</v>
      </c>
      <c r="H107" s="290">
        <f>G107</f>
        <v>9.25</v>
      </c>
      <c r="I107" s="290">
        <f>H107</f>
        <v>9.25</v>
      </c>
      <c r="K107" s="281" t="str">
        <f t="shared" si="5"/>
        <v/>
      </c>
    </row>
    <row r="108" spans="1:15" x14ac:dyDescent="0.3">
      <c r="A108" s="288"/>
      <c r="B108" s="288" t="s">
        <v>1457</v>
      </c>
      <c r="C108" s="296"/>
      <c r="D108" s="286"/>
      <c r="E108" s="291">
        <v>315.43</v>
      </c>
      <c r="F108" s="291">
        <f>AVERAGE(E108, G108)</f>
        <v>315.43</v>
      </c>
      <c r="G108" s="291">
        <v>315.43</v>
      </c>
      <c r="H108" s="291">
        <f>G108</f>
        <v>315.43</v>
      </c>
      <c r="I108" s="291">
        <f>H108</f>
        <v>315.43</v>
      </c>
      <c r="J108" s="286"/>
      <c r="K108" s="281" t="str">
        <f t="shared" si="5"/>
        <v/>
      </c>
    </row>
    <row r="109" spans="1:15" x14ac:dyDescent="0.3">
      <c r="A109" s="288"/>
      <c r="B109" s="288" t="s">
        <v>1458</v>
      </c>
      <c r="C109" s="296"/>
      <c r="E109" s="292">
        <f>E107*E108</f>
        <v>2933.4990000000003</v>
      </c>
      <c r="F109" s="292">
        <f t="shared" ref="F109:H109" si="8">F107*F108</f>
        <v>2925.6132500000003</v>
      </c>
      <c r="G109" s="292">
        <f t="shared" si="8"/>
        <v>2917.7275</v>
      </c>
      <c r="H109" s="292">
        <f t="shared" si="8"/>
        <v>2917.7275</v>
      </c>
      <c r="I109" s="292">
        <f t="shared" ref="I109" si="9">I107*I108</f>
        <v>2917.7275</v>
      </c>
      <c r="J109" s="293">
        <f>SUM(E109:I109)/D110</f>
        <v>0.479091631147541</v>
      </c>
      <c r="K109" s="281">
        <f t="shared" si="5"/>
        <v>9</v>
      </c>
    </row>
    <row r="110" spans="1:15" x14ac:dyDescent="0.3">
      <c r="A110" s="288"/>
      <c r="B110" s="288" t="s">
        <v>1455</v>
      </c>
      <c r="C110" s="296"/>
      <c r="D110" s="292">
        <v>30500</v>
      </c>
      <c r="K110" s="281" t="str">
        <f t="shared" si="5"/>
        <v/>
      </c>
      <c r="O110" s="290"/>
    </row>
    <row r="111" spans="1:15" x14ac:dyDescent="0.3">
      <c r="A111" s="288" t="s">
        <v>102</v>
      </c>
      <c r="C111" s="288" t="s">
        <v>103</v>
      </c>
      <c r="D111" s="292"/>
      <c r="K111" s="281" t="str">
        <f t="shared" si="5"/>
        <v/>
      </c>
    </row>
    <row r="112" spans="1:15" x14ac:dyDescent="0.3">
      <c r="A112" s="288"/>
      <c r="B112" s="288" t="s">
        <v>1456</v>
      </c>
      <c r="C112" s="296"/>
      <c r="E112" s="290">
        <v>9.25</v>
      </c>
      <c r="F112" s="290">
        <f>AVERAGE(E112,G112)</f>
        <v>9.375</v>
      </c>
      <c r="G112" s="290">
        <v>9.5</v>
      </c>
      <c r="H112" s="290">
        <f>G112</f>
        <v>9.5</v>
      </c>
      <c r="I112" s="290">
        <f>H112</f>
        <v>9.5</v>
      </c>
      <c r="K112" s="281" t="str">
        <f t="shared" si="5"/>
        <v/>
      </c>
    </row>
    <row r="113" spans="1:15" x14ac:dyDescent="0.3">
      <c r="A113" s="288"/>
      <c r="B113" s="288" t="s">
        <v>1457</v>
      </c>
      <c r="C113" s="296"/>
      <c r="D113" s="286"/>
      <c r="E113" s="291">
        <v>553</v>
      </c>
      <c r="F113" s="291">
        <f>AVERAGE(E113,G113)</f>
        <v>556.5</v>
      </c>
      <c r="G113" s="291">
        <v>560</v>
      </c>
      <c r="H113" s="291">
        <f>G113</f>
        <v>560</v>
      </c>
      <c r="I113" s="291">
        <f>H113</f>
        <v>560</v>
      </c>
      <c r="J113" s="286"/>
      <c r="K113" s="281" t="str">
        <f t="shared" si="5"/>
        <v/>
      </c>
    </row>
    <row r="114" spans="1:15" x14ac:dyDescent="0.3">
      <c r="A114" s="288"/>
      <c r="B114" s="288" t="s">
        <v>1458</v>
      </c>
      <c r="C114" s="296"/>
      <c r="E114" s="292">
        <f>E112*E113</f>
        <v>5115.25</v>
      </c>
      <c r="F114" s="292">
        <f>F112*F113</f>
        <v>5217.1875</v>
      </c>
      <c r="G114" s="292">
        <f>G112*G113</f>
        <v>5320</v>
      </c>
      <c r="H114" s="292">
        <f>H112*H113</f>
        <v>5320</v>
      </c>
      <c r="I114" s="292">
        <f>I112*I113</f>
        <v>5320</v>
      </c>
      <c r="J114" s="293">
        <f>SUM(E114:I114)/D115</f>
        <v>0.52038471053933699</v>
      </c>
      <c r="K114" s="281">
        <f t="shared" si="5"/>
        <v>14</v>
      </c>
    </row>
    <row r="115" spans="1:15" x14ac:dyDescent="0.3">
      <c r="A115" s="288"/>
      <c r="B115" s="288" t="s">
        <v>1455</v>
      </c>
      <c r="C115" s="296"/>
      <c r="D115" s="292">
        <v>50525</v>
      </c>
      <c r="K115" s="281" t="str">
        <f t="shared" si="5"/>
        <v/>
      </c>
      <c r="O115" s="290"/>
    </row>
    <row r="116" spans="1:15" x14ac:dyDescent="0.3">
      <c r="J116" s="293"/>
      <c r="K116" s="281" t="str">
        <f t="shared" si="5"/>
        <v/>
      </c>
      <c r="O116" s="297"/>
    </row>
    <row r="117" spans="1:15" x14ac:dyDescent="0.3">
      <c r="A117" s="281" t="s">
        <v>1460</v>
      </c>
      <c r="C117" s="281" t="s">
        <v>1461</v>
      </c>
      <c r="K117" s="281" t="str">
        <f t="shared" si="5"/>
        <v/>
      </c>
      <c r="N117" s="298"/>
      <c r="O117" s="299"/>
    </row>
    <row r="118" spans="1:15" ht="6" customHeight="1" x14ac:dyDescent="0.3">
      <c r="N118" s="298"/>
      <c r="O118" s="299"/>
    </row>
    <row r="119" spans="1:15" ht="6" customHeight="1" x14ac:dyDescent="0.3">
      <c r="K119" s="281" t="str">
        <f>IFERROR(RANK(J119,$J$14:$J$120,1),"")</f>
        <v/>
      </c>
    </row>
    <row r="120" spans="1:15" x14ac:dyDescent="0.3">
      <c r="B120" s="281" t="s">
        <v>1462</v>
      </c>
      <c r="E120" s="290">
        <v>1720.1446639999999</v>
      </c>
      <c r="F120" s="290">
        <v>1946.0657389999999</v>
      </c>
      <c r="G120" s="290">
        <v>2257.6005230000001</v>
      </c>
      <c r="H120" s="290">
        <v>1843.124161</v>
      </c>
      <c r="I120" s="290">
        <v>1781.6415810000001</v>
      </c>
      <c r="J120" s="293">
        <f>SUM(E120:I120)/D121</f>
        <v>1.0378887682608695</v>
      </c>
      <c r="K120" s="281">
        <f>IFERROR(RANK(J120,$J$14:$J$120,1),"")</f>
        <v>22</v>
      </c>
    </row>
    <row r="121" spans="1:15" x14ac:dyDescent="0.3">
      <c r="B121" s="281" t="s">
        <v>1463</v>
      </c>
      <c r="D121" s="292">
        <v>9200</v>
      </c>
      <c r="E121" s="292"/>
      <c r="F121" s="292"/>
      <c r="G121" s="292"/>
      <c r="H121" s="292"/>
      <c r="I121" s="292"/>
      <c r="J121" s="300"/>
      <c r="K121" s="281" t="str">
        <f>IFERROR(RANK(J121,$J$14:$J$120,1),"")</f>
        <v/>
      </c>
    </row>
    <row r="123" spans="1:15" x14ac:dyDescent="0.3">
      <c r="B123" s="281" t="s">
        <v>1464</v>
      </c>
      <c r="D123" s="292"/>
      <c r="J123" s="301">
        <f>SUM(E120:I120)</f>
        <v>9548.5766679999997</v>
      </c>
    </row>
    <row r="124" spans="1:15" x14ac:dyDescent="0.3">
      <c r="B124" s="281" t="s">
        <v>1465</v>
      </c>
      <c r="D124" s="299"/>
      <c r="J124" s="301">
        <f>AVERAGE(E120:I120)</f>
        <v>1909.7153335999999</v>
      </c>
    </row>
    <row r="125" spans="1:15" x14ac:dyDescent="0.3">
      <c r="B125" s="281" t="s">
        <v>1466</v>
      </c>
      <c r="D125" s="299"/>
      <c r="J125" s="300">
        <f>MEDIAN(J14:J114)</f>
        <v>0.49104941699056082</v>
      </c>
    </row>
    <row r="126" spans="1:15" x14ac:dyDescent="0.3">
      <c r="B126" s="281" t="s">
        <v>1467</v>
      </c>
      <c r="J126" s="302">
        <f>J120/J125</f>
        <v>2.1136136860148644</v>
      </c>
    </row>
    <row r="127" spans="1:15" x14ac:dyDescent="0.3">
      <c r="J127" s="302"/>
    </row>
    <row r="128" spans="1:15" x14ac:dyDescent="0.3">
      <c r="A128" s="286" t="s">
        <v>104</v>
      </c>
      <c r="B128" s="286"/>
    </row>
    <row r="129" spans="1:2" x14ac:dyDescent="0.3">
      <c r="A129" s="281" t="s">
        <v>1468</v>
      </c>
    </row>
    <row r="130" spans="1:2" x14ac:dyDescent="0.3">
      <c r="A130" s="281" t="s">
        <v>1469</v>
      </c>
    </row>
    <row r="131" spans="1:2" x14ac:dyDescent="0.3">
      <c r="A131" s="281" t="s">
        <v>1470</v>
      </c>
    </row>
    <row r="132" spans="1:2" x14ac:dyDescent="0.3">
      <c r="A132" s="281" t="s">
        <v>1471</v>
      </c>
      <c r="B132" s="288"/>
    </row>
  </sheetData>
  <mergeCells count="2">
    <mergeCell ref="A2:J2"/>
    <mergeCell ref="A3:J3"/>
  </mergeCells>
  <conditionalFormatting sqref="A36:C36">
    <cfRule type="expression" dxfId="9" priority="5">
      <formula>"(blank)"</formula>
    </cfRule>
    <cfRule type="expression" dxfId="8" priority="6">
      <formula>#REF!</formula>
    </cfRule>
  </conditionalFormatting>
  <conditionalFormatting sqref="A41:C41">
    <cfRule type="expression" dxfId="7" priority="1">
      <formula>"(blank)"</formula>
    </cfRule>
    <cfRule type="expression" dxfId="6" priority="2">
      <formula>#REF!</formula>
    </cfRule>
  </conditionalFormatting>
  <conditionalFormatting sqref="A46:C46">
    <cfRule type="expression" dxfId="5" priority="3">
      <formula>"(blank)"</formula>
    </cfRule>
    <cfRule type="expression" dxfId="4" priority="4">
      <formula>#REF!</formula>
    </cfRule>
  </conditionalFormatting>
  <printOptions horizontalCentered="1"/>
  <pageMargins left="0.7" right="0.7" top="1.25" bottom="0.75" header="0.3" footer="0.3"/>
  <pageSetup scale="68" fitToHeight="0" orientation="portrait" useFirstPageNumber="1" r:id="rId1"/>
  <headerFooter scaleWithDoc="0">
    <oddHeader xml:space="preserve">&amp;L&amp;"Times New Roman,Bold"&amp;12&amp;KC00000Draft- Privileged and Confidential&amp;R&amp;"Times New Roman,Regular"&amp;12Exhibit AEB-12
Page &amp;P of 4 </oddHeader>
  </headerFooter>
  <rowBreaks count="1" manualBreakCount="1">
    <brk id="5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K77"/>
  <sheetViews>
    <sheetView view="pageBreakPreview" topLeftCell="A22" zoomScaleNormal="90" zoomScaleSheetLayoutView="100" workbookViewId="0"/>
  </sheetViews>
  <sheetFormatPr defaultColWidth="9" defaultRowHeight="13.2" x14ac:dyDescent="0.25"/>
  <cols>
    <col min="1" max="1" width="12.5546875" style="79" customWidth="1"/>
    <col min="2" max="2" width="5.109375" style="79" bestFit="1" customWidth="1"/>
    <col min="3" max="3" width="35.5546875" style="79" customWidth="1"/>
    <col min="4" max="6" width="12.5546875" style="79" customWidth="1"/>
    <col min="7" max="16384" width="9" style="79"/>
  </cols>
  <sheetData>
    <row r="1" spans="1:6" x14ac:dyDescent="0.25">
      <c r="A1" s="303" t="s">
        <v>1451</v>
      </c>
      <c r="B1" s="303"/>
      <c r="C1" s="304"/>
      <c r="D1" s="304"/>
      <c r="E1" s="304"/>
      <c r="F1" s="304"/>
    </row>
    <row r="24" spans="2:11" x14ac:dyDescent="0.25">
      <c r="C24" s="305" t="s">
        <v>1472</v>
      </c>
      <c r="D24" s="304"/>
      <c r="E24" s="304"/>
    </row>
    <row r="25" spans="2:11" x14ac:dyDescent="0.25">
      <c r="H25" s="306"/>
      <c r="I25" s="306"/>
      <c r="J25" s="306"/>
      <c r="K25" s="306"/>
    </row>
    <row r="26" spans="2:11" x14ac:dyDescent="0.25">
      <c r="B26" s="307" t="s">
        <v>1391</v>
      </c>
      <c r="C26" s="307" t="s">
        <v>46</v>
      </c>
      <c r="D26" s="78"/>
      <c r="E26" s="307" t="s">
        <v>1473</v>
      </c>
      <c r="H26" s="306" t="s">
        <v>1474</v>
      </c>
      <c r="I26" s="306"/>
      <c r="J26" s="306"/>
      <c r="K26" s="306"/>
    </row>
    <row r="27" spans="2:11" x14ac:dyDescent="0.25">
      <c r="C27" s="280"/>
      <c r="H27" s="308" t="s">
        <v>1475</v>
      </c>
      <c r="I27" s="308" t="s">
        <v>14</v>
      </c>
      <c r="J27" s="306"/>
      <c r="K27" s="306"/>
    </row>
    <row r="28" spans="2:11" x14ac:dyDescent="0.25">
      <c r="B28" s="79">
        <v>1</v>
      </c>
      <c r="C28" s="309" t="str">
        <f>INDEX('AEB-12 CapEx 1'!A:A,MATCH('AEB-12 CapEx 2'!$B28,'AEB-12 CapEx 1'!K:K,0)-3)</f>
        <v>NorthWestern Corporation</v>
      </c>
      <c r="D28" s="279" t="str">
        <f>INDEX('AEB-12 CapEx 1'!C:C,MATCH('AEB-12 CapEx 2'!$C28,'AEB-12 CapEx 1'!A:A,0))</f>
        <v>NWE</v>
      </c>
      <c r="E28" s="310">
        <f>INDEX('AEB-12 CapEx 1'!J:J,MATCH('AEB-12 CapEx 2'!$D28,'AEB-12 CapEx 1'!C:C,0)+3)</f>
        <v>0.37329166666666669</v>
      </c>
      <c r="H28" s="306">
        <v>0</v>
      </c>
      <c r="I28" s="311">
        <f>E51</f>
        <v>0.49104941699056082</v>
      </c>
      <c r="J28" s="306"/>
      <c r="K28" s="306"/>
    </row>
    <row r="29" spans="2:11" x14ac:dyDescent="0.25">
      <c r="B29" s="79">
        <v>2</v>
      </c>
      <c r="C29" s="309" t="str">
        <f>INDEX('AEB-12 CapEx 1'!A:A,MATCH('AEB-12 CapEx 2'!$B29,'AEB-12 CapEx 1'!K:K,0)-3)</f>
        <v>ALLETE, Inc.</v>
      </c>
      <c r="D29" s="279" t="str">
        <f>INDEX('AEB-12 CapEx 1'!C:C,MATCH('AEB-12 CapEx 2'!$C29,'AEB-12 CapEx 1'!A:A,0))</f>
        <v>ALE</v>
      </c>
      <c r="E29" s="310">
        <f>INDEX('AEB-12 CapEx 1'!J:J,MATCH('AEB-12 CapEx 2'!$D29,'AEB-12 CapEx 1'!C:C,0)+3)</f>
        <v>0.39128301886792455</v>
      </c>
      <c r="H29" s="306">
        <v>10</v>
      </c>
      <c r="I29" s="311">
        <f>E51</f>
        <v>0.49104941699056082</v>
      </c>
      <c r="J29" s="306"/>
      <c r="K29" s="306"/>
    </row>
    <row r="30" spans="2:11" x14ac:dyDescent="0.25">
      <c r="B30" s="79">
        <v>3</v>
      </c>
      <c r="C30" s="309" t="str">
        <f>INDEX('AEB-12 CapEx 1'!A:A,MATCH('AEB-12 CapEx 2'!$B30,'AEB-12 CapEx 1'!K:K,0)-3)</f>
        <v>Southern Company</v>
      </c>
      <c r="D30" s="279" t="str">
        <f>INDEX('AEB-12 CapEx 1'!C:C,MATCH('AEB-12 CapEx 2'!$C30,'AEB-12 CapEx 1'!A:A,0))</f>
        <v>SO</v>
      </c>
      <c r="E30" s="310">
        <f>INDEX('AEB-12 CapEx 1'!J:J,MATCH('AEB-12 CapEx 2'!$D30,'AEB-12 CapEx 1'!C:C,0)+3)</f>
        <v>0.40952944136889785</v>
      </c>
      <c r="H30" s="306"/>
      <c r="I30" s="306"/>
      <c r="J30" s="306"/>
      <c r="K30" s="306"/>
    </row>
    <row r="31" spans="2:11" x14ac:dyDescent="0.25">
      <c r="B31" s="79">
        <v>4</v>
      </c>
      <c r="C31" s="309" t="str">
        <f>INDEX('AEB-12 CapEx 1'!A:A,MATCH('AEB-12 CapEx 2'!$B31,'AEB-12 CapEx 1'!K:K,0)-3)</f>
        <v>Alliant Energy Corporation</v>
      </c>
      <c r="D31" s="279" t="str">
        <f>INDEX('AEB-12 CapEx 1'!C:C,MATCH('AEB-12 CapEx 2'!$C31,'AEB-12 CapEx 1'!A:A,0))</f>
        <v>LNT</v>
      </c>
      <c r="E31" s="310">
        <f>INDEX('AEB-12 CapEx 1'!J:J,MATCH('AEB-12 CapEx 2'!$D31,'AEB-12 CapEx 1'!C:C,0)+3)</f>
        <v>0.41551906158357771</v>
      </c>
      <c r="H31" s="306"/>
      <c r="I31" s="306"/>
      <c r="J31" s="306"/>
      <c r="K31" s="306"/>
    </row>
    <row r="32" spans="2:11" x14ac:dyDescent="0.25">
      <c r="B32" s="79">
        <v>5</v>
      </c>
      <c r="C32" s="309" t="str">
        <f>INDEX('AEB-12 CapEx 1'!A:A,MATCH('AEB-12 CapEx 2'!$B32,'AEB-12 CapEx 1'!K:K,0)-3)</f>
        <v>MGE Energy, Inc.</v>
      </c>
      <c r="D32" s="279" t="str">
        <f>INDEX('AEB-12 CapEx 1'!C:C,MATCH('AEB-12 CapEx 2'!$C32,'AEB-12 CapEx 1'!A:A,0))</f>
        <v>MGEE</v>
      </c>
      <c r="E32" s="310">
        <f>INDEX('AEB-12 CapEx 1'!J:J,MATCH('AEB-12 CapEx 2'!$D32,'AEB-12 CapEx 1'!C:C,0)+3)</f>
        <v>0.42995121951219506</v>
      </c>
      <c r="H32" s="306"/>
      <c r="I32" s="306"/>
      <c r="J32" s="306"/>
      <c r="K32" s="306"/>
    </row>
    <row r="33" spans="2:7" x14ac:dyDescent="0.25">
      <c r="B33" s="79">
        <v>6</v>
      </c>
      <c r="C33" s="309" t="str">
        <f>INDEX('AEB-12 CapEx 1'!A:A,MATCH('AEB-12 CapEx 2'!$B33,'AEB-12 CapEx 1'!K:K,0)-3)</f>
        <v>OGE Energy Corporation</v>
      </c>
      <c r="D33" s="279" t="str">
        <f>INDEX('AEB-12 CapEx 1'!C:C,MATCH('AEB-12 CapEx 2'!$C33,'AEB-12 CapEx 1'!A:A,0))</f>
        <v>OGE</v>
      </c>
      <c r="E33" s="310">
        <f>INDEX('AEB-12 CapEx 1'!J:J,MATCH('AEB-12 CapEx 2'!$D33,'AEB-12 CapEx 1'!C:C,0)+3)</f>
        <v>0.43903508771929822</v>
      </c>
    </row>
    <row r="34" spans="2:7" x14ac:dyDescent="0.25">
      <c r="B34" s="79">
        <v>7</v>
      </c>
      <c r="C34" s="309" t="str">
        <f>INDEX('AEB-12 CapEx 1'!A:A,MATCH('AEB-12 CapEx 2'!$B34,'AEB-12 CapEx 1'!K:K,0)-3)</f>
        <v>Black Hills Corporation</v>
      </c>
      <c r="D34" s="279" t="str">
        <f>INDEX('AEB-12 CapEx 1'!C:C,MATCH('AEB-12 CapEx 2'!$C34,'AEB-12 CapEx 1'!A:A,0))</f>
        <v>BKH</v>
      </c>
      <c r="E34" s="310">
        <f>INDEX('AEB-12 CapEx 1'!J:J,MATCH('AEB-12 CapEx 2'!$D34,'AEB-12 CapEx 1'!C:C,0)+3)</f>
        <v>0.46063157894736845</v>
      </c>
    </row>
    <row r="35" spans="2:7" x14ac:dyDescent="0.25">
      <c r="B35" s="79">
        <v>8</v>
      </c>
      <c r="C35" s="309" t="str">
        <f>INDEX('AEB-12 CapEx 1'!A:A,MATCH('AEB-12 CapEx 2'!$B35,'AEB-12 CapEx 1'!K:K,0)-3)</f>
        <v xml:space="preserve">Evergy, Inc. </v>
      </c>
      <c r="D35" s="279" t="str">
        <f>INDEX('AEB-12 CapEx 1'!C:C,MATCH('AEB-12 CapEx 2'!$C35,'AEB-12 CapEx 1'!A:A,0))</f>
        <v>EVRG</v>
      </c>
      <c r="E35" s="310">
        <f>INDEX('AEB-12 CapEx 1'!J:J,MATCH('AEB-12 CapEx 2'!$D35,'AEB-12 CapEx 1'!C:C,0)+3)</f>
        <v>0.4681965442764579</v>
      </c>
      <c r="F35" s="279"/>
      <c r="G35" s="310"/>
    </row>
    <row r="36" spans="2:7" x14ac:dyDescent="0.25">
      <c r="B36" s="79">
        <v>9</v>
      </c>
      <c r="C36" s="309" t="str">
        <f>INDEX('AEB-12 CapEx 1'!A:A,MATCH('AEB-12 CapEx 2'!$B36,'AEB-12 CapEx 1'!K:K,0)-3)</f>
        <v>Wisconsin Energy Corporation</v>
      </c>
      <c r="D36" s="279" t="str">
        <f>INDEX('AEB-12 CapEx 1'!C:C,MATCH('AEB-12 CapEx 2'!$C36,'AEB-12 CapEx 1'!A:A,0))</f>
        <v>WEC</v>
      </c>
      <c r="E36" s="310">
        <f>INDEX('AEB-12 CapEx 1'!J:J,MATCH('AEB-12 CapEx 2'!$D36,'AEB-12 CapEx 1'!C:C,0)+3)</f>
        <v>0.479091631147541</v>
      </c>
      <c r="F36" s="279"/>
      <c r="G36" s="310"/>
    </row>
    <row r="37" spans="2:7" x14ac:dyDescent="0.25">
      <c r="B37" s="79">
        <v>10</v>
      </c>
      <c r="C37" s="309" t="str">
        <f>INDEX('AEB-12 CapEx 1'!A:A,MATCH('AEB-12 CapEx 2'!$B37,'AEB-12 CapEx 1'!K:K,0)-3)</f>
        <v>Avista Corporation</v>
      </c>
      <c r="D37" s="279" t="str">
        <f>INDEX('AEB-12 CapEx 1'!C:C,MATCH('AEB-12 CapEx 2'!$C37,'AEB-12 CapEx 1'!A:A,0))</f>
        <v>AVA</v>
      </c>
      <c r="E37" s="310">
        <f>INDEX('AEB-12 CapEx 1'!J:J,MATCH('AEB-12 CapEx 2'!$D37,'AEB-12 CapEx 1'!C:C,0)+3)</f>
        <v>0.4876438053097345</v>
      </c>
      <c r="F37" s="279"/>
      <c r="G37" s="310"/>
    </row>
    <row r="38" spans="2:7" x14ac:dyDescent="0.25">
      <c r="B38" s="79">
        <v>11</v>
      </c>
      <c r="C38" s="309" t="str">
        <f>INDEX('AEB-12 CapEx 1'!A:A,MATCH('AEB-12 CapEx 2'!$B38,'AEB-12 CapEx 1'!K:K,0)-3)</f>
        <v>Entergy Corporation</v>
      </c>
      <c r="D38" s="279" t="str">
        <f>INDEX('AEB-12 CapEx 1'!C:C,MATCH('AEB-12 CapEx 2'!$C38,'AEB-12 CapEx 1'!A:A,0))</f>
        <v>ETR</v>
      </c>
      <c r="E38" s="310">
        <f>INDEX('AEB-12 CapEx 1'!J:J,MATCH('AEB-12 CapEx 2'!$D38,'AEB-12 CapEx 1'!C:C,0)+3)</f>
        <v>0.49104941699056082</v>
      </c>
      <c r="F38" s="279"/>
      <c r="G38" s="310"/>
    </row>
    <row r="39" spans="2:7" x14ac:dyDescent="0.25">
      <c r="B39" s="79">
        <v>12</v>
      </c>
      <c r="C39" s="309" t="str">
        <f>INDEX('AEB-12 CapEx 1'!A:A,MATCH('AEB-12 CapEx 2'!$B39,'AEB-12 CapEx 1'!K:K,0)-3)</f>
        <v>American Electric Power Company, Inc.</v>
      </c>
      <c r="D39" s="279" t="str">
        <f>INDEX('AEB-12 CapEx 1'!C:C,MATCH('AEB-12 CapEx 2'!$C39,'AEB-12 CapEx 1'!A:A,0))</f>
        <v>AEP</v>
      </c>
      <c r="E39" s="310">
        <f>INDEX('AEB-12 CapEx 1'!J:J,MATCH('AEB-12 CapEx 2'!$D39,'AEB-12 CapEx 1'!C:C,0)+3)</f>
        <v>0.51206434316353888</v>
      </c>
      <c r="F39" s="279"/>
      <c r="G39" s="310"/>
    </row>
    <row r="40" spans="2:7" x14ac:dyDescent="0.25">
      <c r="B40" s="79">
        <v>13</v>
      </c>
      <c r="C40" s="309" t="str">
        <f>INDEX('AEB-12 CapEx 1'!A:A,MATCH('AEB-12 CapEx 2'!$B40,'AEB-12 CapEx 1'!K:K,0)-3)</f>
        <v>Pinnacle West Capital Corporation</v>
      </c>
      <c r="D40" s="279" t="str">
        <f>INDEX('AEB-12 CapEx 1'!C:C,MATCH('AEB-12 CapEx 2'!$C40,'AEB-12 CapEx 1'!A:A,0))</f>
        <v>PNW</v>
      </c>
      <c r="E40" s="310">
        <f>INDEX('AEB-12 CapEx 1'!J:J,MATCH('AEB-12 CapEx 2'!$D40,'AEB-12 CapEx 1'!C:C,0)+3)</f>
        <v>0.51244635193133048</v>
      </c>
      <c r="F40" s="279"/>
      <c r="G40" s="310"/>
    </row>
    <row r="41" spans="2:7" x14ac:dyDescent="0.25">
      <c r="B41" s="79">
        <v>14</v>
      </c>
      <c r="C41" s="309" t="str">
        <f>INDEX('AEB-12 CapEx 1'!A:A,MATCH('AEB-12 CapEx 2'!$B41,'AEB-12 CapEx 1'!K:K,0)-3)</f>
        <v>Xcel Energy Inc.</v>
      </c>
      <c r="D41" s="279" t="str">
        <f>INDEX('AEB-12 CapEx 1'!C:C,MATCH('AEB-12 CapEx 2'!$C41,'AEB-12 CapEx 1'!A:A,0))</f>
        <v>XEL</v>
      </c>
      <c r="E41" s="310">
        <f>INDEX('AEB-12 CapEx 1'!J:J,MATCH('AEB-12 CapEx 2'!$D41,'AEB-12 CapEx 1'!C:C,0)+3)</f>
        <v>0.52038471053933699</v>
      </c>
      <c r="F41" s="279"/>
      <c r="G41" s="310"/>
    </row>
    <row r="42" spans="2:7" x14ac:dyDescent="0.25">
      <c r="B42" s="79">
        <v>15</v>
      </c>
      <c r="C42" s="309" t="str">
        <f>INDEX('AEB-12 CapEx 1'!A:A,MATCH('AEB-12 CapEx 2'!$B42,'AEB-12 CapEx 1'!K:K,0)-3)</f>
        <v>Duke Energy Corporation</v>
      </c>
      <c r="D42" s="279" t="str">
        <f>INDEX('AEB-12 CapEx 1'!C:C,MATCH('AEB-12 CapEx 2'!$C42,'AEB-12 CapEx 1'!A:A,0))</f>
        <v>DUK</v>
      </c>
      <c r="E42" s="310">
        <f>INDEX('AEB-12 CapEx 1'!J:J,MATCH('AEB-12 CapEx 2'!$D42,'AEB-12 CapEx 1'!C:C,0)+3)</f>
        <v>0.52638592964824116</v>
      </c>
      <c r="F42" s="279"/>
      <c r="G42" s="310"/>
    </row>
    <row r="43" spans="2:7" x14ac:dyDescent="0.25">
      <c r="B43" s="79">
        <v>16</v>
      </c>
      <c r="C43" s="309" t="str">
        <f>INDEX('AEB-12 CapEx 1'!A:A,MATCH('AEB-12 CapEx 2'!$B43,'AEB-12 CapEx 1'!K:K,0)-3)</f>
        <v>Ameren Corporation</v>
      </c>
      <c r="D43" s="279" t="str">
        <f>INDEX('AEB-12 CapEx 1'!C:C,MATCH('AEB-12 CapEx 2'!$C43,'AEB-12 CapEx 1'!A:A,0))</f>
        <v>AEE</v>
      </c>
      <c r="E43" s="310">
        <f>INDEX('AEB-12 CapEx 1'!J:J,MATCH('AEB-12 CapEx 2'!$D43,'AEB-12 CapEx 1'!C:C,0)+3)</f>
        <v>0.54552571860816945</v>
      </c>
      <c r="F43" s="279"/>
      <c r="G43" s="310"/>
    </row>
    <row r="44" spans="2:7" x14ac:dyDescent="0.25">
      <c r="B44" s="79">
        <v>17</v>
      </c>
      <c r="C44" s="309" t="str">
        <f>INDEX('AEB-12 CapEx 1'!A:A,MATCH('AEB-12 CapEx 2'!$B44,'AEB-12 CapEx 1'!K:K,0)-3)</f>
        <v>IDACORP, Inc.</v>
      </c>
      <c r="D44" s="279" t="str">
        <f>INDEX('AEB-12 CapEx 1'!C:C,MATCH('AEB-12 CapEx 2'!$C44,'AEB-12 CapEx 1'!A:A,0))</f>
        <v>IDA</v>
      </c>
      <c r="E44" s="310">
        <f>INDEX('AEB-12 CapEx 1'!J:J,MATCH('AEB-12 CapEx 2'!$D44,'AEB-12 CapEx 1'!C:C,0)+3)</f>
        <v>0.5802433628318584</v>
      </c>
      <c r="F44" s="279"/>
      <c r="G44" s="310"/>
    </row>
    <row r="45" spans="2:7" x14ac:dyDescent="0.25">
      <c r="B45" s="79">
        <v>18</v>
      </c>
      <c r="C45" s="309" t="str">
        <f>INDEX('AEB-12 CapEx 1'!A:A,MATCH('AEB-12 CapEx 2'!$B45,'AEB-12 CapEx 1'!K:K,0)-3)</f>
        <v>Portland General Electric Company</v>
      </c>
      <c r="D45" s="279" t="str">
        <f>INDEX('AEB-12 CapEx 1'!C:C,MATCH('AEB-12 CapEx 2'!$C45,'AEB-12 CapEx 1'!A:A,0))</f>
        <v>POR</v>
      </c>
      <c r="E45" s="310">
        <f>INDEX('AEB-12 CapEx 1'!J:J,MATCH('AEB-12 CapEx 2'!$D45,'AEB-12 CapEx 1'!C:C,0)+3)</f>
        <v>0.60235135135135132</v>
      </c>
      <c r="F45" s="279"/>
      <c r="G45" s="310"/>
    </row>
    <row r="46" spans="2:7" x14ac:dyDescent="0.25">
      <c r="B46" s="79">
        <v>19</v>
      </c>
      <c r="C46" s="309" t="str">
        <f>INDEX('AEB-12 CapEx 1'!A:A,MATCH('AEB-12 CapEx 2'!$B46,'AEB-12 CapEx 1'!K:K,0)-3)</f>
        <v>CMS Energy Corporation</v>
      </c>
      <c r="D46" s="279" t="str">
        <f>INDEX('AEB-12 CapEx 1'!C:C,MATCH('AEB-12 CapEx 2'!$C46,'AEB-12 CapEx 1'!A:A,0))</f>
        <v>CMS</v>
      </c>
      <c r="E46" s="310">
        <f>INDEX('AEB-12 CapEx 1'!J:J,MATCH('AEB-12 CapEx 2'!$D46,'AEB-12 CapEx 1'!C:C,0)+3)</f>
        <v>0.60549004192872113</v>
      </c>
      <c r="F46" s="279"/>
      <c r="G46" s="310"/>
    </row>
    <row r="47" spans="2:7" x14ac:dyDescent="0.25">
      <c r="B47" s="79">
        <v>20</v>
      </c>
      <c r="C47" s="309" t="str">
        <f>INDEX('AEB-12 CapEx 1'!A:A,MATCH('AEB-12 CapEx 2'!$B47,'AEB-12 CapEx 1'!K:K,0)-3)</f>
        <v>NiSource Inc.</v>
      </c>
      <c r="D47" s="279" t="str">
        <f>INDEX('AEB-12 CapEx 1'!C:C,MATCH('AEB-12 CapEx 2'!$C47,'AEB-12 CapEx 1'!A:A,0))</f>
        <v>NI</v>
      </c>
      <c r="E47" s="310">
        <f>INDEX('AEB-12 CapEx 1'!J:J,MATCH('AEB-12 CapEx 2'!$D47,'AEB-12 CapEx 1'!C:C,0)+3)</f>
        <v>0.64535555555555557</v>
      </c>
      <c r="F47" s="279"/>
      <c r="G47" s="310"/>
    </row>
    <row r="48" spans="2:7" x14ac:dyDescent="0.25">
      <c r="B48" s="79">
        <v>21</v>
      </c>
      <c r="C48" s="309" t="str">
        <f>INDEX('AEB-12 CapEx 1'!A:A,MATCH('AEB-12 CapEx 2'!$B48,'AEB-12 CapEx 1'!K:K,0)-3)</f>
        <v>NextEra Energy, Inc.</v>
      </c>
      <c r="D48" s="279" t="str">
        <f>INDEX('AEB-12 CapEx 1'!C:C,MATCH('AEB-12 CapEx 2'!$C48,'AEB-12 CapEx 1'!A:A,0))</f>
        <v>NEE</v>
      </c>
      <c r="E48" s="310">
        <f>INDEX('AEB-12 CapEx 1'!J:J,MATCH('AEB-12 CapEx 2'!$D48,'AEB-12 CapEx 1'!C:C,0)+3)</f>
        <v>0.78859487230646452</v>
      </c>
      <c r="F48" s="279"/>
      <c r="G48" s="310"/>
    </row>
    <row r="49" spans="2:7" x14ac:dyDescent="0.25">
      <c r="B49" s="79">
        <v>22</v>
      </c>
      <c r="C49" s="309" t="str">
        <f>INDEX('AEB-12 CapEx 1'!A:A,MATCH('AEB-12 CapEx 2'!$B49,'AEB-12 CapEx 1'!K:K,0)-3)</f>
        <v>Puget Sound Energy</v>
      </c>
      <c r="D49" s="279" t="str">
        <f>INDEX('AEB-12 CapEx 1'!C:C,MATCH('AEB-12 CapEx 2'!$C49,'AEB-12 CapEx 1'!A:A,0))</f>
        <v>PSE</v>
      </c>
      <c r="E49" s="310">
        <f>INDEX('AEB-12 CapEx 1'!J:J,MATCH('AEB-12 CapEx 2'!$D49,'AEB-12 CapEx 1'!C:C,0)+3)</f>
        <v>1.0378887682608695</v>
      </c>
      <c r="F49" s="279"/>
      <c r="G49" s="310"/>
    </row>
    <row r="50" spans="2:7" x14ac:dyDescent="0.25">
      <c r="D50" s="309"/>
      <c r="E50" s="309"/>
      <c r="F50" s="279"/>
      <c r="G50" s="310"/>
    </row>
    <row r="51" spans="2:7" x14ac:dyDescent="0.25">
      <c r="C51" s="312" t="s">
        <v>1466</v>
      </c>
      <c r="D51" s="313"/>
      <c r="E51" s="314">
        <f>'AEB-12 CapEx 1'!J125</f>
        <v>0.49104941699056082</v>
      </c>
      <c r="F51" s="279"/>
      <c r="G51" s="310"/>
    </row>
    <row r="52" spans="2:7" ht="13.8" thickBot="1" x14ac:dyDescent="0.3">
      <c r="C52" s="315" t="s">
        <v>1476</v>
      </c>
      <c r="D52" s="316"/>
      <c r="E52" s="317">
        <f>'AEB-12 CapEx 1'!J126</f>
        <v>2.1136136860148644</v>
      </c>
      <c r="F52" s="279"/>
      <c r="G52" s="310"/>
    </row>
    <row r="53" spans="2:7" x14ac:dyDescent="0.25">
      <c r="D53" s="309"/>
      <c r="E53" s="318"/>
      <c r="F53" s="279"/>
      <c r="G53" s="310"/>
    </row>
    <row r="54" spans="2:7" x14ac:dyDescent="0.25">
      <c r="D54" s="309"/>
      <c r="E54" s="318"/>
      <c r="F54" s="279"/>
      <c r="G54" s="310"/>
    </row>
    <row r="55" spans="2:7" x14ac:dyDescent="0.25">
      <c r="C55" s="78" t="s">
        <v>104</v>
      </c>
      <c r="E55" s="319"/>
      <c r="F55" s="279"/>
      <c r="G55" s="310"/>
    </row>
    <row r="56" spans="2:7" x14ac:dyDescent="0.25">
      <c r="C56" s="79" t="s">
        <v>1477</v>
      </c>
    </row>
    <row r="57" spans="2:7" x14ac:dyDescent="0.25">
      <c r="F57" s="319"/>
    </row>
    <row r="59" spans="2:7" x14ac:dyDescent="0.25">
      <c r="C59" s="309"/>
    </row>
    <row r="60" spans="2:7" x14ac:dyDescent="0.25">
      <c r="C60" s="309"/>
    </row>
    <row r="61" spans="2:7" x14ac:dyDescent="0.25">
      <c r="C61" s="309"/>
    </row>
    <row r="62" spans="2:7" x14ac:dyDescent="0.25">
      <c r="C62" s="309"/>
      <c r="D62" s="309"/>
      <c r="E62" s="309"/>
    </row>
    <row r="63" spans="2:7" x14ac:dyDescent="0.25">
      <c r="C63" s="309"/>
      <c r="D63" s="309"/>
      <c r="E63" s="309"/>
    </row>
    <row r="64" spans="2:7" x14ac:dyDescent="0.25">
      <c r="C64" s="309"/>
      <c r="D64" s="309"/>
      <c r="E64" s="309"/>
      <c r="F64" s="309"/>
      <c r="G64" s="309"/>
    </row>
    <row r="65" spans="3:7" x14ac:dyDescent="0.25">
      <c r="C65" s="309"/>
      <c r="D65" s="309"/>
      <c r="E65" s="309"/>
      <c r="F65" s="309"/>
      <c r="G65" s="309"/>
    </row>
    <row r="66" spans="3:7" x14ac:dyDescent="0.25">
      <c r="C66" s="309"/>
      <c r="D66" s="309"/>
      <c r="E66" s="309"/>
      <c r="F66" s="309"/>
      <c r="G66" s="309"/>
    </row>
    <row r="67" spans="3:7" x14ac:dyDescent="0.25">
      <c r="C67" s="309"/>
      <c r="D67" s="309"/>
      <c r="E67" s="309"/>
      <c r="F67" s="309"/>
      <c r="G67" s="309"/>
    </row>
    <row r="68" spans="3:7" x14ac:dyDescent="0.25">
      <c r="D68" s="309"/>
      <c r="E68" s="309"/>
      <c r="F68" s="309"/>
      <c r="G68" s="309"/>
    </row>
    <row r="69" spans="3:7" x14ac:dyDescent="0.25">
      <c r="D69" s="309"/>
      <c r="E69" s="309"/>
      <c r="F69" s="309"/>
      <c r="G69" s="309"/>
    </row>
    <row r="70" spans="3:7" x14ac:dyDescent="0.25">
      <c r="D70" s="309"/>
      <c r="E70" s="309"/>
      <c r="F70" s="309"/>
      <c r="G70" s="309"/>
    </row>
    <row r="71" spans="3:7" x14ac:dyDescent="0.25">
      <c r="D71" s="309"/>
      <c r="E71" s="309"/>
      <c r="F71" s="309"/>
      <c r="G71" s="309"/>
    </row>
    <row r="72" spans="3:7" x14ac:dyDescent="0.25">
      <c r="F72" s="309"/>
      <c r="G72" s="309"/>
    </row>
    <row r="73" spans="3:7" x14ac:dyDescent="0.25">
      <c r="F73" s="309"/>
      <c r="G73" s="309"/>
    </row>
    <row r="74" spans="3:7" x14ac:dyDescent="0.25">
      <c r="F74" s="309"/>
    </row>
    <row r="75" spans="3:7" x14ac:dyDescent="0.25">
      <c r="F75" s="309"/>
    </row>
    <row r="76" spans="3:7" x14ac:dyDescent="0.25">
      <c r="F76" s="309"/>
    </row>
    <row r="77" spans="3:7" x14ac:dyDescent="0.25">
      <c r="F77" s="309"/>
    </row>
  </sheetData>
  <printOptions horizontalCentered="1"/>
  <pageMargins left="0.7" right="0.7" top="1.25" bottom="0.75" header="0.3" footer="0.3"/>
  <pageSetup scale="87" firstPageNumber="3" orientation="portrait" useFirstPageNumber="1" r:id="rId1"/>
  <headerFooter scaleWithDoc="0">
    <oddHeader>&amp;L&amp;"Times New Roman,Bold"&amp;12&amp;KC00000Draft- Privileged and Confidential&amp;R&amp;"Times New Roman,Regular"&amp;12Exhibit AEB-12
Page 4 of 4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pageSetUpPr autoPageBreaks="0"/>
  </sheetPr>
  <dimension ref="A1:AA195"/>
  <sheetViews>
    <sheetView view="pageBreakPreview" zoomScale="80" zoomScaleNormal="80" zoomScaleSheetLayoutView="80" zoomScalePageLayoutView="70" workbookViewId="0">
      <selection sqref="A1:E1"/>
    </sheetView>
  </sheetViews>
  <sheetFormatPr defaultColWidth="9" defaultRowHeight="15" customHeight="1" x14ac:dyDescent="0.25"/>
  <cols>
    <col min="1" max="1" width="31.44140625" style="134" customWidth="1"/>
    <col min="2" max="2" width="44.6640625" style="134" bestFit="1" customWidth="1"/>
    <col min="3" max="3" width="14.109375" style="134" bestFit="1" customWidth="1"/>
    <col min="4" max="4" width="15.44140625" style="134" bestFit="1" customWidth="1"/>
    <col min="5" max="5" width="19.6640625" style="134" customWidth="1"/>
    <col min="6" max="7" width="14.5546875" style="134" bestFit="1" customWidth="1"/>
    <col min="8" max="8" width="3.5546875" style="134" customWidth="1"/>
    <col min="9" max="10" width="6" style="134" bestFit="1" customWidth="1"/>
    <col min="11" max="11" width="8.109375" style="134" customWidth="1"/>
    <col min="12" max="12" width="3.88671875" style="134" bestFit="1" customWidth="1"/>
    <col min="13" max="13" width="10" style="134" customWidth="1"/>
    <col min="14" max="14" width="3.88671875" style="134" bestFit="1" customWidth="1"/>
    <col min="15" max="15" width="15.44140625" style="134" customWidth="1"/>
    <col min="16" max="16" width="7" style="134" bestFit="1" customWidth="1"/>
    <col min="17" max="17" width="4.44140625" style="134" customWidth="1"/>
    <col min="18" max="18" width="8.6640625" style="134" customWidth="1"/>
    <col min="19" max="19" width="3.88671875" style="134" bestFit="1" customWidth="1"/>
    <col min="20" max="20" width="14.5546875" style="134" customWidth="1"/>
    <col min="21" max="21" width="3.88671875" style="134" bestFit="1" customWidth="1"/>
    <col min="22" max="22" width="12" style="134" customWidth="1"/>
    <col min="23" max="23" width="3.88671875" style="134" bestFit="1" customWidth="1"/>
    <col min="24" max="24" width="12.44140625" style="134" customWidth="1"/>
    <col min="25" max="25" width="3.88671875" style="134" bestFit="1" customWidth="1"/>
    <col min="26" max="26" width="7.5546875" style="134" customWidth="1"/>
    <col min="27" max="27" width="7" style="134" bestFit="1" customWidth="1"/>
    <col min="28" max="16384" width="9" style="134"/>
  </cols>
  <sheetData>
    <row r="1" spans="1:27" ht="13.2" x14ac:dyDescent="0.25">
      <c r="A1" s="409"/>
      <c r="B1" s="409"/>
      <c r="C1" s="409"/>
      <c r="D1" s="409"/>
      <c r="E1" s="409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</row>
    <row r="2" spans="1:27" ht="13.2" x14ac:dyDescent="0.25">
      <c r="A2" s="353"/>
      <c r="B2" s="353"/>
      <c r="C2" s="353"/>
      <c r="D2" s="353"/>
      <c r="E2" s="353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</row>
    <row r="3" spans="1:27" ht="13.2" x14ac:dyDescent="0.25">
      <c r="A3" s="353"/>
      <c r="B3" s="353"/>
      <c r="C3" s="353"/>
      <c r="D3" s="353"/>
      <c r="E3" s="353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</row>
    <row r="5" spans="1:27" ht="15" customHeight="1" thickBot="1" x14ac:dyDescent="0.3">
      <c r="A5" s="320"/>
      <c r="B5" s="320"/>
      <c r="C5" s="320"/>
      <c r="D5" s="320"/>
      <c r="E5" s="321" t="s">
        <v>38</v>
      </c>
      <c r="F5" s="320"/>
      <c r="G5" s="321" t="s">
        <v>39</v>
      </c>
      <c r="H5" s="321"/>
      <c r="I5" s="410" t="s">
        <v>40</v>
      </c>
      <c r="J5" s="410"/>
      <c r="K5" s="410" t="s">
        <v>41</v>
      </c>
      <c r="L5" s="410"/>
      <c r="M5" s="410" t="s">
        <v>42</v>
      </c>
      <c r="N5" s="410"/>
      <c r="O5" s="410" t="s">
        <v>43</v>
      </c>
      <c r="P5" s="410"/>
      <c r="Q5" s="321"/>
      <c r="R5" s="410" t="s">
        <v>44</v>
      </c>
      <c r="S5" s="410"/>
      <c r="T5" s="410" t="s">
        <v>45</v>
      </c>
      <c r="U5" s="410"/>
      <c r="V5" s="410" t="s">
        <v>113</v>
      </c>
      <c r="W5" s="410"/>
      <c r="X5" s="410" t="s">
        <v>114</v>
      </c>
      <c r="Y5" s="410"/>
      <c r="Z5" s="410" t="s">
        <v>115</v>
      </c>
      <c r="AA5" s="410"/>
    </row>
    <row r="6" spans="1:27" ht="13.5" customHeight="1" x14ac:dyDescent="0.25">
      <c r="A6" s="405" t="s">
        <v>1478</v>
      </c>
      <c r="B6" s="405" t="s">
        <v>1479</v>
      </c>
      <c r="C6" s="405" t="s">
        <v>1388</v>
      </c>
      <c r="D6" s="405" t="s">
        <v>1480</v>
      </c>
      <c r="E6" s="411" t="s">
        <v>1481</v>
      </c>
      <c r="F6" s="322"/>
      <c r="G6" s="407" t="s">
        <v>1482</v>
      </c>
      <c r="H6" s="323"/>
      <c r="I6" s="408" t="s">
        <v>1483</v>
      </c>
      <c r="J6" s="408"/>
      <c r="K6" s="408"/>
      <c r="L6" s="408"/>
      <c r="M6" s="408"/>
      <c r="N6" s="408"/>
      <c r="O6" s="408"/>
      <c r="P6" s="408"/>
      <c r="Q6" s="324"/>
      <c r="R6" s="408" t="s">
        <v>1484</v>
      </c>
      <c r="S6" s="408"/>
      <c r="T6" s="408"/>
      <c r="U6" s="408"/>
      <c r="V6" s="408"/>
      <c r="W6" s="408"/>
      <c r="X6" s="408"/>
      <c r="Y6" s="408"/>
      <c r="Z6" s="408"/>
      <c r="AA6" s="408"/>
    </row>
    <row r="7" spans="1:27" ht="37.5" customHeight="1" x14ac:dyDescent="0.25">
      <c r="A7" s="406"/>
      <c r="B7" s="406"/>
      <c r="C7" s="406"/>
      <c r="D7" s="406"/>
      <c r="E7" s="412"/>
      <c r="F7" s="325"/>
      <c r="G7" s="406"/>
      <c r="H7" s="326"/>
      <c r="I7" s="403" t="s">
        <v>1485</v>
      </c>
      <c r="J7" s="403"/>
      <c r="K7" s="403" t="s">
        <v>1486</v>
      </c>
      <c r="L7" s="403"/>
      <c r="M7" s="403" t="s">
        <v>1487</v>
      </c>
      <c r="N7" s="403"/>
      <c r="O7" s="403" t="s">
        <v>1488</v>
      </c>
      <c r="P7" s="403"/>
      <c r="Q7" s="327"/>
      <c r="R7" s="404" t="s">
        <v>1489</v>
      </c>
      <c r="S7" s="404"/>
      <c r="T7" s="404" t="s">
        <v>1490</v>
      </c>
      <c r="U7" s="404"/>
      <c r="V7" s="404" t="s">
        <v>1491</v>
      </c>
      <c r="W7" s="404"/>
      <c r="X7" s="404" t="s">
        <v>1492</v>
      </c>
      <c r="Y7" s="404"/>
      <c r="Z7" s="404" t="s">
        <v>1484</v>
      </c>
      <c r="AA7" s="404"/>
    </row>
    <row r="8" spans="1:27" ht="12.75" customHeight="1" x14ac:dyDescent="0.25">
      <c r="A8" s="64"/>
      <c r="B8" s="64"/>
      <c r="D8" s="81"/>
      <c r="E8" s="280"/>
      <c r="F8" s="280"/>
      <c r="G8" s="142"/>
      <c r="H8" s="142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 ht="12.75" customHeight="1" x14ac:dyDescent="0.25">
      <c r="A9" s="64" t="s">
        <v>56</v>
      </c>
      <c r="B9" s="64" t="s">
        <v>1493</v>
      </c>
      <c r="C9" s="134" t="s">
        <v>1395</v>
      </c>
      <c r="D9" s="81" t="s">
        <v>1494</v>
      </c>
      <c r="E9" s="280" t="s">
        <v>58</v>
      </c>
      <c r="F9" s="280"/>
      <c r="G9" s="142" t="s">
        <v>1495</v>
      </c>
      <c r="H9" s="142"/>
      <c r="I9" s="29"/>
      <c r="J9" s="29" t="s">
        <v>1496</v>
      </c>
      <c r="K9" s="29"/>
      <c r="L9" s="29" t="s">
        <v>60</v>
      </c>
      <c r="M9" s="29"/>
      <c r="N9" s="29" t="s">
        <v>60</v>
      </c>
      <c r="O9" s="29"/>
      <c r="P9" s="29" t="str">
        <f t="shared" ref="P9:P72" si="0">IF(AND(J9="No",L9="No",N9="No"),"No","Yes")</f>
        <v>Yes</v>
      </c>
      <c r="Q9" s="29"/>
      <c r="R9" s="29"/>
      <c r="S9" s="29" t="s">
        <v>60</v>
      </c>
      <c r="T9" s="29"/>
      <c r="U9" s="29" t="s">
        <v>58</v>
      </c>
      <c r="V9" s="29"/>
      <c r="W9" s="29" t="s">
        <v>58</v>
      </c>
      <c r="X9" s="29"/>
      <c r="Y9" s="29" t="s">
        <v>58</v>
      </c>
      <c r="Z9" s="29"/>
      <c r="AA9" s="29" t="str">
        <f t="shared" ref="AA9:AA23" si="1">IF(AND(S9="No",U9="No",W9="No",Y9="No"),"No","Yes")</f>
        <v>Yes</v>
      </c>
    </row>
    <row r="10" spans="1:27" ht="12.75" customHeight="1" x14ac:dyDescent="0.25">
      <c r="A10" s="64"/>
      <c r="B10" s="64" t="s">
        <v>1493</v>
      </c>
      <c r="C10" s="134" t="s">
        <v>1395</v>
      </c>
      <c r="D10" s="81" t="s">
        <v>1497</v>
      </c>
      <c r="E10" s="280" t="s">
        <v>58</v>
      </c>
      <c r="F10" s="280"/>
      <c r="G10" s="142" t="s">
        <v>1495</v>
      </c>
      <c r="H10" s="142"/>
      <c r="I10" s="29"/>
      <c r="J10" s="29" t="s">
        <v>60</v>
      </c>
      <c r="K10" s="29"/>
      <c r="L10" s="29" t="s">
        <v>60</v>
      </c>
      <c r="M10" s="29"/>
      <c r="N10" s="29" t="s">
        <v>60</v>
      </c>
      <c r="O10" s="29"/>
      <c r="P10" s="29" t="str">
        <f t="shared" si="0"/>
        <v>No</v>
      </c>
      <c r="Q10" s="29"/>
      <c r="R10" s="29"/>
      <c r="S10" s="29" t="s">
        <v>60</v>
      </c>
      <c r="T10" s="29"/>
      <c r="U10" s="29" t="s">
        <v>60</v>
      </c>
      <c r="V10" s="29"/>
      <c r="W10" s="29" t="s">
        <v>58</v>
      </c>
      <c r="X10" s="29"/>
      <c r="Y10" s="29" t="s">
        <v>60</v>
      </c>
      <c r="Z10" s="29"/>
      <c r="AA10" s="29" t="str">
        <f t="shared" si="1"/>
        <v>Yes</v>
      </c>
    </row>
    <row r="11" spans="1:27" ht="12.75" customHeight="1" x14ac:dyDescent="0.25">
      <c r="A11" s="64"/>
      <c r="B11" s="64" t="s">
        <v>1498</v>
      </c>
      <c r="C11" s="134" t="s">
        <v>1398</v>
      </c>
      <c r="D11" s="81" t="s">
        <v>1497</v>
      </c>
      <c r="E11" s="280" t="s">
        <v>58</v>
      </c>
      <c r="F11" s="280"/>
      <c r="G11" s="142" t="s">
        <v>1495</v>
      </c>
      <c r="H11" s="142"/>
      <c r="I11" s="29"/>
      <c r="J11" s="29" t="s">
        <v>1496</v>
      </c>
      <c r="K11" s="29"/>
      <c r="L11" s="29" t="s">
        <v>60</v>
      </c>
      <c r="M11" s="29"/>
      <c r="N11" s="29" t="s">
        <v>60</v>
      </c>
      <c r="O11" s="29"/>
      <c r="P11" s="29" t="str">
        <f t="shared" si="0"/>
        <v>Yes</v>
      </c>
      <c r="Q11" s="29"/>
      <c r="R11" s="29"/>
      <c r="S11" s="29" t="s">
        <v>60</v>
      </c>
      <c r="T11" s="29"/>
      <c r="U11" s="29" t="s">
        <v>60</v>
      </c>
      <c r="V11" s="29"/>
      <c r="W11" s="29" t="s">
        <v>58</v>
      </c>
      <c r="X11" s="29"/>
      <c r="Y11" s="29" t="s">
        <v>60</v>
      </c>
      <c r="Z11" s="29"/>
      <c r="AA11" s="29" t="str">
        <f t="shared" si="1"/>
        <v>Yes</v>
      </c>
    </row>
    <row r="12" spans="1:27" ht="12.75" customHeight="1" x14ac:dyDescent="0.25">
      <c r="A12" s="64"/>
      <c r="B12" s="64" t="s">
        <v>1499</v>
      </c>
      <c r="C12" s="134" t="s">
        <v>1401</v>
      </c>
      <c r="D12" s="81" t="s">
        <v>1497</v>
      </c>
      <c r="E12" s="280" t="s">
        <v>58</v>
      </c>
      <c r="F12" s="280"/>
      <c r="G12" s="142" t="s">
        <v>1500</v>
      </c>
      <c r="H12" s="142"/>
      <c r="I12" s="29"/>
      <c r="J12" s="29" t="s">
        <v>1496</v>
      </c>
      <c r="K12" s="29"/>
      <c r="L12" s="29" t="s">
        <v>60</v>
      </c>
      <c r="M12" s="29"/>
      <c r="N12" s="29" t="s">
        <v>60</v>
      </c>
      <c r="O12" s="29"/>
      <c r="P12" s="29" t="str">
        <f t="shared" si="0"/>
        <v>Yes</v>
      </c>
      <c r="Q12" s="29"/>
      <c r="R12" s="29"/>
      <c r="S12" s="29" t="s">
        <v>60</v>
      </c>
      <c r="T12" s="29"/>
      <c r="U12" s="29" t="s">
        <v>60</v>
      </c>
      <c r="V12" s="29"/>
      <c r="W12" s="29" t="s">
        <v>58</v>
      </c>
      <c r="X12" s="29"/>
      <c r="Y12" s="29" t="s">
        <v>60</v>
      </c>
      <c r="Z12" s="29"/>
      <c r="AA12" s="29" t="str">
        <f t="shared" si="1"/>
        <v>Yes</v>
      </c>
    </row>
    <row r="13" spans="1:27" ht="12.75" customHeight="1" x14ac:dyDescent="0.25">
      <c r="A13" s="64"/>
      <c r="B13" s="64" t="s">
        <v>1501</v>
      </c>
      <c r="C13" s="134" t="s">
        <v>1403</v>
      </c>
      <c r="D13" s="81" t="s">
        <v>1497</v>
      </c>
      <c r="E13" s="280" t="s">
        <v>60</v>
      </c>
      <c r="F13" s="280"/>
      <c r="G13" s="142" t="s">
        <v>1500</v>
      </c>
      <c r="H13" s="142"/>
      <c r="I13" s="29"/>
      <c r="J13" s="29" t="s">
        <v>60</v>
      </c>
      <c r="K13" s="29"/>
      <c r="L13" s="29" t="s">
        <v>60</v>
      </c>
      <c r="M13" s="29"/>
      <c r="N13" s="29" t="s">
        <v>58</v>
      </c>
      <c r="O13" s="29"/>
      <c r="P13" s="29" t="str">
        <f t="shared" si="0"/>
        <v>Yes</v>
      </c>
      <c r="Q13" s="29"/>
      <c r="R13" s="29"/>
      <c r="S13" s="29" t="s">
        <v>60</v>
      </c>
      <c r="T13" s="29"/>
      <c r="U13" s="29" t="s">
        <v>60</v>
      </c>
      <c r="V13" s="29"/>
      <c r="W13" s="29" t="s">
        <v>58</v>
      </c>
      <c r="X13" s="29"/>
      <c r="Y13" s="29" t="s">
        <v>60</v>
      </c>
      <c r="Z13" s="29"/>
      <c r="AA13" s="29" t="str">
        <f t="shared" si="1"/>
        <v>Yes</v>
      </c>
    </row>
    <row r="14" spans="1:27" ht="12.75" customHeight="1" x14ac:dyDescent="0.25">
      <c r="A14" s="64"/>
      <c r="B14" s="64" t="s">
        <v>1502</v>
      </c>
      <c r="C14" s="134" t="s">
        <v>1404</v>
      </c>
      <c r="D14" s="81" t="s">
        <v>1497</v>
      </c>
      <c r="E14" s="280" t="s">
        <v>58</v>
      </c>
      <c r="F14" s="280"/>
      <c r="G14" s="142" t="s">
        <v>1495</v>
      </c>
      <c r="H14" s="142"/>
      <c r="I14" s="29"/>
      <c r="J14" s="29" t="s">
        <v>1496</v>
      </c>
      <c r="K14" s="29"/>
      <c r="L14" s="29" t="s">
        <v>60</v>
      </c>
      <c r="M14" s="29"/>
      <c r="N14" s="29" t="s">
        <v>60</v>
      </c>
      <c r="O14" s="29"/>
      <c r="P14" s="29" t="str">
        <f t="shared" si="0"/>
        <v>Yes</v>
      </c>
      <c r="Q14" s="29"/>
      <c r="R14" s="29"/>
      <c r="S14" s="29" t="s">
        <v>60</v>
      </c>
      <c r="T14" s="29"/>
      <c r="U14" s="29" t="s">
        <v>60</v>
      </c>
      <c r="V14" s="29"/>
      <c r="W14" s="29" t="s">
        <v>58</v>
      </c>
      <c r="X14" s="29"/>
      <c r="Y14" s="29" t="s">
        <v>60</v>
      </c>
      <c r="Z14" s="29"/>
      <c r="AA14" s="29" t="str">
        <f t="shared" si="1"/>
        <v>Yes</v>
      </c>
    </row>
    <row r="15" spans="1:27" ht="12.75" customHeight="1" x14ac:dyDescent="0.25">
      <c r="A15" s="64"/>
      <c r="B15" s="64" t="s">
        <v>1503</v>
      </c>
      <c r="C15" s="134" t="s">
        <v>1405</v>
      </c>
      <c r="D15" s="81" t="s">
        <v>1497</v>
      </c>
      <c r="E15" s="280" t="s">
        <v>58</v>
      </c>
      <c r="F15" s="280"/>
      <c r="G15" s="142" t="s">
        <v>1504</v>
      </c>
      <c r="H15" s="142"/>
      <c r="I15" s="29"/>
      <c r="J15" s="29" t="s">
        <v>1496</v>
      </c>
      <c r="K15" s="29"/>
      <c r="L15" s="29" t="s">
        <v>60</v>
      </c>
      <c r="M15" s="29"/>
      <c r="N15" s="29" t="s">
        <v>60</v>
      </c>
      <c r="O15" s="29"/>
      <c r="P15" s="29" t="str">
        <f t="shared" si="0"/>
        <v>Yes</v>
      </c>
      <c r="Q15" s="29"/>
      <c r="R15" s="29"/>
      <c r="S15" s="29" t="s">
        <v>60</v>
      </c>
      <c r="T15" s="29"/>
      <c r="U15" s="29" t="s">
        <v>60</v>
      </c>
      <c r="V15" s="29"/>
      <c r="W15" s="29" t="s">
        <v>58</v>
      </c>
      <c r="X15" s="29"/>
      <c r="Y15" s="29" t="s">
        <v>60</v>
      </c>
      <c r="Z15" s="29"/>
      <c r="AA15" s="29" t="str">
        <f t="shared" si="1"/>
        <v>Yes</v>
      </c>
    </row>
    <row r="16" spans="1:27" ht="12.75" customHeight="1" x14ac:dyDescent="0.25">
      <c r="A16" s="64" t="s">
        <v>61</v>
      </c>
      <c r="B16" s="64" t="s">
        <v>1505</v>
      </c>
      <c r="C16" s="134" t="s">
        <v>1406</v>
      </c>
      <c r="D16" s="81" t="s">
        <v>1494</v>
      </c>
      <c r="E16" s="280" t="s">
        <v>58</v>
      </c>
      <c r="F16" s="280"/>
      <c r="G16" s="142" t="s">
        <v>1495</v>
      </c>
      <c r="H16" s="142"/>
      <c r="I16" s="29"/>
      <c r="J16" s="29" t="s">
        <v>60</v>
      </c>
      <c r="K16" s="29"/>
      <c r="L16" s="29" t="s">
        <v>60</v>
      </c>
      <c r="M16" s="29"/>
      <c r="N16" s="29" t="s">
        <v>60</v>
      </c>
      <c r="O16" s="29"/>
      <c r="P16" s="29" t="str">
        <f t="shared" si="0"/>
        <v>No</v>
      </c>
      <c r="Q16" s="29"/>
      <c r="R16" s="29"/>
      <c r="S16" s="29" t="s">
        <v>60</v>
      </c>
      <c r="T16" s="29"/>
      <c r="U16" s="29" t="s">
        <v>58</v>
      </c>
      <c r="V16" s="29"/>
      <c r="W16" s="29" t="s">
        <v>60</v>
      </c>
      <c r="X16" s="29"/>
      <c r="Y16" s="29" t="s">
        <v>60</v>
      </c>
      <c r="Z16" s="29"/>
      <c r="AA16" s="29" t="str">
        <f t="shared" si="1"/>
        <v>Yes</v>
      </c>
    </row>
    <row r="17" spans="1:27" ht="13.2" x14ac:dyDescent="0.25">
      <c r="A17" s="64" t="s">
        <v>64</v>
      </c>
      <c r="B17" s="64" t="s">
        <v>1506</v>
      </c>
      <c r="C17" s="134" t="s">
        <v>1407</v>
      </c>
      <c r="D17" s="81" t="s">
        <v>1494</v>
      </c>
      <c r="E17" s="280" t="s">
        <v>58</v>
      </c>
      <c r="F17" s="280"/>
      <c r="G17" s="142" t="s">
        <v>1504</v>
      </c>
      <c r="H17" s="142"/>
      <c r="I17" s="29"/>
      <c r="J17" s="29" t="s">
        <v>60</v>
      </c>
      <c r="K17" s="29"/>
      <c r="L17" s="29" t="s">
        <v>60</v>
      </c>
      <c r="M17" s="29"/>
      <c r="N17" s="29" t="s">
        <v>60</v>
      </c>
      <c r="O17" s="29"/>
      <c r="P17" s="29" t="str">
        <f t="shared" si="0"/>
        <v>No</v>
      </c>
      <c r="Q17" s="29"/>
      <c r="R17" s="29"/>
      <c r="S17" s="29" t="s">
        <v>60</v>
      </c>
      <c r="T17" s="29"/>
      <c r="U17" s="29" t="s">
        <v>58</v>
      </c>
      <c r="V17" s="29"/>
      <c r="W17" s="29" t="s">
        <v>60</v>
      </c>
      <c r="X17" s="29"/>
      <c r="Y17" s="29" t="s">
        <v>58</v>
      </c>
      <c r="Z17" s="29"/>
      <c r="AA17" s="29" t="str">
        <f t="shared" si="1"/>
        <v>Yes</v>
      </c>
    </row>
    <row r="18" spans="1:27" ht="13.2" x14ac:dyDescent="0.25">
      <c r="A18" s="64"/>
      <c r="B18" s="64" t="s">
        <v>1506</v>
      </c>
      <c r="C18" s="134" t="s">
        <v>1407</v>
      </c>
      <c r="D18" s="81" t="s">
        <v>1497</v>
      </c>
      <c r="E18" s="280" t="s">
        <v>58</v>
      </c>
      <c r="F18" s="280"/>
      <c r="G18" s="142" t="s">
        <v>1504</v>
      </c>
      <c r="H18" s="142"/>
      <c r="I18" s="29"/>
      <c r="J18" s="29" t="s">
        <v>60</v>
      </c>
      <c r="K18" s="29"/>
      <c r="L18" s="29" t="s">
        <v>60</v>
      </c>
      <c r="M18" s="29"/>
      <c r="N18" s="29" t="s">
        <v>60</v>
      </c>
      <c r="O18" s="29"/>
      <c r="P18" s="29" t="str">
        <f t="shared" si="0"/>
        <v>No</v>
      </c>
      <c r="Q18" s="29"/>
      <c r="R18" s="29"/>
      <c r="S18" s="29" t="s">
        <v>60</v>
      </c>
      <c r="T18" s="29"/>
      <c r="U18" s="29" t="s">
        <v>60</v>
      </c>
      <c r="V18" s="29"/>
      <c r="W18" s="29" t="s">
        <v>60</v>
      </c>
      <c r="X18" s="29"/>
      <c r="Y18" s="29" t="s">
        <v>60</v>
      </c>
      <c r="Z18" s="29"/>
      <c r="AA18" s="29" t="str">
        <f t="shared" si="1"/>
        <v>No</v>
      </c>
    </row>
    <row r="19" spans="1:27" ht="13.2" x14ac:dyDescent="0.25">
      <c r="A19" s="64"/>
      <c r="B19" s="64" t="s">
        <v>1507</v>
      </c>
      <c r="C19" s="134" t="s">
        <v>1408</v>
      </c>
      <c r="D19" s="81" t="s">
        <v>1494</v>
      </c>
      <c r="E19" s="280" t="s">
        <v>58</v>
      </c>
      <c r="F19" s="280"/>
      <c r="G19" s="142" t="s">
        <v>1495</v>
      </c>
      <c r="H19" s="142"/>
      <c r="I19" s="29"/>
      <c r="J19" s="29" t="s">
        <v>60</v>
      </c>
      <c r="K19" s="29"/>
      <c r="L19" s="29" t="s">
        <v>60</v>
      </c>
      <c r="M19" s="29"/>
      <c r="N19" s="29" t="s">
        <v>60</v>
      </c>
      <c r="O19" s="29"/>
      <c r="P19" s="29" t="str">
        <f t="shared" si="0"/>
        <v>No</v>
      </c>
      <c r="Q19" s="29"/>
      <c r="R19" s="29"/>
      <c r="S19" s="29" t="s">
        <v>60</v>
      </c>
      <c r="T19" s="29"/>
      <c r="U19" s="29" t="s">
        <v>60</v>
      </c>
      <c r="V19" s="29"/>
      <c r="W19" s="29" t="s">
        <v>60</v>
      </c>
      <c r="X19" s="29"/>
      <c r="Y19" s="29" t="s">
        <v>60</v>
      </c>
      <c r="Z19" s="29"/>
      <c r="AA19" s="29" t="str">
        <f t="shared" si="1"/>
        <v>No</v>
      </c>
    </row>
    <row r="20" spans="1:27" ht="13.2" x14ac:dyDescent="0.25">
      <c r="B20" s="134" t="s">
        <v>1507</v>
      </c>
      <c r="C20" s="134" t="s">
        <v>1408</v>
      </c>
      <c r="D20" s="81" t="s">
        <v>1497</v>
      </c>
      <c r="E20" s="280" t="s">
        <v>58</v>
      </c>
      <c r="F20" s="280"/>
      <c r="G20" s="142" t="s">
        <v>1495</v>
      </c>
      <c r="H20" s="142"/>
      <c r="I20" s="29"/>
      <c r="J20" s="29" t="s">
        <v>60</v>
      </c>
      <c r="K20" s="29"/>
      <c r="L20" s="29" t="s">
        <v>60</v>
      </c>
      <c r="M20" s="29"/>
      <c r="N20" s="29" t="s">
        <v>60</v>
      </c>
      <c r="O20" s="29"/>
      <c r="P20" s="29" t="str">
        <f t="shared" si="0"/>
        <v>No</v>
      </c>
      <c r="Q20" s="29"/>
      <c r="R20" s="29"/>
      <c r="S20" s="29" t="s">
        <v>60</v>
      </c>
      <c r="T20" s="29"/>
      <c r="U20" s="29" t="s">
        <v>60</v>
      </c>
      <c r="V20" s="29"/>
      <c r="W20" s="29" t="s">
        <v>60</v>
      </c>
      <c r="X20" s="29"/>
      <c r="Y20" s="29" t="s">
        <v>60</v>
      </c>
      <c r="Z20" s="29"/>
      <c r="AA20" s="29" t="str">
        <f t="shared" si="1"/>
        <v>No</v>
      </c>
    </row>
    <row r="21" spans="1:27" ht="13.2" x14ac:dyDescent="0.25">
      <c r="A21" s="28" t="s">
        <v>67</v>
      </c>
      <c r="B21" s="28" t="s">
        <v>1508</v>
      </c>
      <c r="C21" s="134" t="s">
        <v>1409</v>
      </c>
      <c r="D21" s="81" t="s">
        <v>1494</v>
      </c>
      <c r="E21" s="280" t="s">
        <v>60</v>
      </c>
      <c r="F21" s="280"/>
      <c r="G21" s="142" t="s">
        <v>1504</v>
      </c>
      <c r="H21" s="142"/>
      <c r="I21" s="29"/>
      <c r="J21" s="29" t="s">
        <v>1496</v>
      </c>
      <c r="K21" s="29"/>
      <c r="L21" s="29" t="s">
        <v>58</v>
      </c>
      <c r="M21" s="29"/>
      <c r="N21" s="29" t="s">
        <v>60</v>
      </c>
      <c r="O21" s="29"/>
      <c r="P21" s="29" t="str">
        <f t="shared" si="0"/>
        <v>Yes</v>
      </c>
      <c r="Q21" s="29"/>
      <c r="R21" s="29"/>
      <c r="S21" s="29" t="s">
        <v>60</v>
      </c>
      <c r="T21" s="29"/>
      <c r="U21" s="29" t="s">
        <v>58</v>
      </c>
      <c r="V21" s="29"/>
      <c r="W21" s="29" t="s">
        <v>60</v>
      </c>
      <c r="X21" s="29"/>
      <c r="Y21" s="29" t="s">
        <v>58</v>
      </c>
      <c r="Z21" s="29"/>
      <c r="AA21" s="29" t="str">
        <f t="shared" si="1"/>
        <v>Yes</v>
      </c>
    </row>
    <row r="22" spans="1:27" ht="13.2" x14ac:dyDescent="0.25">
      <c r="B22" s="134" t="s">
        <v>1508</v>
      </c>
      <c r="C22" s="134" t="s">
        <v>1409</v>
      </c>
      <c r="D22" s="81" t="s">
        <v>1497</v>
      </c>
      <c r="E22" s="280" t="s">
        <v>58</v>
      </c>
      <c r="F22" s="280"/>
      <c r="G22" s="142" t="s">
        <v>1495</v>
      </c>
      <c r="H22" s="142"/>
      <c r="I22" s="29"/>
      <c r="J22" s="29" t="s">
        <v>1496</v>
      </c>
      <c r="K22" s="29"/>
      <c r="L22" s="29" t="s">
        <v>60</v>
      </c>
      <c r="M22" s="29"/>
      <c r="N22" s="29" t="s">
        <v>60</v>
      </c>
      <c r="O22" s="29"/>
      <c r="P22" s="29" t="str">
        <f t="shared" si="0"/>
        <v>Yes</v>
      </c>
      <c r="Q22" s="29"/>
      <c r="R22" s="29"/>
      <c r="S22" s="29" t="s">
        <v>60</v>
      </c>
      <c r="T22" s="29"/>
      <c r="U22" s="29" t="s">
        <v>60</v>
      </c>
      <c r="V22" s="29"/>
      <c r="W22" s="29" t="s">
        <v>58</v>
      </c>
      <c r="X22" s="29"/>
      <c r="Y22" s="29" t="s">
        <v>58</v>
      </c>
      <c r="Z22" s="29"/>
      <c r="AA22" s="29" t="str">
        <f t="shared" si="1"/>
        <v>Yes</v>
      </c>
    </row>
    <row r="23" spans="1:27" ht="13.2" x14ac:dyDescent="0.25">
      <c r="B23" s="134" t="s">
        <v>1509</v>
      </c>
      <c r="C23" s="134" t="s">
        <v>1410</v>
      </c>
      <c r="D23" s="81" t="s">
        <v>1494</v>
      </c>
      <c r="E23" s="280" t="s">
        <v>58</v>
      </c>
      <c r="F23" s="280"/>
      <c r="G23" s="142" t="s">
        <v>1504</v>
      </c>
      <c r="H23" s="142"/>
      <c r="I23" s="29"/>
      <c r="J23" s="29" t="s">
        <v>1496</v>
      </c>
      <c r="K23" s="29"/>
      <c r="L23" s="29" t="s">
        <v>60</v>
      </c>
      <c r="M23" s="29"/>
      <c r="N23" s="29" t="s">
        <v>60</v>
      </c>
      <c r="O23" s="29"/>
      <c r="P23" s="29" t="str">
        <f t="shared" si="0"/>
        <v>Yes</v>
      </c>
      <c r="Q23" s="29"/>
      <c r="R23" s="29"/>
      <c r="S23" s="29" t="s">
        <v>60</v>
      </c>
      <c r="T23" s="29"/>
      <c r="U23" s="29" t="s">
        <v>58</v>
      </c>
      <c r="V23" s="29"/>
      <c r="W23" s="29" t="s">
        <v>58</v>
      </c>
      <c r="X23" s="29"/>
      <c r="Y23" s="29" t="s">
        <v>60</v>
      </c>
      <c r="Z23" s="29"/>
      <c r="AA23" s="29" t="str">
        <f t="shared" si="1"/>
        <v>Yes</v>
      </c>
    </row>
    <row r="24" spans="1:27" ht="13.2" x14ac:dyDescent="0.25">
      <c r="B24" s="134" t="s">
        <v>1509</v>
      </c>
      <c r="C24" s="134" t="s">
        <v>1410</v>
      </c>
      <c r="D24" s="81" t="s">
        <v>1497</v>
      </c>
      <c r="E24" s="280" t="s">
        <v>58</v>
      </c>
      <c r="F24" s="280"/>
      <c r="G24" s="142" t="s">
        <v>1504</v>
      </c>
      <c r="H24" s="142"/>
      <c r="I24" s="29"/>
      <c r="J24" s="29" t="s">
        <v>1496</v>
      </c>
      <c r="K24" s="29"/>
      <c r="L24" s="29" t="s">
        <v>60</v>
      </c>
      <c r="M24" s="29"/>
      <c r="N24" s="29" t="s">
        <v>60</v>
      </c>
      <c r="O24" s="29"/>
      <c r="P24" s="29" t="str">
        <f t="shared" si="0"/>
        <v>Yes</v>
      </c>
      <c r="Q24" s="29"/>
      <c r="R24" s="29"/>
      <c r="S24" s="29" t="s">
        <v>60</v>
      </c>
      <c r="T24" s="29"/>
      <c r="U24" s="29" t="s">
        <v>60</v>
      </c>
      <c r="V24" s="29"/>
      <c r="W24" s="29" t="s">
        <v>58</v>
      </c>
      <c r="X24" s="29"/>
      <c r="Y24" s="29" t="s">
        <v>60</v>
      </c>
      <c r="Z24" s="29"/>
      <c r="AA24" s="29" t="str">
        <f t="shared" ref="AA24:AA119" si="2">IF(AND(S24="No",U24="No",W24="No",Y24="No"),"No","Yes")</f>
        <v>Yes</v>
      </c>
    </row>
    <row r="25" spans="1:27" ht="13.2" x14ac:dyDescent="0.25">
      <c r="A25" s="134" t="s">
        <v>69</v>
      </c>
      <c r="B25" s="134" t="s">
        <v>1510</v>
      </c>
      <c r="C25" s="134" t="s">
        <v>1411</v>
      </c>
      <c r="D25" s="81" t="s">
        <v>1494</v>
      </c>
      <c r="E25" s="280" t="s">
        <v>58</v>
      </c>
      <c r="F25" s="280"/>
      <c r="G25" s="142" t="s">
        <v>1504</v>
      </c>
      <c r="H25" s="142"/>
      <c r="I25" s="29"/>
      <c r="J25" s="29" t="s">
        <v>1496</v>
      </c>
      <c r="K25" s="29"/>
      <c r="L25" s="29" t="s">
        <v>58</v>
      </c>
      <c r="M25" s="29"/>
      <c r="N25" s="29" t="s">
        <v>60</v>
      </c>
      <c r="O25" s="29"/>
      <c r="P25" s="29" t="str">
        <f t="shared" si="0"/>
        <v>Yes</v>
      </c>
      <c r="Q25" s="29"/>
      <c r="R25" s="29"/>
      <c r="S25" s="29" t="s">
        <v>58</v>
      </c>
      <c r="T25" s="29"/>
      <c r="U25" s="29" t="s">
        <v>60</v>
      </c>
      <c r="V25" s="29"/>
      <c r="W25" s="29" t="s">
        <v>60</v>
      </c>
      <c r="X25" s="29"/>
      <c r="Y25" s="29" t="s">
        <v>58</v>
      </c>
      <c r="Z25" s="29"/>
      <c r="AA25" s="29" t="str">
        <f t="shared" ref="AA25:AA71" si="3">IF(AND(S25="No",U25="No",W25="No",Y25="No"),"No","Yes")</f>
        <v>Yes</v>
      </c>
    </row>
    <row r="26" spans="1:27" ht="13.2" x14ac:dyDescent="0.25">
      <c r="B26" s="134" t="s">
        <v>1511</v>
      </c>
      <c r="C26" s="134" t="s">
        <v>1395</v>
      </c>
      <c r="D26" s="81" t="s">
        <v>1494</v>
      </c>
      <c r="E26" s="280" t="s">
        <v>58</v>
      </c>
      <c r="F26" s="280"/>
      <c r="G26" s="142" t="s">
        <v>1495</v>
      </c>
      <c r="H26" s="142"/>
      <c r="I26" s="29"/>
      <c r="J26" s="29" t="s">
        <v>1496</v>
      </c>
      <c r="K26" s="29"/>
      <c r="L26" s="29" t="s">
        <v>60</v>
      </c>
      <c r="M26" s="29"/>
      <c r="N26" s="29" t="s">
        <v>60</v>
      </c>
      <c r="O26" s="29"/>
      <c r="P26" s="29" t="str">
        <f t="shared" si="0"/>
        <v>Yes</v>
      </c>
      <c r="Q26" s="29"/>
      <c r="R26" s="29"/>
      <c r="S26" s="29" t="s">
        <v>60</v>
      </c>
      <c r="T26" s="29"/>
      <c r="U26" s="29" t="s">
        <v>58</v>
      </c>
      <c r="V26" s="29"/>
      <c r="W26" s="29" t="s">
        <v>58</v>
      </c>
      <c r="X26" s="29"/>
      <c r="Y26" s="29" t="s">
        <v>58</v>
      </c>
      <c r="Z26" s="29"/>
      <c r="AA26" s="29" t="str">
        <f t="shared" si="3"/>
        <v>Yes</v>
      </c>
    </row>
    <row r="27" spans="1:27" ht="13.2" x14ac:dyDescent="0.25">
      <c r="B27" s="134" t="s">
        <v>1512</v>
      </c>
      <c r="C27" s="134" t="s">
        <v>1398</v>
      </c>
      <c r="D27" s="81" t="s">
        <v>1494</v>
      </c>
      <c r="E27" s="280" t="s">
        <v>58</v>
      </c>
      <c r="F27" s="280"/>
      <c r="G27" s="142" t="s">
        <v>1495</v>
      </c>
      <c r="H27" s="142"/>
      <c r="I27" s="29"/>
      <c r="J27" s="29" t="s">
        <v>1496</v>
      </c>
      <c r="K27" s="29"/>
      <c r="L27" s="29" t="s">
        <v>60</v>
      </c>
      <c r="M27" s="29"/>
      <c r="N27" s="29" t="s">
        <v>60</v>
      </c>
      <c r="O27" s="29"/>
      <c r="P27" s="29" t="str">
        <f t="shared" si="0"/>
        <v>Yes</v>
      </c>
      <c r="Q27" s="29"/>
      <c r="R27" s="29"/>
      <c r="S27" s="29" t="s">
        <v>60</v>
      </c>
      <c r="T27" s="29"/>
      <c r="U27" s="29" t="s">
        <v>60</v>
      </c>
      <c r="V27" s="29"/>
      <c r="W27" s="29" t="s">
        <v>60</v>
      </c>
      <c r="X27" s="29"/>
      <c r="Y27" s="29" t="s">
        <v>58</v>
      </c>
      <c r="Z27" s="29"/>
      <c r="AA27" s="29" t="str">
        <f t="shared" si="3"/>
        <v>Yes</v>
      </c>
    </row>
    <row r="28" spans="1:27" ht="13.2" x14ac:dyDescent="0.25">
      <c r="B28" s="134" t="s">
        <v>1510</v>
      </c>
      <c r="C28" s="134" t="s">
        <v>1412</v>
      </c>
      <c r="D28" s="81" t="s">
        <v>1494</v>
      </c>
      <c r="E28" s="280" t="s">
        <v>58</v>
      </c>
      <c r="F28" s="280"/>
      <c r="G28" s="142" t="s">
        <v>1504</v>
      </c>
      <c r="H28" s="142"/>
      <c r="I28" s="29"/>
      <c r="J28" s="29" t="s">
        <v>1496</v>
      </c>
      <c r="K28" s="29"/>
      <c r="L28" s="29" t="s">
        <v>58</v>
      </c>
      <c r="M28" s="29"/>
      <c r="N28" s="29" t="s">
        <v>60</v>
      </c>
      <c r="O28" s="29"/>
      <c r="P28" s="29" t="str">
        <f t="shared" si="0"/>
        <v>Yes</v>
      </c>
      <c r="Q28" s="29"/>
      <c r="R28" s="29"/>
      <c r="S28" s="29" t="s">
        <v>60</v>
      </c>
      <c r="T28" s="29"/>
      <c r="U28" s="29" t="s">
        <v>60</v>
      </c>
      <c r="V28" s="29"/>
      <c r="W28" s="29" t="s">
        <v>60</v>
      </c>
      <c r="X28" s="29"/>
      <c r="Y28" s="29" t="s">
        <v>60</v>
      </c>
      <c r="Z28" s="29"/>
      <c r="AA28" s="29" t="str">
        <f t="shared" si="3"/>
        <v>No</v>
      </c>
    </row>
    <row r="29" spans="1:27" ht="13.2" x14ac:dyDescent="0.25">
      <c r="B29" s="134" t="s">
        <v>1511</v>
      </c>
      <c r="C29" s="134" t="s">
        <v>1413</v>
      </c>
      <c r="D29" s="81" t="s">
        <v>1494</v>
      </c>
      <c r="E29" s="280" t="s">
        <v>58</v>
      </c>
      <c r="F29" s="280"/>
      <c r="G29" s="142" t="s">
        <v>1495</v>
      </c>
      <c r="H29" s="142"/>
      <c r="I29" s="29"/>
      <c r="J29" s="29" t="s">
        <v>1496</v>
      </c>
      <c r="K29" s="29"/>
      <c r="L29" s="29" t="s">
        <v>60</v>
      </c>
      <c r="M29" s="29"/>
      <c r="N29" s="29" t="s">
        <v>60</v>
      </c>
      <c r="O29" s="29"/>
      <c r="P29" s="29" t="str">
        <f t="shared" si="0"/>
        <v>Yes</v>
      </c>
      <c r="Q29" s="29"/>
      <c r="R29" s="29"/>
      <c r="S29" s="29" t="s">
        <v>60</v>
      </c>
      <c r="T29" s="29"/>
      <c r="U29" s="29" t="s">
        <v>58</v>
      </c>
      <c r="V29" s="29"/>
      <c r="W29" s="29" t="s">
        <v>60</v>
      </c>
      <c r="X29" s="29"/>
      <c r="Y29" s="29" t="s">
        <v>60</v>
      </c>
      <c r="Z29" s="29"/>
      <c r="AA29" s="29" t="str">
        <f t="shared" si="3"/>
        <v>Yes</v>
      </c>
    </row>
    <row r="30" spans="1:27" ht="13.2" x14ac:dyDescent="0.25">
      <c r="B30" s="134" t="s">
        <v>1513</v>
      </c>
      <c r="C30" s="134" t="s">
        <v>1403</v>
      </c>
      <c r="D30" s="81" t="s">
        <v>1494</v>
      </c>
      <c r="E30" s="280" t="s">
        <v>60</v>
      </c>
      <c r="F30" s="280"/>
      <c r="G30" s="142" t="s">
        <v>1500</v>
      </c>
      <c r="H30" s="142"/>
      <c r="I30" s="29"/>
      <c r="J30" s="29" t="s">
        <v>1496</v>
      </c>
      <c r="K30" s="29"/>
      <c r="L30" s="29" t="s">
        <v>60</v>
      </c>
      <c r="M30" s="29"/>
      <c r="N30" s="29" t="s">
        <v>60</v>
      </c>
      <c r="O30" s="29"/>
      <c r="P30" s="29" t="str">
        <f t="shared" si="0"/>
        <v>Yes</v>
      </c>
      <c r="Q30" s="29"/>
      <c r="R30" s="29"/>
      <c r="S30" s="29" t="s">
        <v>60</v>
      </c>
      <c r="T30" s="29"/>
      <c r="U30" s="29" t="s">
        <v>58</v>
      </c>
      <c r="V30" s="29"/>
      <c r="W30" s="29" t="s">
        <v>58</v>
      </c>
      <c r="X30" s="29"/>
      <c r="Y30" s="29" t="s">
        <v>60</v>
      </c>
      <c r="Z30" s="29"/>
      <c r="AA30" s="29" t="str">
        <f t="shared" si="3"/>
        <v>Yes</v>
      </c>
    </row>
    <row r="31" spans="1:27" ht="13.2" x14ac:dyDescent="0.25">
      <c r="B31" s="134" t="s">
        <v>1514</v>
      </c>
      <c r="C31" s="134" t="s">
        <v>1414</v>
      </c>
      <c r="D31" s="81" t="s">
        <v>1494</v>
      </c>
      <c r="E31" s="280" t="s">
        <v>58</v>
      </c>
      <c r="F31" s="280"/>
      <c r="G31" s="142" t="s">
        <v>1504</v>
      </c>
      <c r="H31" s="142"/>
      <c r="I31" s="29"/>
      <c r="J31" s="29" t="s">
        <v>1496</v>
      </c>
      <c r="K31" s="29"/>
      <c r="L31" s="29" t="s">
        <v>60</v>
      </c>
      <c r="M31" s="29"/>
      <c r="N31" s="29" t="s">
        <v>60</v>
      </c>
      <c r="O31" s="29"/>
      <c r="P31" s="29" t="str">
        <f t="shared" si="0"/>
        <v>Yes</v>
      </c>
      <c r="Q31" s="29"/>
      <c r="R31" s="29"/>
      <c r="S31" s="29" t="s">
        <v>60</v>
      </c>
      <c r="T31" s="29"/>
      <c r="U31" s="29" t="s">
        <v>58</v>
      </c>
      <c r="V31" s="29"/>
      <c r="W31" s="29" t="s">
        <v>58</v>
      </c>
      <c r="X31" s="29"/>
      <c r="Y31" s="29" t="s">
        <v>60</v>
      </c>
      <c r="Z31" s="29"/>
      <c r="AA31" s="29" t="str">
        <f t="shared" si="3"/>
        <v>Yes</v>
      </c>
    </row>
    <row r="32" spans="1:27" ht="13.2" x14ac:dyDescent="0.25">
      <c r="B32" s="134" t="s">
        <v>1515</v>
      </c>
      <c r="C32" s="134" t="s">
        <v>1415</v>
      </c>
      <c r="D32" s="81" t="s">
        <v>1494</v>
      </c>
      <c r="E32" s="280" t="s">
        <v>58</v>
      </c>
      <c r="F32" s="280"/>
      <c r="G32" s="142" t="s">
        <v>1495</v>
      </c>
      <c r="H32" s="142"/>
      <c r="I32" s="29"/>
      <c r="J32" s="29" t="s">
        <v>60</v>
      </c>
      <c r="K32" s="29"/>
      <c r="L32" s="29" t="s">
        <v>60</v>
      </c>
      <c r="M32" s="29"/>
      <c r="N32" s="29" t="s">
        <v>60</v>
      </c>
      <c r="O32" s="29"/>
      <c r="P32" s="29" t="str">
        <f t="shared" si="0"/>
        <v>No</v>
      </c>
      <c r="Q32" s="29"/>
      <c r="R32" s="29"/>
      <c r="S32" s="29" t="s">
        <v>60</v>
      </c>
      <c r="T32" s="29"/>
      <c r="U32" s="29" t="s">
        <v>60</v>
      </c>
      <c r="V32" s="29"/>
      <c r="W32" s="29" t="s">
        <v>60</v>
      </c>
      <c r="X32" s="29"/>
      <c r="Y32" s="29" t="s">
        <v>60</v>
      </c>
      <c r="Z32" s="29"/>
      <c r="AA32" s="29" t="str">
        <f t="shared" si="2"/>
        <v>No</v>
      </c>
    </row>
    <row r="33" spans="1:27" ht="13.2" x14ac:dyDescent="0.25">
      <c r="B33" s="134" t="s">
        <v>1516</v>
      </c>
      <c r="C33" s="134" t="s">
        <v>1517</v>
      </c>
      <c r="D33" s="81" t="s">
        <v>1494</v>
      </c>
      <c r="E33" s="280" t="s">
        <v>60</v>
      </c>
      <c r="F33" s="280"/>
      <c r="G33" s="142" t="s">
        <v>1504</v>
      </c>
      <c r="H33" s="142"/>
      <c r="I33" s="29"/>
      <c r="J33" s="29" t="s">
        <v>60</v>
      </c>
      <c r="K33" s="29"/>
      <c r="L33" s="29" t="s">
        <v>60</v>
      </c>
      <c r="M33" s="29"/>
      <c r="N33" s="29" t="s">
        <v>60</v>
      </c>
      <c r="O33" s="29"/>
      <c r="P33" s="29" t="str">
        <f t="shared" si="0"/>
        <v>No</v>
      </c>
      <c r="Q33" s="29"/>
      <c r="R33" s="29"/>
      <c r="S33" s="29" t="s">
        <v>60</v>
      </c>
      <c r="T33" s="29"/>
      <c r="U33" s="29" t="s">
        <v>60</v>
      </c>
      <c r="V33" s="29"/>
      <c r="W33" s="29" t="s">
        <v>58</v>
      </c>
      <c r="X33" s="29"/>
      <c r="Y33" s="29" t="s">
        <v>60</v>
      </c>
      <c r="Z33" s="29"/>
      <c r="AA33" s="29" t="str">
        <f t="shared" si="3"/>
        <v>Yes</v>
      </c>
    </row>
    <row r="34" spans="1:27" ht="13.2" x14ac:dyDescent="0.25">
      <c r="B34" s="134" t="s">
        <v>1510</v>
      </c>
      <c r="C34" s="134" t="s">
        <v>1517</v>
      </c>
      <c r="D34" s="81" t="s">
        <v>1494</v>
      </c>
      <c r="E34" s="280" t="s">
        <v>58</v>
      </c>
      <c r="F34" s="280"/>
      <c r="G34" s="142" t="s">
        <v>1504</v>
      </c>
      <c r="H34" s="142"/>
      <c r="I34" s="29"/>
      <c r="J34" s="29" t="s">
        <v>60</v>
      </c>
      <c r="K34" s="29"/>
      <c r="L34" s="29" t="s">
        <v>60</v>
      </c>
      <c r="M34" s="29"/>
      <c r="N34" s="29" t="s">
        <v>60</v>
      </c>
      <c r="O34" s="29"/>
      <c r="P34" s="29" t="str">
        <f t="shared" si="0"/>
        <v>No</v>
      </c>
      <c r="Q34" s="29"/>
      <c r="R34" s="29"/>
      <c r="S34" s="29" t="s">
        <v>60</v>
      </c>
      <c r="T34" s="29"/>
      <c r="U34" s="29" t="s">
        <v>60</v>
      </c>
      <c r="V34" s="29"/>
      <c r="W34" s="29" t="s">
        <v>58</v>
      </c>
      <c r="X34" s="29"/>
      <c r="Y34" s="29" t="s">
        <v>60</v>
      </c>
      <c r="Z34" s="29"/>
      <c r="AA34" s="29" t="str">
        <f t="shared" si="3"/>
        <v>Yes</v>
      </c>
    </row>
    <row r="35" spans="1:27" ht="13.2" x14ac:dyDescent="0.25">
      <c r="B35" s="134" t="s">
        <v>1518</v>
      </c>
      <c r="C35" s="134" t="s">
        <v>1405</v>
      </c>
      <c r="D35" s="81" t="s">
        <v>1494</v>
      </c>
      <c r="E35" s="280" t="s">
        <v>58</v>
      </c>
      <c r="F35" s="280"/>
      <c r="G35" s="142" t="s">
        <v>1504</v>
      </c>
      <c r="H35" s="142"/>
      <c r="I35" s="29"/>
      <c r="J35" s="29" t="s">
        <v>60</v>
      </c>
      <c r="K35" s="29"/>
      <c r="L35" s="29" t="s">
        <v>60</v>
      </c>
      <c r="M35" s="29"/>
      <c r="N35" s="29" t="s">
        <v>60</v>
      </c>
      <c r="O35" s="29"/>
      <c r="P35" s="29" t="str">
        <f t="shared" si="0"/>
        <v>No</v>
      </c>
      <c r="Q35" s="29"/>
      <c r="R35" s="29"/>
      <c r="S35" s="29" t="s">
        <v>58</v>
      </c>
      <c r="T35" s="29"/>
      <c r="U35" s="29" t="s">
        <v>60</v>
      </c>
      <c r="V35" s="29"/>
      <c r="W35" s="29" t="s">
        <v>60</v>
      </c>
      <c r="X35" s="29"/>
      <c r="Y35" s="29" t="s">
        <v>58</v>
      </c>
      <c r="Z35" s="29"/>
      <c r="AA35" s="29" t="str">
        <f t="shared" si="3"/>
        <v>Yes</v>
      </c>
    </row>
    <row r="36" spans="1:27" ht="13.2" x14ac:dyDescent="0.25">
      <c r="B36" s="134" t="s">
        <v>1519</v>
      </c>
      <c r="C36" s="134" t="s">
        <v>1418</v>
      </c>
      <c r="D36" s="81" t="s">
        <v>1494</v>
      </c>
      <c r="E36" s="280" t="s">
        <v>58</v>
      </c>
      <c r="F36" s="280"/>
      <c r="G36" s="142" t="s">
        <v>1504</v>
      </c>
      <c r="H36" s="142"/>
      <c r="I36" s="29"/>
      <c r="J36" s="29" t="s">
        <v>60</v>
      </c>
      <c r="K36" s="29"/>
      <c r="L36" s="29" t="s">
        <v>60</v>
      </c>
      <c r="M36" s="29"/>
      <c r="N36" s="29" t="s">
        <v>60</v>
      </c>
      <c r="O36" s="29"/>
      <c r="P36" s="29" t="str">
        <f t="shared" si="0"/>
        <v>No</v>
      </c>
      <c r="Q36" s="29"/>
      <c r="R36" s="29"/>
      <c r="S36" s="29" t="s">
        <v>60</v>
      </c>
      <c r="T36" s="29"/>
      <c r="U36" s="29" t="s">
        <v>60</v>
      </c>
      <c r="V36" s="29"/>
      <c r="W36" s="29" t="s">
        <v>60</v>
      </c>
      <c r="X36" s="29"/>
      <c r="Y36" s="29" t="s">
        <v>58</v>
      </c>
      <c r="Z36" s="29"/>
      <c r="AA36" s="29" t="str">
        <f t="shared" si="3"/>
        <v>Yes</v>
      </c>
    </row>
    <row r="37" spans="1:27" ht="13.2" x14ac:dyDescent="0.25">
      <c r="A37" s="134" t="s">
        <v>71</v>
      </c>
      <c r="B37" s="134" t="s">
        <v>1520</v>
      </c>
      <c r="C37" s="134" t="s">
        <v>1419</v>
      </c>
      <c r="D37" s="81" t="s">
        <v>1494</v>
      </c>
      <c r="E37" s="280" t="s">
        <v>58</v>
      </c>
      <c r="F37" s="280"/>
      <c r="G37" s="142" t="s">
        <v>1504</v>
      </c>
      <c r="H37" s="142"/>
      <c r="I37" s="29"/>
      <c r="J37" s="29" t="s">
        <v>60</v>
      </c>
      <c r="K37" s="29"/>
      <c r="L37" s="29" t="s">
        <v>60</v>
      </c>
      <c r="M37" s="29"/>
      <c r="N37" s="29" t="s">
        <v>60</v>
      </c>
      <c r="O37" s="29"/>
      <c r="P37" s="29" t="str">
        <f t="shared" si="0"/>
        <v>No</v>
      </c>
      <c r="Q37" s="29"/>
      <c r="R37" s="29"/>
      <c r="S37" s="29" t="s">
        <v>60</v>
      </c>
      <c r="T37" s="29"/>
      <c r="U37" s="29" t="s">
        <v>60</v>
      </c>
      <c r="V37" s="29"/>
      <c r="W37" s="29" t="s">
        <v>60</v>
      </c>
      <c r="X37" s="29"/>
      <c r="Y37" s="29" t="s">
        <v>60</v>
      </c>
      <c r="Z37" s="29"/>
      <c r="AA37" s="29" t="str">
        <f t="shared" si="3"/>
        <v>No</v>
      </c>
    </row>
    <row r="38" spans="1:27" ht="13.2" x14ac:dyDescent="0.25">
      <c r="B38" s="134" t="s">
        <v>1521</v>
      </c>
      <c r="C38" s="134" t="s">
        <v>1420</v>
      </c>
      <c r="D38" s="81" t="s">
        <v>1494</v>
      </c>
      <c r="E38" s="280" t="s">
        <v>1522</v>
      </c>
      <c r="F38" s="280"/>
      <c r="G38" s="142" t="s">
        <v>1504</v>
      </c>
      <c r="H38" s="142"/>
      <c r="I38" s="29"/>
      <c r="J38" s="29" t="s">
        <v>58</v>
      </c>
      <c r="K38" s="29"/>
      <c r="L38" s="29" t="s">
        <v>60</v>
      </c>
      <c r="M38" s="29"/>
      <c r="N38" s="29" t="s">
        <v>60</v>
      </c>
      <c r="O38" s="29"/>
      <c r="P38" s="29" t="str">
        <f t="shared" si="0"/>
        <v>Yes</v>
      </c>
      <c r="Q38" s="29"/>
      <c r="R38" s="29"/>
      <c r="S38" s="29" t="s">
        <v>60</v>
      </c>
      <c r="T38" s="29"/>
      <c r="U38" s="29" t="s">
        <v>60</v>
      </c>
      <c r="V38" s="29"/>
      <c r="W38" s="29" t="s">
        <v>60</v>
      </c>
      <c r="X38" s="29"/>
      <c r="Y38" s="29" t="s">
        <v>60</v>
      </c>
      <c r="Z38" s="29"/>
      <c r="AA38" s="29" t="str">
        <f t="shared" si="3"/>
        <v>No</v>
      </c>
    </row>
    <row r="39" spans="1:27" ht="13.2" x14ac:dyDescent="0.25">
      <c r="B39" s="134" t="s">
        <v>1521</v>
      </c>
      <c r="C39" s="134" t="s">
        <v>1420</v>
      </c>
      <c r="D39" s="81" t="s">
        <v>1497</v>
      </c>
      <c r="E39" s="280" t="s">
        <v>1522</v>
      </c>
      <c r="F39" s="280"/>
      <c r="G39" s="142" t="s">
        <v>1504</v>
      </c>
      <c r="H39" s="142"/>
      <c r="I39" s="29"/>
      <c r="J39" s="29" t="s">
        <v>58</v>
      </c>
      <c r="K39" s="29"/>
      <c r="L39" s="29" t="s">
        <v>60</v>
      </c>
      <c r="M39" s="29"/>
      <c r="N39" s="29" t="s">
        <v>60</v>
      </c>
      <c r="O39" s="29"/>
      <c r="P39" s="29" t="str">
        <f t="shared" si="0"/>
        <v>Yes</v>
      </c>
      <c r="Q39" s="29"/>
      <c r="R39" s="29"/>
      <c r="S39" s="29" t="s">
        <v>60</v>
      </c>
      <c r="T39" s="29"/>
      <c r="U39" s="29" t="s">
        <v>60</v>
      </c>
      <c r="V39" s="29"/>
      <c r="W39" s="29" t="s">
        <v>60</v>
      </c>
      <c r="X39" s="29"/>
      <c r="Y39" s="29" t="s">
        <v>60</v>
      </c>
      <c r="Z39" s="29"/>
      <c r="AA39" s="29" t="str">
        <f t="shared" si="3"/>
        <v>No</v>
      </c>
    </row>
    <row r="40" spans="1:27" ht="13.2" x14ac:dyDescent="0.25">
      <c r="B40" s="134" t="s">
        <v>1521</v>
      </c>
      <c r="C40" s="134" t="s">
        <v>1421</v>
      </c>
      <c r="D40" s="81" t="s">
        <v>1497</v>
      </c>
      <c r="E40" s="280" t="s">
        <v>58</v>
      </c>
      <c r="F40" s="280"/>
      <c r="G40" s="142" t="s">
        <v>1495</v>
      </c>
      <c r="H40" s="142"/>
      <c r="I40" s="29"/>
      <c r="J40" s="29" t="s">
        <v>58</v>
      </c>
      <c r="K40" s="29"/>
      <c r="L40" s="29" t="s">
        <v>60</v>
      </c>
      <c r="M40" s="29"/>
      <c r="N40" s="29" t="s">
        <v>60</v>
      </c>
      <c r="O40" s="29"/>
      <c r="P40" s="29" t="str">
        <f t="shared" si="0"/>
        <v>Yes</v>
      </c>
      <c r="Q40" s="29"/>
      <c r="R40" s="29"/>
      <c r="S40" s="29" t="s">
        <v>60</v>
      </c>
      <c r="T40" s="29"/>
      <c r="U40" s="29" t="s">
        <v>60</v>
      </c>
      <c r="V40" s="29"/>
      <c r="W40" s="29" t="s">
        <v>60</v>
      </c>
      <c r="X40" s="29"/>
      <c r="Y40" s="29" t="s">
        <v>60</v>
      </c>
      <c r="Z40" s="29"/>
      <c r="AA40" s="29" t="str">
        <f t="shared" si="2"/>
        <v>No</v>
      </c>
    </row>
    <row r="41" spans="1:27" ht="13.2" x14ac:dyDescent="0.25">
      <c r="B41" s="134" t="s">
        <v>1521</v>
      </c>
      <c r="C41" s="134" t="s">
        <v>1445</v>
      </c>
      <c r="D41" s="81" t="s">
        <v>1494</v>
      </c>
      <c r="E41" s="280" t="s">
        <v>1522</v>
      </c>
      <c r="F41" s="280"/>
      <c r="G41" s="142" t="s">
        <v>1504</v>
      </c>
      <c r="H41" s="142"/>
      <c r="I41" s="29"/>
      <c r="J41" s="29" t="s">
        <v>58</v>
      </c>
      <c r="K41" s="29"/>
      <c r="L41" s="29" t="s">
        <v>60</v>
      </c>
      <c r="M41" s="29"/>
      <c r="N41" s="29" t="s">
        <v>60</v>
      </c>
      <c r="O41" s="29"/>
      <c r="P41" s="29" t="str">
        <f t="shared" si="0"/>
        <v>Yes</v>
      </c>
      <c r="Q41" s="29"/>
      <c r="R41" s="29"/>
      <c r="S41" s="29" t="s">
        <v>60</v>
      </c>
      <c r="T41" s="29"/>
      <c r="U41" s="29" t="s">
        <v>60</v>
      </c>
      <c r="V41" s="29"/>
      <c r="W41" s="29" t="s">
        <v>60</v>
      </c>
      <c r="X41" s="29"/>
      <c r="Y41" s="29" t="s">
        <v>60</v>
      </c>
      <c r="Z41" s="29"/>
      <c r="AA41" s="29" t="str">
        <f t="shared" si="3"/>
        <v>No</v>
      </c>
    </row>
    <row r="42" spans="1:27" ht="13.2" x14ac:dyDescent="0.25">
      <c r="B42" s="134" t="s">
        <v>1521</v>
      </c>
      <c r="C42" s="134" t="s">
        <v>1445</v>
      </c>
      <c r="D42" s="81" t="s">
        <v>1497</v>
      </c>
      <c r="E42" s="280" t="s">
        <v>58</v>
      </c>
      <c r="F42" s="280"/>
      <c r="G42" s="142" t="s">
        <v>1504</v>
      </c>
      <c r="H42" s="142"/>
      <c r="I42" s="29"/>
      <c r="J42" s="29" t="s">
        <v>58</v>
      </c>
      <c r="K42" s="29"/>
      <c r="L42" s="29" t="s">
        <v>60</v>
      </c>
      <c r="M42" s="29"/>
      <c r="N42" s="29" t="s">
        <v>60</v>
      </c>
      <c r="O42" s="29"/>
      <c r="P42" s="29" t="str">
        <f t="shared" si="0"/>
        <v>Yes</v>
      </c>
      <c r="Q42" s="29"/>
      <c r="R42" s="29"/>
      <c r="S42" s="29" t="s">
        <v>60</v>
      </c>
      <c r="T42" s="29"/>
      <c r="U42" s="29" t="s">
        <v>60</v>
      </c>
      <c r="V42" s="29"/>
      <c r="W42" s="29" t="s">
        <v>60</v>
      </c>
      <c r="X42" s="29"/>
      <c r="Y42" s="29" t="s">
        <v>60</v>
      </c>
      <c r="Z42" s="29"/>
      <c r="AA42" s="29" t="str">
        <f t="shared" si="3"/>
        <v>No</v>
      </c>
    </row>
    <row r="43" spans="1:27" ht="13.2" x14ac:dyDescent="0.25">
      <c r="A43" s="134" t="s">
        <v>73</v>
      </c>
      <c r="B43" s="134" t="s">
        <v>1523</v>
      </c>
      <c r="C43" s="134" t="s">
        <v>1411</v>
      </c>
      <c r="D43" s="81" t="s">
        <v>1497</v>
      </c>
      <c r="E43" s="280" t="s">
        <v>58</v>
      </c>
      <c r="F43" s="280"/>
      <c r="G43" s="142" t="s">
        <v>1504</v>
      </c>
      <c r="H43" s="142"/>
      <c r="I43" s="29"/>
      <c r="J43" s="29" t="s">
        <v>58</v>
      </c>
      <c r="K43" s="29"/>
      <c r="L43" s="29" t="s">
        <v>58</v>
      </c>
      <c r="M43" s="29"/>
      <c r="N43" s="29" t="s">
        <v>60</v>
      </c>
      <c r="O43" s="29"/>
      <c r="P43" s="29" t="str">
        <f t="shared" si="0"/>
        <v>Yes</v>
      </c>
      <c r="Q43" s="29"/>
      <c r="R43" s="29"/>
      <c r="S43" s="29" t="s">
        <v>60</v>
      </c>
      <c r="T43" s="29"/>
      <c r="U43" s="29" t="s">
        <v>60</v>
      </c>
      <c r="V43" s="29"/>
      <c r="W43" s="29" t="s">
        <v>58</v>
      </c>
      <c r="X43" s="29"/>
      <c r="Y43" s="29" t="s">
        <v>60</v>
      </c>
      <c r="Z43" s="29"/>
      <c r="AA43" s="29" t="str">
        <f t="shared" si="3"/>
        <v>Yes</v>
      </c>
    </row>
    <row r="44" spans="1:27" ht="13.2" x14ac:dyDescent="0.25">
      <c r="B44" s="134" t="s">
        <v>1524</v>
      </c>
      <c r="C44" s="134" t="s">
        <v>1423</v>
      </c>
      <c r="D44" s="81" t="s">
        <v>1494</v>
      </c>
      <c r="E44" s="280" t="s">
        <v>58</v>
      </c>
      <c r="F44" s="280"/>
      <c r="G44" s="142" t="s">
        <v>1504</v>
      </c>
      <c r="H44" s="142"/>
      <c r="I44" s="29"/>
      <c r="J44" s="29" t="s">
        <v>60</v>
      </c>
      <c r="K44" s="29"/>
      <c r="L44" s="29" t="s">
        <v>60</v>
      </c>
      <c r="M44" s="29"/>
      <c r="N44" s="29" t="s">
        <v>60</v>
      </c>
      <c r="O44" s="29"/>
      <c r="P44" s="29" t="str">
        <f t="shared" si="0"/>
        <v>No</v>
      </c>
      <c r="Q44" s="29"/>
      <c r="R44" s="29"/>
      <c r="S44" s="29" t="s">
        <v>58</v>
      </c>
      <c r="T44" s="29"/>
      <c r="U44" s="29" t="s">
        <v>58</v>
      </c>
      <c r="V44" s="29"/>
      <c r="W44" s="29" t="s">
        <v>60</v>
      </c>
      <c r="X44" s="29"/>
      <c r="Y44" s="29" t="s">
        <v>60</v>
      </c>
      <c r="Z44" s="29"/>
      <c r="AA44" s="29" t="str">
        <f t="shared" si="3"/>
        <v>Yes</v>
      </c>
    </row>
    <row r="45" spans="1:27" ht="13.2" x14ac:dyDescent="0.25">
      <c r="B45" s="134" t="s">
        <v>1525</v>
      </c>
      <c r="C45" s="134" t="s">
        <v>1423</v>
      </c>
      <c r="D45" s="81" t="s">
        <v>1497</v>
      </c>
      <c r="E45" s="280" t="s">
        <v>58</v>
      </c>
      <c r="F45" s="280"/>
      <c r="G45" s="142" t="s">
        <v>1504</v>
      </c>
      <c r="H45" s="142"/>
      <c r="I45" s="29"/>
      <c r="J45" s="29" t="s">
        <v>60</v>
      </c>
      <c r="K45" s="29"/>
      <c r="L45" s="29" t="s">
        <v>60</v>
      </c>
      <c r="M45" s="29"/>
      <c r="N45" s="29" t="s">
        <v>60</v>
      </c>
      <c r="O45" s="29"/>
      <c r="P45" s="29" t="str">
        <f t="shared" si="0"/>
        <v>No</v>
      </c>
      <c r="Q45" s="29"/>
      <c r="R45" s="29"/>
      <c r="S45" s="29" t="s">
        <v>60</v>
      </c>
      <c r="T45" s="29"/>
      <c r="U45" s="29" t="s">
        <v>60</v>
      </c>
      <c r="V45" s="29"/>
      <c r="W45" s="29" t="s">
        <v>58</v>
      </c>
      <c r="X45" s="29"/>
      <c r="Y45" s="29" t="s">
        <v>60</v>
      </c>
      <c r="Z45" s="29"/>
      <c r="AA45" s="29" t="str">
        <f t="shared" si="3"/>
        <v>Yes</v>
      </c>
    </row>
    <row r="46" spans="1:27" ht="13.2" x14ac:dyDescent="0.25">
      <c r="B46" s="134" t="s">
        <v>1526</v>
      </c>
      <c r="C46" s="134" t="s">
        <v>1407</v>
      </c>
      <c r="D46" s="81" t="s">
        <v>1497</v>
      </c>
      <c r="E46" s="280" t="s">
        <v>58</v>
      </c>
      <c r="F46" s="280"/>
      <c r="G46" s="142" t="s">
        <v>1504</v>
      </c>
      <c r="H46" s="142"/>
      <c r="I46" s="29"/>
      <c r="J46" s="29" t="s">
        <v>60</v>
      </c>
      <c r="K46" s="29"/>
      <c r="L46" s="29" t="s">
        <v>60</v>
      </c>
      <c r="M46" s="29"/>
      <c r="N46" s="29" t="s">
        <v>60</v>
      </c>
      <c r="O46" s="29"/>
      <c r="P46" s="29" t="str">
        <f t="shared" si="0"/>
        <v>No</v>
      </c>
      <c r="Q46" s="29"/>
      <c r="R46" s="29"/>
      <c r="S46" s="29" t="s">
        <v>60</v>
      </c>
      <c r="T46" s="29"/>
      <c r="U46" s="29" t="s">
        <v>60</v>
      </c>
      <c r="V46" s="29"/>
      <c r="W46" s="29" t="s">
        <v>58</v>
      </c>
      <c r="X46" s="29"/>
      <c r="Y46" s="29" t="s">
        <v>60</v>
      </c>
      <c r="Z46" s="29"/>
      <c r="AA46" s="29" t="str">
        <f t="shared" si="3"/>
        <v>Yes</v>
      </c>
    </row>
    <row r="47" spans="1:27" ht="13.2" x14ac:dyDescent="0.25">
      <c r="B47" s="134" t="s">
        <v>1527</v>
      </c>
      <c r="C47" s="134" t="s">
        <v>1424</v>
      </c>
      <c r="D47" s="81" t="s">
        <v>1497</v>
      </c>
      <c r="E47" s="280" t="s">
        <v>58</v>
      </c>
      <c r="F47" s="280"/>
      <c r="G47" s="142" t="s">
        <v>1504</v>
      </c>
      <c r="H47" s="142"/>
      <c r="I47" s="29"/>
      <c r="J47" s="29" t="s">
        <v>58</v>
      </c>
      <c r="K47" s="29"/>
      <c r="L47" s="29" t="s">
        <v>60</v>
      </c>
      <c r="M47" s="29"/>
      <c r="N47" s="29" t="s">
        <v>60</v>
      </c>
      <c r="O47" s="29"/>
      <c r="P47" s="29" t="str">
        <f t="shared" si="0"/>
        <v>Yes</v>
      </c>
      <c r="Q47" s="29"/>
      <c r="R47" s="29"/>
      <c r="S47" s="29" t="s">
        <v>60</v>
      </c>
      <c r="T47" s="29"/>
      <c r="U47" s="29" t="s">
        <v>60</v>
      </c>
      <c r="V47" s="29"/>
      <c r="W47" s="29" t="s">
        <v>58</v>
      </c>
      <c r="X47" s="29"/>
      <c r="Y47" s="29" t="s">
        <v>60</v>
      </c>
      <c r="Z47" s="29"/>
      <c r="AA47" s="29" t="str">
        <f t="shared" si="3"/>
        <v>Yes</v>
      </c>
    </row>
    <row r="48" spans="1:27" ht="13.2" x14ac:dyDescent="0.25">
      <c r="B48" s="134" t="s">
        <v>1528</v>
      </c>
      <c r="C48" s="134" t="s">
        <v>1425</v>
      </c>
      <c r="D48" s="81" t="s">
        <v>1497</v>
      </c>
      <c r="E48" s="280" t="s">
        <v>58</v>
      </c>
      <c r="F48" s="280"/>
      <c r="G48" s="142" t="s">
        <v>1504</v>
      </c>
      <c r="H48" s="142"/>
      <c r="I48" s="29"/>
      <c r="J48" s="29" t="s">
        <v>60</v>
      </c>
      <c r="K48" s="29"/>
      <c r="L48" s="29" t="s">
        <v>60</v>
      </c>
      <c r="M48" s="29"/>
      <c r="N48" s="29" t="s">
        <v>60</v>
      </c>
      <c r="O48" s="29"/>
      <c r="P48" s="29" t="str">
        <f t="shared" si="0"/>
        <v>No</v>
      </c>
      <c r="Q48" s="29"/>
      <c r="R48" s="29"/>
      <c r="S48" s="29" t="s">
        <v>60</v>
      </c>
      <c r="T48" s="29"/>
      <c r="U48" s="29" t="s">
        <v>60</v>
      </c>
      <c r="V48" s="29"/>
      <c r="W48" s="29" t="s">
        <v>58</v>
      </c>
      <c r="X48" s="29"/>
      <c r="Y48" s="29" t="s">
        <v>60</v>
      </c>
      <c r="Z48" s="29"/>
      <c r="AA48" s="29" t="str">
        <f t="shared" si="2"/>
        <v>Yes</v>
      </c>
    </row>
    <row r="49" spans="1:27" ht="13.2" x14ac:dyDescent="0.25">
      <c r="B49" s="134" t="s">
        <v>1529</v>
      </c>
      <c r="C49" s="134" t="s">
        <v>1426</v>
      </c>
      <c r="D49" s="81" t="s">
        <v>1494</v>
      </c>
      <c r="E49" s="280" t="s">
        <v>58</v>
      </c>
      <c r="F49" s="280"/>
      <c r="G49" s="142" t="s">
        <v>1504</v>
      </c>
      <c r="H49" s="142"/>
      <c r="I49" s="29"/>
      <c r="J49" s="29" t="s">
        <v>60</v>
      </c>
      <c r="K49" s="29"/>
      <c r="L49" s="29" t="s">
        <v>60</v>
      </c>
      <c r="M49" s="29"/>
      <c r="N49" s="29" t="s">
        <v>60</v>
      </c>
      <c r="O49" s="29"/>
      <c r="P49" s="29" t="str">
        <f t="shared" si="0"/>
        <v>No</v>
      </c>
      <c r="Q49" s="29"/>
      <c r="R49" s="29"/>
      <c r="S49" s="29" t="s">
        <v>60</v>
      </c>
      <c r="T49" s="29"/>
      <c r="U49" s="29" t="s">
        <v>60</v>
      </c>
      <c r="V49" s="29"/>
      <c r="W49" s="29" t="s">
        <v>60</v>
      </c>
      <c r="X49" s="29"/>
      <c r="Y49" s="29" t="s">
        <v>58</v>
      </c>
      <c r="Z49" s="29"/>
      <c r="AA49" s="29" t="str">
        <f t="shared" si="3"/>
        <v>Yes</v>
      </c>
    </row>
    <row r="50" spans="1:27" ht="13.2" x14ac:dyDescent="0.25">
      <c r="B50" s="134" t="s">
        <v>1530</v>
      </c>
      <c r="C50" s="134" t="s">
        <v>1427</v>
      </c>
      <c r="D50" s="81" t="s">
        <v>1497</v>
      </c>
      <c r="E50" s="280" t="s">
        <v>58</v>
      </c>
      <c r="F50" s="280"/>
      <c r="G50" s="142" t="s">
        <v>1504</v>
      </c>
      <c r="H50" s="142"/>
      <c r="I50" s="29"/>
      <c r="J50" s="29" t="s">
        <v>58</v>
      </c>
      <c r="K50" s="29"/>
      <c r="L50" s="29" t="s">
        <v>60</v>
      </c>
      <c r="M50" s="29"/>
      <c r="N50" s="29" t="s">
        <v>60</v>
      </c>
      <c r="O50" s="29"/>
      <c r="P50" s="29" t="str">
        <f t="shared" si="0"/>
        <v>Yes</v>
      </c>
      <c r="Q50" s="29"/>
      <c r="R50" s="29"/>
      <c r="S50" s="29" t="s">
        <v>60</v>
      </c>
      <c r="T50" s="29"/>
      <c r="U50" s="29" t="s">
        <v>60</v>
      </c>
      <c r="V50" s="29"/>
      <c r="W50" s="29" t="s">
        <v>58</v>
      </c>
      <c r="X50" s="29"/>
      <c r="Y50" s="29" t="s">
        <v>60</v>
      </c>
      <c r="Z50" s="29"/>
      <c r="AA50" s="29" t="str">
        <f t="shared" si="3"/>
        <v>Yes</v>
      </c>
    </row>
    <row r="51" spans="1:27" ht="13.2" x14ac:dyDescent="0.25">
      <c r="B51" s="134" t="s">
        <v>1531</v>
      </c>
      <c r="C51" s="134" t="s">
        <v>1427</v>
      </c>
      <c r="D51" s="81" t="s">
        <v>1494</v>
      </c>
      <c r="E51" s="280" t="s">
        <v>58</v>
      </c>
      <c r="F51" s="280"/>
      <c r="G51" s="142" t="s">
        <v>1504</v>
      </c>
      <c r="H51" s="142"/>
      <c r="I51" s="29"/>
      <c r="J51" s="29" t="s">
        <v>58</v>
      </c>
      <c r="K51" s="29"/>
      <c r="L51" s="29" t="s">
        <v>60</v>
      </c>
      <c r="M51" s="29"/>
      <c r="N51" s="29" t="s">
        <v>60</v>
      </c>
      <c r="O51" s="29"/>
      <c r="P51" s="29" t="str">
        <f t="shared" si="0"/>
        <v>Yes</v>
      </c>
      <c r="Q51" s="29"/>
      <c r="R51" s="29"/>
      <c r="S51" s="29" t="s">
        <v>60</v>
      </c>
      <c r="T51" s="29"/>
      <c r="U51" s="29" t="s">
        <v>60</v>
      </c>
      <c r="V51" s="29"/>
      <c r="W51" s="29" t="s">
        <v>60</v>
      </c>
      <c r="X51" s="29"/>
      <c r="Y51" s="29" t="s">
        <v>60</v>
      </c>
      <c r="Z51" s="29"/>
      <c r="AA51" s="29" t="str">
        <f t="shared" si="3"/>
        <v>No</v>
      </c>
    </row>
    <row r="52" spans="1:27" ht="13.2" x14ac:dyDescent="0.25">
      <c r="A52" s="134" t="s">
        <v>76</v>
      </c>
      <c r="B52" s="134" t="s">
        <v>1532</v>
      </c>
      <c r="C52" s="134" t="s">
        <v>1413</v>
      </c>
      <c r="D52" s="81" t="s">
        <v>1494</v>
      </c>
      <c r="E52" s="280" t="s">
        <v>58</v>
      </c>
      <c r="F52" s="280"/>
      <c r="G52" s="142" t="s">
        <v>1495</v>
      </c>
      <c r="H52" s="142"/>
      <c r="I52" s="29"/>
      <c r="J52" s="29" t="s">
        <v>60</v>
      </c>
      <c r="K52" s="29"/>
      <c r="L52" s="29" t="s">
        <v>60</v>
      </c>
      <c r="M52" s="29"/>
      <c r="N52" s="29" t="s">
        <v>60</v>
      </c>
      <c r="O52" s="29"/>
      <c r="P52" s="29" t="str">
        <f t="shared" si="0"/>
        <v>No</v>
      </c>
      <c r="Q52" s="29"/>
      <c r="R52" s="29"/>
      <c r="S52" s="29" t="s">
        <v>60</v>
      </c>
      <c r="T52" s="29"/>
      <c r="U52" s="29" t="s">
        <v>58</v>
      </c>
      <c r="V52" s="29"/>
      <c r="W52" s="29" t="s">
        <v>60</v>
      </c>
      <c r="X52" s="29"/>
      <c r="Y52" s="29" t="s">
        <v>60</v>
      </c>
      <c r="Z52" s="29"/>
      <c r="AA52" s="29" t="str">
        <f t="shared" si="3"/>
        <v>Yes</v>
      </c>
    </row>
    <row r="53" spans="1:27" ht="13.2" x14ac:dyDescent="0.25">
      <c r="B53" s="134" t="s">
        <v>1532</v>
      </c>
      <c r="C53" s="134" t="s">
        <v>1413</v>
      </c>
      <c r="D53" s="81" t="s">
        <v>1497</v>
      </c>
      <c r="E53" s="280" t="s">
        <v>58</v>
      </c>
      <c r="F53" s="280"/>
      <c r="G53" s="142" t="s">
        <v>1495</v>
      </c>
      <c r="H53" s="142"/>
      <c r="I53" s="29"/>
      <c r="J53" s="29" t="s">
        <v>58</v>
      </c>
      <c r="K53" s="29"/>
      <c r="L53" s="29" t="s">
        <v>60</v>
      </c>
      <c r="M53" s="29"/>
      <c r="N53" s="29" t="s">
        <v>60</v>
      </c>
      <c r="O53" s="29"/>
      <c r="P53" s="29" t="str">
        <f t="shared" si="0"/>
        <v>Yes</v>
      </c>
      <c r="Q53" s="29"/>
      <c r="R53" s="29"/>
      <c r="S53" s="29" t="s">
        <v>60</v>
      </c>
      <c r="T53" s="29"/>
      <c r="U53" s="29" t="s">
        <v>60</v>
      </c>
      <c r="V53" s="29"/>
      <c r="W53" s="29" t="s">
        <v>60</v>
      </c>
      <c r="X53" s="29"/>
      <c r="Y53" s="29" t="s">
        <v>60</v>
      </c>
      <c r="Z53" s="29"/>
      <c r="AA53" s="29" t="str">
        <f t="shared" si="3"/>
        <v>No</v>
      </c>
    </row>
    <row r="54" spans="1:27" ht="13.2" x14ac:dyDescent="0.25">
      <c r="A54" s="64" t="s">
        <v>77</v>
      </c>
      <c r="B54" s="64" t="s">
        <v>1533</v>
      </c>
      <c r="C54" s="134" t="s">
        <v>1428</v>
      </c>
      <c r="D54" s="81" t="s">
        <v>1494</v>
      </c>
      <c r="E54" s="280" t="s">
        <v>58</v>
      </c>
      <c r="F54" s="280"/>
      <c r="G54" s="142" t="s">
        <v>1495</v>
      </c>
      <c r="H54" s="142"/>
      <c r="I54" s="29"/>
      <c r="J54" s="29" t="s">
        <v>60</v>
      </c>
      <c r="K54" s="29"/>
      <c r="L54" s="29" t="s">
        <v>60</v>
      </c>
      <c r="M54" s="29"/>
      <c r="N54" s="29" t="s">
        <v>60</v>
      </c>
      <c r="O54" s="29"/>
      <c r="P54" s="29" t="str">
        <f t="shared" si="0"/>
        <v>No</v>
      </c>
      <c r="Q54" s="29"/>
      <c r="R54" s="29"/>
      <c r="S54" s="29" t="s">
        <v>58</v>
      </c>
      <c r="T54" s="29"/>
      <c r="U54" s="29" t="s">
        <v>58</v>
      </c>
      <c r="V54" s="29"/>
      <c r="W54" s="29" t="s">
        <v>60</v>
      </c>
      <c r="X54" s="29"/>
      <c r="Y54" s="29" t="s">
        <v>58</v>
      </c>
      <c r="Z54" s="29"/>
      <c r="AA54" s="29" t="str">
        <f t="shared" si="3"/>
        <v>Yes</v>
      </c>
    </row>
    <row r="55" spans="1:27" ht="13.2" x14ac:dyDescent="0.25">
      <c r="A55" s="64"/>
      <c r="B55" s="64" t="s">
        <v>1534</v>
      </c>
      <c r="C55" s="134" t="s">
        <v>1395</v>
      </c>
      <c r="D55" s="81" t="s">
        <v>1494</v>
      </c>
      <c r="E55" s="280" t="s">
        <v>58</v>
      </c>
      <c r="F55" s="280"/>
      <c r="G55" s="142" t="s">
        <v>1504</v>
      </c>
      <c r="H55" s="142"/>
      <c r="I55" s="29"/>
      <c r="J55" s="29" t="s">
        <v>1496</v>
      </c>
      <c r="K55" s="29"/>
      <c r="L55" s="29" t="s">
        <v>60</v>
      </c>
      <c r="M55" s="29"/>
      <c r="N55" s="29" t="s">
        <v>60</v>
      </c>
      <c r="O55" s="29"/>
      <c r="P55" s="29" t="str">
        <f t="shared" si="0"/>
        <v>Yes</v>
      </c>
      <c r="Q55" s="29"/>
      <c r="R55" s="29"/>
      <c r="S55" s="29" t="s">
        <v>60</v>
      </c>
      <c r="T55" s="29"/>
      <c r="U55" s="29" t="s">
        <v>58</v>
      </c>
      <c r="V55" s="29"/>
      <c r="W55" s="29" t="s">
        <v>58</v>
      </c>
      <c r="X55" s="29"/>
      <c r="Y55" s="29" t="s">
        <v>58</v>
      </c>
      <c r="Z55" s="29"/>
      <c r="AA55" s="29" t="str">
        <f t="shared" si="3"/>
        <v>Yes</v>
      </c>
    </row>
    <row r="56" spans="1:27" ht="13.2" x14ac:dyDescent="0.25">
      <c r="A56" s="64"/>
      <c r="B56" s="64" t="s">
        <v>1535</v>
      </c>
      <c r="C56" s="134" t="s">
        <v>1398</v>
      </c>
      <c r="D56" s="81" t="s">
        <v>1494</v>
      </c>
      <c r="E56" s="280" t="s">
        <v>58</v>
      </c>
      <c r="F56" s="280"/>
      <c r="G56" s="142" t="s">
        <v>1495</v>
      </c>
      <c r="H56" s="142"/>
      <c r="I56" s="29"/>
      <c r="J56" s="29" t="s">
        <v>1496</v>
      </c>
      <c r="K56" s="29"/>
      <c r="L56" s="29" t="s">
        <v>60</v>
      </c>
      <c r="M56" s="29"/>
      <c r="N56" s="29" t="s">
        <v>60</v>
      </c>
      <c r="O56" s="29"/>
      <c r="P56" s="29" t="str">
        <f t="shared" si="0"/>
        <v>Yes</v>
      </c>
      <c r="Q56" s="29"/>
      <c r="R56" s="29"/>
      <c r="S56" s="29" t="s">
        <v>60</v>
      </c>
      <c r="T56" s="29"/>
      <c r="U56" s="29" t="s">
        <v>60</v>
      </c>
      <c r="V56" s="29"/>
      <c r="W56" s="29" t="s">
        <v>60</v>
      </c>
      <c r="X56" s="29"/>
      <c r="Y56" s="29" t="s">
        <v>58</v>
      </c>
      <c r="Z56" s="29"/>
      <c r="AA56" s="29" t="str">
        <f t="shared" si="2"/>
        <v>Yes</v>
      </c>
    </row>
    <row r="57" spans="1:27" ht="13.2" x14ac:dyDescent="0.25">
      <c r="A57" s="64"/>
      <c r="B57" s="64" t="s">
        <v>1535</v>
      </c>
      <c r="C57" s="134" t="s">
        <v>1398</v>
      </c>
      <c r="D57" s="81" t="s">
        <v>1497</v>
      </c>
      <c r="E57" s="280" t="s">
        <v>58</v>
      </c>
      <c r="F57" s="280"/>
      <c r="G57" s="142" t="s">
        <v>1495</v>
      </c>
      <c r="H57" s="142"/>
      <c r="I57" s="29"/>
      <c r="J57" s="29" t="s">
        <v>1496</v>
      </c>
      <c r="K57" s="29"/>
      <c r="L57" s="29" t="s">
        <v>60</v>
      </c>
      <c r="M57" s="29"/>
      <c r="N57" s="29" t="s">
        <v>60</v>
      </c>
      <c r="O57" s="29"/>
      <c r="P57" s="29" t="str">
        <f t="shared" si="0"/>
        <v>Yes</v>
      </c>
      <c r="Q57" s="29"/>
      <c r="R57" s="29"/>
      <c r="S57" s="29" t="s">
        <v>60</v>
      </c>
      <c r="T57" s="29"/>
      <c r="U57" s="29" t="s">
        <v>60</v>
      </c>
      <c r="V57" s="29"/>
      <c r="W57" s="29" t="s">
        <v>58</v>
      </c>
      <c r="X57" s="29"/>
      <c r="Y57" s="29" t="s">
        <v>60</v>
      </c>
      <c r="Z57" s="29"/>
      <c r="AA57" s="29" t="str">
        <f t="shared" si="3"/>
        <v>Yes</v>
      </c>
    </row>
    <row r="58" spans="1:27" ht="13.2" x14ac:dyDescent="0.25">
      <c r="A58" s="64"/>
      <c r="B58" s="64" t="s">
        <v>1536</v>
      </c>
      <c r="C58" s="134" t="s">
        <v>1429</v>
      </c>
      <c r="D58" s="81" t="s">
        <v>1494</v>
      </c>
      <c r="E58" s="280" t="s">
        <v>58</v>
      </c>
      <c r="F58" s="280"/>
      <c r="G58" s="142" t="s">
        <v>1504</v>
      </c>
      <c r="H58" s="142"/>
      <c r="I58" s="29"/>
      <c r="J58" s="29" t="s">
        <v>60</v>
      </c>
      <c r="K58" s="29"/>
      <c r="L58" s="29" t="s">
        <v>60</v>
      </c>
      <c r="M58" s="29"/>
      <c r="N58" s="29" t="s">
        <v>60</v>
      </c>
      <c r="O58" s="29"/>
      <c r="P58" s="29" t="str">
        <f t="shared" si="0"/>
        <v>No</v>
      </c>
      <c r="Q58" s="29"/>
      <c r="R58" s="29"/>
      <c r="S58" s="29" t="s">
        <v>60</v>
      </c>
      <c r="T58" s="29"/>
      <c r="U58" s="29" t="s">
        <v>58</v>
      </c>
      <c r="V58" s="29"/>
      <c r="W58" s="29" t="s">
        <v>60</v>
      </c>
      <c r="X58" s="29"/>
      <c r="Y58" s="29" t="s">
        <v>58</v>
      </c>
      <c r="Z58" s="29"/>
      <c r="AA58" s="29" t="str">
        <f t="shared" si="3"/>
        <v>Yes</v>
      </c>
    </row>
    <row r="59" spans="1:27" ht="13.2" x14ac:dyDescent="0.25">
      <c r="A59" s="64"/>
      <c r="B59" s="64" t="s">
        <v>1537</v>
      </c>
      <c r="C59" s="134" t="s">
        <v>1429</v>
      </c>
      <c r="D59" s="81" t="s">
        <v>1497</v>
      </c>
      <c r="E59" s="280" t="s">
        <v>58</v>
      </c>
      <c r="F59" s="280"/>
      <c r="G59" s="142" t="s">
        <v>1504</v>
      </c>
      <c r="H59" s="142"/>
      <c r="I59" s="29"/>
      <c r="J59" s="29" t="s">
        <v>1538</v>
      </c>
      <c r="K59" s="29"/>
      <c r="L59" s="29" t="s">
        <v>60</v>
      </c>
      <c r="M59" s="29"/>
      <c r="N59" s="29" t="s">
        <v>60</v>
      </c>
      <c r="O59" s="29"/>
      <c r="P59" s="29" t="str">
        <f t="shared" si="0"/>
        <v>Yes</v>
      </c>
      <c r="Q59" s="29"/>
      <c r="R59" s="29"/>
      <c r="S59" s="29" t="s">
        <v>60</v>
      </c>
      <c r="T59" s="29"/>
      <c r="U59" s="29" t="s">
        <v>60</v>
      </c>
      <c r="V59" s="29"/>
      <c r="W59" s="29" t="s">
        <v>58</v>
      </c>
      <c r="X59" s="29"/>
      <c r="Y59" s="29" t="s">
        <v>60</v>
      </c>
      <c r="Z59" s="29"/>
      <c r="AA59" s="29" t="str">
        <f t="shared" si="3"/>
        <v>Yes</v>
      </c>
    </row>
    <row r="60" spans="1:27" ht="13.2" x14ac:dyDescent="0.25">
      <c r="A60" s="64"/>
      <c r="B60" s="64" t="s">
        <v>1539</v>
      </c>
      <c r="C60" s="134" t="s">
        <v>1403</v>
      </c>
      <c r="D60" s="81" t="s">
        <v>1494</v>
      </c>
      <c r="E60" s="280" t="s">
        <v>60</v>
      </c>
      <c r="F60" s="280"/>
      <c r="G60" s="142" t="s">
        <v>1500</v>
      </c>
      <c r="H60" s="142"/>
      <c r="I60" s="29"/>
      <c r="J60" s="29" t="s">
        <v>1496</v>
      </c>
      <c r="K60" s="29"/>
      <c r="L60" s="29" t="s">
        <v>60</v>
      </c>
      <c r="M60" s="29"/>
      <c r="N60" s="29" t="s">
        <v>60</v>
      </c>
      <c r="O60" s="29"/>
      <c r="P60" s="29" t="str">
        <f t="shared" si="0"/>
        <v>Yes</v>
      </c>
      <c r="Q60" s="29"/>
      <c r="R60" s="29"/>
      <c r="S60" s="29" t="s">
        <v>60</v>
      </c>
      <c r="T60" s="29"/>
      <c r="U60" s="29" t="s">
        <v>58</v>
      </c>
      <c r="V60" s="29"/>
      <c r="W60" s="29" t="s">
        <v>58</v>
      </c>
      <c r="X60" s="29"/>
      <c r="Y60" s="29" t="s">
        <v>60</v>
      </c>
      <c r="Z60" s="29"/>
      <c r="AA60" s="29" t="str">
        <f t="shared" si="3"/>
        <v>Yes</v>
      </c>
    </row>
    <row r="61" spans="1:27" ht="13.2" x14ac:dyDescent="0.25">
      <c r="A61" s="64"/>
      <c r="B61" s="64" t="s">
        <v>1539</v>
      </c>
      <c r="C61" s="134" t="s">
        <v>1403</v>
      </c>
      <c r="D61" s="81" t="s">
        <v>1497</v>
      </c>
      <c r="E61" s="280" t="s">
        <v>58</v>
      </c>
      <c r="F61" s="280"/>
      <c r="G61" s="142" t="s">
        <v>1500</v>
      </c>
      <c r="H61" s="142"/>
      <c r="I61" s="29"/>
      <c r="J61" s="29" t="s">
        <v>60</v>
      </c>
      <c r="K61" s="29"/>
      <c r="L61" s="29" t="s">
        <v>60</v>
      </c>
      <c r="M61" s="29"/>
      <c r="N61" s="29" t="s">
        <v>58</v>
      </c>
      <c r="O61" s="29"/>
      <c r="P61" s="29" t="str">
        <f t="shared" si="0"/>
        <v>Yes</v>
      </c>
      <c r="Q61" s="29"/>
      <c r="R61" s="29"/>
      <c r="S61" s="29" t="s">
        <v>60</v>
      </c>
      <c r="T61" s="29"/>
      <c r="U61" s="29" t="s">
        <v>60</v>
      </c>
      <c r="V61" s="29"/>
      <c r="W61" s="29" t="s">
        <v>58</v>
      </c>
      <c r="X61" s="29"/>
      <c r="Y61" s="29" t="s">
        <v>58</v>
      </c>
      <c r="Z61" s="29"/>
      <c r="AA61" s="29" t="str">
        <f t="shared" si="3"/>
        <v>Yes</v>
      </c>
    </row>
    <row r="62" spans="1:27" ht="13.2" x14ac:dyDescent="0.25">
      <c r="A62" s="64"/>
      <c r="B62" s="64" t="s">
        <v>1536</v>
      </c>
      <c r="C62" s="134" t="s">
        <v>1430</v>
      </c>
      <c r="D62" s="81" t="s">
        <v>1494</v>
      </c>
      <c r="E62" s="280" t="s">
        <v>58</v>
      </c>
      <c r="F62" s="280"/>
      <c r="G62" s="142" t="s">
        <v>1504</v>
      </c>
      <c r="H62" s="142"/>
      <c r="I62" s="29"/>
      <c r="J62" s="29" t="s">
        <v>60</v>
      </c>
      <c r="K62" s="29"/>
      <c r="L62" s="29" t="s">
        <v>60</v>
      </c>
      <c r="M62" s="29"/>
      <c r="N62" s="29" t="s">
        <v>60</v>
      </c>
      <c r="O62" s="29"/>
      <c r="P62" s="29" t="str">
        <f t="shared" si="0"/>
        <v>No</v>
      </c>
      <c r="Q62" s="29"/>
      <c r="R62" s="29"/>
      <c r="S62" s="29" t="s">
        <v>60</v>
      </c>
      <c r="T62" s="29"/>
      <c r="U62" s="29" t="s">
        <v>58</v>
      </c>
      <c r="V62" s="29"/>
      <c r="W62" s="29" t="s">
        <v>60</v>
      </c>
      <c r="X62" s="29"/>
      <c r="Y62" s="29" t="s">
        <v>58</v>
      </c>
      <c r="Z62" s="29"/>
      <c r="AA62" s="29" t="str">
        <f t="shared" si="3"/>
        <v>Yes</v>
      </c>
    </row>
    <row r="63" spans="1:27" ht="13.2" x14ac:dyDescent="0.25">
      <c r="A63" s="64"/>
      <c r="B63" s="64" t="s">
        <v>1537</v>
      </c>
      <c r="C63" s="134" t="s">
        <v>1430</v>
      </c>
      <c r="D63" s="81" t="s">
        <v>1497</v>
      </c>
      <c r="E63" s="280" t="s">
        <v>58</v>
      </c>
      <c r="F63" s="280"/>
      <c r="G63" s="142" t="s">
        <v>1504</v>
      </c>
      <c r="H63" s="142"/>
      <c r="I63" s="29"/>
      <c r="J63" s="29" t="s">
        <v>1496</v>
      </c>
      <c r="K63" s="29"/>
      <c r="L63" s="29" t="s">
        <v>60</v>
      </c>
      <c r="M63" s="29"/>
      <c r="N63" s="29" t="s">
        <v>60</v>
      </c>
      <c r="O63" s="29"/>
      <c r="P63" s="29" t="str">
        <f t="shared" si="0"/>
        <v>Yes</v>
      </c>
      <c r="Q63" s="29"/>
      <c r="R63" s="29"/>
      <c r="S63" s="29" t="s">
        <v>60</v>
      </c>
      <c r="T63" s="29"/>
      <c r="U63" s="29" t="s">
        <v>60</v>
      </c>
      <c r="V63" s="29"/>
      <c r="W63" s="29" t="s">
        <v>60</v>
      </c>
      <c r="X63" s="29"/>
      <c r="Y63" s="29" t="s">
        <v>60</v>
      </c>
      <c r="Z63" s="29"/>
      <c r="AA63" s="29" t="str">
        <f t="shared" si="3"/>
        <v>No</v>
      </c>
    </row>
    <row r="64" spans="1:27" ht="13.2" x14ac:dyDescent="0.25">
      <c r="A64" s="64"/>
      <c r="B64" s="64" t="s">
        <v>1537</v>
      </c>
      <c r="C64" s="134" t="s">
        <v>1415</v>
      </c>
      <c r="D64" s="81" t="s">
        <v>1497</v>
      </c>
      <c r="E64" s="280" t="s">
        <v>58</v>
      </c>
      <c r="F64" s="280"/>
      <c r="G64" s="142" t="s">
        <v>1495</v>
      </c>
      <c r="H64" s="142"/>
      <c r="I64" s="29"/>
      <c r="J64" s="29" t="s">
        <v>1496</v>
      </c>
      <c r="K64" s="29"/>
      <c r="L64" s="29" t="s">
        <v>60</v>
      </c>
      <c r="M64" s="29"/>
      <c r="N64" s="29" t="s">
        <v>60</v>
      </c>
      <c r="O64" s="29"/>
      <c r="P64" s="29" t="str">
        <f t="shared" si="0"/>
        <v>Yes</v>
      </c>
      <c r="Q64" s="29"/>
      <c r="R64" s="29"/>
      <c r="S64" s="29" t="s">
        <v>60</v>
      </c>
      <c r="T64" s="29"/>
      <c r="U64" s="29" t="s">
        <v>60</v>
      </c>
      <c r="V64" s="29"/>
      <c r="W64" s="29" t="s">
        <v>58</v>
      </c>
      <c r="X64" s="29"/>
      <c r="Y64" s="29" t="s">
        <v>60</v>
      </c>
      <c r="Z64" s="29"/>
      <c r="AA64" s="29" t="str">
        <f t="shared" si="2"/>
        <v>Yes</v>
      </c>
    </row>
    <row r="65" spans="1:27" ht="13.2" x14ac:dyDescent="0.25">
      <c r="A65" s="64" t="s">
        <v>79</v>
      </c>
      <c r="B65" s="64" t="s">
        <v>1540</v>
      </c>
      <c r="C65" s="134" t="s">
        <v>1411</v>
      </c>
      <c r="D65" s="81" t="s">
        <v>1494</v>
      </c>
      <c r="E65" s="280" t="s">
        <v>58</v>
      </c>
      <c r="F65" s="280"/>
      <c r="G65" s="142" t="s">
        <v>1495</v>
      </c>
      <c r="H65" s="142"/>
      <c r="I65" s="29"/>
      <c r="J65" s="29" t="s">
        <v>1496</v>
      </c>
      <c r="K65" s="29"/>
      <c r="L65" s="29" t="s">
        <v>58</v>
      </c>
      <c r="M65" s="29"/>
      <c r="N65" s="29" t="s">
        <v>60</v>
      </c>
      <c r="O65" s="29"/>
      <c r="P65" s="29" t="str">
        <f t="shared" si="0"/>
        <v>Yes</v>
      </c>
      <c r="Q65" s="29"/>
      <c r="R65" s="29"/>
      <c r="S65" s="29" t="s">
        <v>58</v>
      </c>
      <c r="T65" s="29"/>
      <c r="U65" s="29" t="s">
        <v>58</v>
      </c>
      <c r="V65" s="29"/>
      <c r="W65" s="29" t="s">
        <v>58</v>
      </c>
      <c r="X65" s="29"/>
      <c r="Y65" s="29" t="s">
        <v>60</v>
      </c>
      <c r="Z65" s="29"/>
      <c r="AA65" s="29" t="str">
        <f t="shared" si="3"/>
        <v>Yes</v>
      </c>
    </row>
    <row r="66" spans="1:27" ht="13.2" x14ac:dyDescent="0.25">
      <c r="A66" s="64"/>
      <c r="B66" s="64" t="s">
        <v>1541</v>
      </c>
      <c r="C66" s="134" t="s">
        <v>1542</v>
      </c>
      <c r="D66" s="81" t="s">
        <v>1494</v>
      </c>
      <c r="E66" s="280" t="s">
        <v>58</v>
      </c>
      <c r="F66" s="280"/>
      <c r="G66" s="142" t="s">
        <v>1500</v>
      </c>
      <c r="H66" s="142"/>
      <c r="I66" s="29"/>
      <c r="J66" s="29" t="s">
        <v>60</v>
      </c>
      <c r="K66" s="29"/>
      <c r="L66" s="29" t="s">
        <v>58</v>
      </c>
      <c r="M66" s="29"/>
      <c r="N66" s="29" t="s">
        <v>60</v>
      </c>
      <c r="O66" s="29"/>
      <c r="P66" s="29" t="str">
        <f t="shared" si="0"/>
        <v>Yes</v>
      </c>
      <c r="Q66" s="29"/>
      <c r="R66" s="29"/>
      <c r="S66" s="29" t="s">
        <v>60</v>
      </c>
      <c r="T66" s="29"/>
      <c r="U66" s="29" t="s">
        <v>58</v>
      </c>
      <c r="V66" s="29"/>
      <c r="W66" s="29" t="s">
        <v>60</v>
      </c>
      <c r="X66" s="29"/>
      <c r="Y66" s="29" t="s">
        <v>58</v>
      </c>
      <c r="Z66" s="29"/>
      <c r="AA66" s="29" t="str">
        <f t="shared" si="3"/>
        <v>Yes</v>
      </c>
    </row>
    <row r="67" spans="1:27" ht="13.2" x14ac:dyDescent="0.25">
      <c r="A67" s="64"/>
      <c r="B67" s="64" t="s">
        <v>1541</v>
      </c>
      <c r="C67" s="134" t="s">
        <v>1542</v>
      </c>
      <c r="D67" s="81" t="s">
        <v>1497</v>
      </c>
      <c r="E67" s="280" t="s">
        <v>58</v>
      </c>
      <c r="F67" s="280"/>
      <c r="G67" s="142" t="s">
        <v>1500</v>
      </c>
      <c r="H67" s="142"/>
      <c r="I67" s="29"/>
      <c r="J67" s="29" t="s">
        <v>60</v>
      </c>
      <c r="K67" s="29"/>
      <c r="L67" s="29" t="s">
        <v>58</v>
      </c>
      <c r="M67" s="29"/>
      <c r="N67" s="29" t="s">
        <v>60</v>
      </c>
      <c r="O67" s="29"/>
      <c r="P67" s="29" t="str">
        <f t="shared" si="0"/>
        <v>Yes</v>
      </c>
      <c r="Q67" s="29"/>
      <c r="R67" s="29"/>
      <c r="S67" s="29" t="s">
        <v>60</v>
      </c>
      <c r="T67" s="29"/>
      <c r="U67" s="29" t="s">
        <v>60</v>
      </c>
      <c r="V67" s="29"/>
      <c r="W67" s="29" t="s">
        <v>60</v>
      </c>
      <c r="X67" s="29"/>
      <c r="Y67" s="29" t="s">
        <v>60</v>
      </c>
      <c r="Z67" s="29"/>
      <c r="AA67" s="29" t="str">
        <f t="shared" si="3"/>
        <v>No</v>
      </c>
    </row>
    <row r="68" spans="1:27" ht="13.2" x14ac:dyDescent="0.25">
      <c r="A68" s="64"/>
      <c r="B68" s="64" t="s">
        <v>1543</v>
      </c>
      <c r="C68" s="134" t="s">
        <v>1544</v>
      </c>
      <c r="D68" s="81" t="s">
        <v>1494</v>
      </c>
      <c r="E68" s="280" t="s">
        <v>58</v>
      </c>
      <c r="F68" s="280"/>
      <c r="G68" s="142" t="s">
        <v>1504</v>
      </c>
      <c r="H68" s="142"/>
      <c r="I68" s="29"/>
      <c r="J68" s="29" t="s">
        <v>1496</v>
      </c>
      <c r="K68" s="29"/>
      <c r="L68" s="29" t="s">
        <v>58</v>
      </c>
      <c r="M68" s="29"/>
      <c r="N68" s="29" t="s">
        <v>60</v>
      </c>
      <c r="O68" s="29"/>
      <c r="P68" s="29" t="str">
        <f t="shared" si="0"/>
        <v>Yes</v>
      </c>
      <c r="Q68" s="29"/>
      <c r="R68" s="29"/>
      <c r="S68" s="29" t="s">
        <v>60</v>
      </c>
      <c r="T68" s="29"/>
      <c r="U68" s="29" t="s">
        <v>60</v>
      </c>
      <c r="V68" s="29"/>
      <c r="W68" s="29" t="s">
        <v>60</v>
      </c>
      <c r="X68" s="29"/>
      <c r="Y68" s="29" t="s">
        <v>58</v>
      </c>
      <c r="Z68" s="29"/>
      <c r="AA68" s="29" t="str">
        <f t="shared" si="3"/>
        <v>Yes</v>
      </c>
    </row>
    <row r="69" spans="1:27" ht="13.2" x14ac:dyDescent="0.25">
      <c r="A69" s="64"/>
      <c r="B69" s="64" t="s">
        <v>1543</v>
      </c>
      <c r="C69" s="134" t="s">
        <v>1544</v>
      </c>
      <c r="D69" s="81" t="s">
        <v>1497</v>
      </c>
      <c r="E69" s="280" t="s">
        <v>58</v>
      </c>
      <c r="F69" s="280"/>
      <c r="G69" s="142" t="s">
        <v>1504</v>
      </c>
      <c r="H69" s="142"/>
      <c r="I69" s="29"/>
      <c r="J69" s="29" t="s">
        <v>60</v>
      </c>
      <c r="K69" s="29"/>
      <c r="L69" s="29" t="s">
        <v>58</v>
      </c>
      <c r="M69" s="29"/>
      <c r="N69" s="29" t="s">
        <v>60</v>
      </c>
      <c r="O69" s="29"/>
      <c r="P69" s="29" t="str">
        <f t="shared" si="0"/>
        <v>Yes</v>
      </c>
      <c r="Q69" s="29"/>
      <c r="R69" s="29"/>
      <c r="S69" s="29" t="s">
        <v>60</v>
      </c>
      <c r="T69" s="29"/>
      <c r="U69" s="29" t="s">
        <v>60</v>
      </c>
      <c r="V69" s="29"/>
      <c r="W69" s="29" t="s">
        <v>58</v>
      </c>
      <c r="X69" s="29"/>
      <c r="Y69" s="29" t="s">
        <v>60</v>
      </c>
      <c r="Z69" s="29"/>
      <c r="AA69" s="29" t="str">
        <f t="shared" si="3"/>
        <v>Yes</v>
      </c>
    </row>
    <row r="70" spans="1:27" ht="13.2" x14ac:dyDescent="0.25">
      <c r="A70" s="64"/>
      <c r="B70" s="64" t="s">
        <v>1545</v>
      </c>
      <c r="C70" s="134" t="s">
        <v>1432</v>
      </c>
      <c r="D70" s="81" t="s">
        <v>1494</v>
      </c>
      <c r="E70" s="280" t="s">
        <v>58</v>
      </c>
      <c r="F70" s="280"/>
      <c r="G70" s="142" t="s">
        <v>1495</v>
      </c>
      <c r="H70" s="142"/>
      <c r="I70" s="29"/>
      <c r="J70" s="29" t="s">
        <v>1496</v>
      </c>
      <c r="K70" s="29"/>
      <c r="L70" s="29" t="s">
        <v>58</v>
      </c>
      <c r="M70" s="29"/>
      <c r="N70" s="29" t="s">
        <v>60</v>
      </c>
      <c r="O70" s="29"/>
      <c r="P70" s="29" t="str">
        <f t="shared" si="0"/>
        <v>Yes</v>
      </c>
      <c r="Q70" s="29"/>
      <c r="R70" s="29"/>
      <c r="S70" s="29" t="s">
        <v>60</v>
      </c>
      <c r="T70" s="29"/>
      <c r="U70" s="29" t="s">
        <v>60</v>
      </c>
      <c r="V70" s="29"/>
      <c r="W70" s="29" t="s">
        <v>60</v>
      </c>
      <c r="X70" s="29"/>
      <c r="Y70" s="29" t="s">
        <v>60</v>
      </c>
      <c r="Z70" s="29"/>
      <c r="AA70" s="29" t="str">
        <f t="shared" si="3"/>
        <v>No</v>
      </c>
    </row>
    <row r="71" spans="1:27" ht="13.2" x14ac:dyDescent="0.25">
      <c r="A71" s="64"/>
      <c r="B71" s="64" t="s">
        <v>1546</v>
      </c>
      <c r="C71" s="134" t="s">
        <v>1547</v>
      </c>
      <c r="D71" s="81" t="s">
        <v>1494</v>
      </c>
      <c r="E71" s="280" t="s">
        <v>58</v>
      </c>
      <c r="F71" s="280"/>
      <c r="G71" s="142" t="s">
        <v>1504</v>
      </c>
      <c r="H71" s="142"/>
      <c r="I71" s="29"/>
      <c r="J71" s="29" t="s">
        <v>60</v>
      </c>
      <c r="K71" s="29"/>
      <c r="L71" s="29" t="s">
        <v>60</v>
      </c>
      <c r="M71" s="29"/>
      <c r="N71" s="29" t="s">
        <v>60</v>
      </c>
      <c r="O71" s="29"/>
      <c r="P71" s="29" t="str">
        <f t="shared" si="0"/>
        <v>No</v>
      </c>
      <c r="Q71" s="29"/>
      <c r="R71" s="29"/>
      <c r="S71" s="29" t="s">
        <v>58</v>
      </c>
      <c r="T71" s="29"/>
      <c r="U71" s="29" t="s">
        <v>60</v>
      </c>
      <c r="V71" s="29"/>
      <c r="W71" s="29" t="s">
        <v>58</v>
      </c>
      <c r="X71" s="29"/>
      <c r="Y71" s="29" t="s">
        <v>60</v>
      </c>
      <c r="Z71" s="29"/>
      <c r="AA71" s="29" t="str">
        <f t="shared" si="3"/>
        <v>Yes</v>
      </c>
    </row>
    <row r="72" spans="1:27" ht="13.2" x14ac:dyDescent="0.25">
      <c r="A72" s="64" t="s">
        <v>81</v>
      </c>
      <c r="B72" s="64" t="s">
        <v>1548</v>
      </c>
      <c r="C72" s="134" t="s">
        <v>1424</v>
      </c>
      <c r="D72" s="81" t="s">
        <v>1494</v>
      </c>
      <c r="E72" s="280" t="s">
        <v>58</v>
      </c>
      <c r="F72" s="280"/>
      <c r="G72" s="142" t="s">
        <v>1504</v>
      </c>
      <c r="H72" s="142"/>
      <c r="I72" s="29"/>
      <c r="J72" s="29" t="s">
        <v>1496</v>
      </c>
      <c r="K72" s="29"/>
      <c r="L72" s="29" t="s">
        <v>60</v>
      </c>
      <c r="M72" s="29"/>
      <c r="N72" s="29" t="s">
        <v>60</v>
      </c>
      <c r="O72" s="29"/>
      <c r="P72" s="29" t="str">
        <f t="shared" si="0"/>
        <v>Yes</v>
      </c>
      <c r="Q72" s="29"/>
      <c r="R72" s="29"/>
      <c r="S72" s="29" t="s">
        <v>60</v>
      </c>
      <c r="T72" s="29"/>
      <c r="U72" s="29" t="s">
        <v>58</v>
      </c>
      <c r="V72" s="29"/>
      <c r="W72" s="29" t="s">
        <v>60</v>
      </c>
      <c r="X72" s="29"/>
      <c r="Y72" s="29" t="s">
        <v>58</v>
      </c>
      <c r="Z72" s="29"/>
      <c r="AA72" s="29" t="str">
        <f t="shared" si="2"/>
        <v>Yes</v>
      </c>
    </row>
    <row r="73" spans="1:27" ht="13.2" x14ac:dyDescent="0.25">
      <c r="A73" s="64"/>
      <c r="B73" s="64" t="s">
        <v>1549</v>
      </c>
      <c r="C73" s="134" t="s">
        <v>1424</v>
      </c>
      <c r="D73" s="81" t="s">
        <v>1494</v>
      </c>
      <c r="E73" s="280" t="s">
        <v>58</v>
      </c>
      <c r="F73" s="280"/>
      <c r="G73" s="142" t="s">
        <v>1504</v>
      </c>
      <c r="H73" s="142"/>
      <c r="I73" s="29"/>
      <c r="J73" s="29" t="s">
        <v>60</v>
      </c>
      <c r="K73" s="29"/>
      <c r="L73" s="29" t="s">
        <v>60</v>
      </c>
      <c r="M73" s="29"/>
      <c r="N73" s="29" t="s">
        <v>60</v>
      </c>
      <c r="O73" s="29"/>
      <c r="P73" s="29" t="str">
        <f t="shared" ref="P73:P119" si="4">IF(AND(J73="No",L73="No",N73="No"),"No","Yes")</f>
        <v>No</v>
      </c>
      <c r="Q73" s="29"/>
      <c r="R73" s="29"/>
      <c r="S73" s="29" t="s">
        <v>60</v>
      </c>
      <c r="T73" s="29"/>
      <c r="U73" s="29" t="s">
        <v>60</v>
      </c>
      <c r="V73" s="29"/>
      <c r="W73" s="29" t="s">
        <v>58</v>
      </c>
      <c r="X73" s="29"/>
      <c r="Y73" s="29" t="s">
        <v>60</v>
      </c>
      <c r="Z73" s="29"/>
      <c r="AA73" s="29" t="str">
        <f t="shared" si="2"/>
        <v>Yes</v>
      </c>
    </row>
    <row r="74" spans="1:27" ht="13.2" x14ac:dyDescent="0.25">
      <c r="A74" s="64"/>
      <c r="B74" s="64" t="s">
        <v>1550</v>
      </c>
      <c r="C74" s="134" t="s">
        <v>1410</v>
      </c>
      <c r="D74" s="81" t="s">
        <v>1494</v>
      </c>
      <c r="E74" s="280" t="s">
        <v>58</v>
      </c>
      <c r="F74" s="280"/>
      <c r="G74" s="142" t="s">
        <v>1504</v>
      </c>
      <c r="H74" s="142"/>
      <c r="I74" s="29"/>
      <c r="J74" s="29" t="s">
        <v>1496</v>
      </c>
      <c r="K74" s="29"/>
      <c r="L74" s="29" t="s">
        <v>60</v>
      </c>
      <c r="M74" s="29"/>
      <c r="N74" s="29" t="s">
        <v>60</v>
      </c>
      <c r="O74" s="29"/>
      <c r="P74" s="29" t="str">
        <f t="shared" si="4"/>
        <v>Yes</v>
      </c>
      <c r="Q74" s="29"/>
      <c r="R74" s="29"/>
      <c r="S74" s="29" t="s">
        <v>60</v>
      </c>
      <c r="T74" s="29"/>
      <c r="U74" s="29" t="s">
        <v>60</v>
      </c>
      <c r="V74" s="29"/>
      <c r="W74" s="29" t="s">
        <v>58</v>
      </c>
      <c r="X74" s="29"/>
      <c r="Y74" s="29" t="s">
        <v>60</v>
      </c>
      <c r="Z74" s="29"/>
      <c r="AA74" s="29" t="str">
        <f t="shared" si="2"/>
        <v>Yes</v>
      </c>
    </row>
    <row r="75" spans="1:27" ht="13.2" x14ac:dyDescent="0.25">
      <c r="A75" s="64"/>
      <c r="B75" s="64" t="s">
        <v>1551</v>
      </c>
      <c r="C75" s="134" t="s">
        <v>1410</v>
      </c>
      <c r="D75" s="81" t="s">
        <v>1494</v>
      </c>
      <c r="E75" s="280" t="s">
        <v>58</v>
      </c>
      <c r="F75" s="280"/>
      <c r="G75" s="142" t="s">
        <v>1504</v>
      </c>
      <c r="H75" s="142"/>
      <c r="I75" s="29"/>
      <c r="J75" s="29" t="s">
        <v>1496</v>
      </c>
      <c r="K75" s="29"/>
      <c r="L75" s="29" t="s">
        <v>60</v>
      </c>
      <c r="M75" s="29"/>
      <c r="N75" s="29" t="s">
        <v>60</v>
      </c>
      <c r="O75" s="29"/>
      <c r="P75" s="29" t="str">
        <f t="shared" si="4"/>
        <v>Yes</v>
      </c>
      <c r="Q75" s="29"/>
      <c r="R75" s="29"/>
      <c r="S75" s="29" t="s">
        <v>60</v>
      </c>
      <c r="T75" s="29"/>
      <c r="U75" s="29" t="s">
        <v>58</v>
      </c>
      <c r="V75" s="29"/>
      <c r="W75" s="29" t="s">
        <v>58</v>
      </c>
      <c r="X75" s="29"/>
      <c r="Y75" s="29" t="s">
        <v>60</v>
      </c>
      <c r="Z75" s="29"/>
      <c r="AA75" s="29" t="str">
        <f t="shared" si="2"/>
        <v>Yes</v>
      </c>
    </row>
    <row r="76" spans="1:27" ht="13.2" x14ac:dyDescent="0.25">
      <c r="A76" s="64" t="s">
        <v>83</v>
      </c>
      <c r="B76" s="64" t="s">
        <v>1552</v>
      </c>
      <c r="C76" s="134" t="s">
        <v>1420</v>
      </c>
      <c r="D76" s="134" t="s">
        <v>1494</v>
      </c>
      <c r="E76" s="279" t="s">
        <v>1522</v>
      </c>
      <c r="F76" s="279"/>
      <c r="G76" s="142" t="s">
        <v>1495</v>
      </c>
      <c r="H76" s="142"/>
      <c r="I76" s="29"/>
      <c r="J76" s="29" t="s">
        <v>1538</v>
      </c>
      <c r="K76" s="29"/>
      <c r="L76" s="29" t="s">
        <v>60</v>
      </c>
      <c r="M76" s="29"/>
      <c r="N76" s="29" t="s">
        <v>60</v>
      </c>
      <c r="O76" s="29"/>
      <c r="P76" s="29" t="s">
        <v>60</v>
      </c>
      <c r="Q76" s="29"/>
      <c r="R76" s="29"/>
      <c r="S76" s="29" t="s">
        <v>60</v>
      </c>
      <c r="T76" s="29"/>
      <c r="U76" s="29" t="s">
        <v>60</v>
      </c>
      <c r="V76" s="29"/>
      <c r="W76" s="29" t="s">
        <v>60</v>
      </c>
      <c r="X76" s="29"/>
      <c r="Y76" s="29" t="s">
        <v>60</v>
      </c>
      <c r="Z76" s="29"/>
      <c r="AA76" s="29" t="str">
        <f t="shared" si="2"/>
        <v>No</v>
      </c>
    </row>
    <row r="77" spans="1:27" ht="13.2" x14ac:dyDescent="0.25">
      <c r="A77" s="64"/>
      <c r="B77" s="64" t="s">
        <v>1552</v>
      </c>
      <c r="C77" s="134" t="s">
        <v>1421</v>
      </c>
      <c r="D77" s="134" t="s">
        <v>1494</v>
      </c>
      <c r="E77" s="279" t="s">
        <v>58</v>
      </c>
      <c r="F77" s="279"/>
      <c r="G77" s="142" t="s">
        <v>1504</v>
      </c>
      <c r="H77" s="142"/>
      <c r="I77" s="29"/>
      <c r="J77" s="29" t="s">
        <v>60</v>
      </c>
      <c r="K77" s="29"/>
      <c r="L77" s="29" t="s">
        <v>60</v>
      </c>
      <c r="M77" s="29"/>
      <c r="N77" s="29" t="s">
        <v>60</v>
      </c>
      <c r="O77" s="29"/>
      <c r="P77" s="29" t="str">
        <f t="shared" si="4"/>
        <v>No</v>
      </c>
      <c r="Q77" s="29"/>
      <c r="R77" s="29"/>
      <c r="S77" s="29" t="s">
        <v>60</v>
      </c>
      <c r="T77" s="29"/>
      <c r="U77" s="29" t="s">
        <v>60</v>
      </c>
      <c r="V77" s="29"/>
      <c r="W77" s="29" t="s">
        <v>60</v>
      </c>
      <c r="X77" s="29"/>
      <c r="Y77" s="29" t="s">
        <v>60</v>
      </c>
      <c r="Z77" s="29"/>
      <c r="AA77" s="29" t="str">
        <f t="shared" si="2"/>
        <v>No</v>
      </c>
    </row>
    <row r="78" spans="1:27" ht="13.2" x14ac:dyDescent="0.25">
      <c r="A78" s="64" t="s">
        <v>85</v>
      </c>
      <c r="B78" s="64" t="s">
        <v>1553</v>
      </c>
      <c r="C78" s="134" t="s">
        <v>1408</v>
      </c>
      <c r="D78" s="134" t="s">
        <v>1494</v>
      </c>
      <c r="E78" s="279" t="s">
        <v>58</v>
      </c>
      <c r="F78" s="279"/>
      <c r="G78" s="142" t="s">
        <v>1495</v>
      </c>
      <c r="H78" s="142"/>
      <c r="I78" s="29"/>
      <c r="J78" s="29" t="s">
        <v>60</v>
      </c>
      <c r="K78" s="29"/>
      <c r="L78" s="29" t="s">
        <v>60</v>
      </c>
      <c r="M78" s="29"/>
      <c r="N78" s="29" t="s">
        <v>60</v>
      </c>
      <c r="O78" s="29"/>
      <c r="P78" s="29" t="str">
        <f t="shared" si="4"/>
        <v>No</v>
      </c>
      <c r="Q78" s="29"/>
      <c r="R78" s="29"/>
      <c r="S78" s="29" t="s">
        <v>60</v>
      </c>
      <c r="T78" s="29"/>
      <c r="U78" s="29" t="s">
        <v>58</v>
      </c>
      <c r="V78" s="29"/>
      <c r="W78" s="29" t="s">
        <v>60</v>
      </c>
      <c r="X78" s="29"/>
      <c r="Y78" s="29" t="s">
        <v>60</v>
      </c>
      <c r="Z78" s="29"/>
      <c r="AA78" s="29" t="str">
        <f t="shared" ref="AA78" si="5">IF(AND(S78="No",U78="No",W78="No",Y78="No"),"No","Yes")</f>
        <v>Yes</v>
      </c>
    </row>
    <row r="79" spans="1:27" ht="13.2" x14ac:dyDescent="0.25">
      <c r="A79" s="64"/>
      <c r="B79" s="64" t="s">
        <v>1553</v>
      </c>
      <c r="C79" s="134" t="s">
        <v>1408</v>
      </c>
      <c r="D79" s="134" t="s">
        <v>1497</v>
      </c>
      <c r="E79" s="279" t="s">
        <v>58</v>
      </c>
      <c r="F79" s="279"/>
      <c r="G79" s="142" t="s">
        <v>1495</v>
      </c>
      <c r="H79" s="142"/>
      <c r="I79" s="29"/>
      <c r="J79" s="29" t="s">
        <v>60</v>
      </c>
      <c r="K79" s="29"/>
      <c r="L79" s="29" t="s">
        <v>60</v>
      </c>
      <c r="M79" s="29"/>
      <c r="N79" s="29" t="s">
        <v>60</v>
      </c>
      <c r="O79" s="29"/>
      <c r="P79" s="29" t="str">
        <f t="shared" ref="P79" si="6">IF(AND(J79="No",L79="No",N79="No"),"No","Yes")</f>
        <v>No</v>
      </c>
      <c r="Q79" s="29"/>
      <c r="R79" s="29"/>
      <c r="S79" s="29" t="s">
        <v>60</v>
      </c>
      <c r="T79" s="29"/>
      <c r="U79" s="29" t="s">
        <v>60</v>
      </c>
      <c r="V79" s="29"/>
      <c r="W79" s="29" t="s">
        <v>60</v>
      </c>
      <c r="X79" s="29"/>
      <c r="Y79" s="29" t="s">
        <v>60</v>
      </c>
      <c r="Z79" s="29"/>
      <c r="AA79" s="29" t="str">
        <f t="shared" ref="AA79" si="7">IF(AND(S79="No",U79="No",W79="No",Y79="No"),"No","Yes")</f>
        <v>No</v>
      </c>
    </row>
    <row r="80" spans="1:27" ht="13.2" x14ac:dyDescent="0.25">
      <c r="A80" s="64" t="s">
        <v>88</v>
      </c>
      <c r="B80" s="64" t="s">
        <v>1554</v>
      </c>
      <c r="C80" s="134" t="s">
        <v>1428</v>
      </c>
      <c r="D80" s="134" t="s">
        <v>1494</v>
      </c>
      <c r="E80" s="280" t="s">
        <v>58</v>
      </c>
      <c r="F80" s="280"/>
      <c r="G80" s="142" t="s">
        <v>1495</v>
      </c>
      <c r="H80" s="142"/>
      <c r="I80" s="29"/>
      <c r="J80" s="29" t="s">
        <v>60</v>
      </c>
      <c r="K80" s="29"/>
      <c r="L80" s="29" t="s">
        <v>60</v>
      </c>
      <c r="M80" s="29"/>
      <c r="N80" s="29" t="s">
        <v>60</v>
      </c>
      <c r="O80" s="29"/>
      <c r="P80" s="29" t="str">
        <f t="shared" si="4"/>
        <v>No</v>
      </c>
      <c r="Q80" s="29"/>
      <c r="R80" s="29"/>
      <c r="S80" s="29" t="s">
        <v>58</v>
      </c>
      <c r="T80" s="29"/>
      <c r="U80" s="29" t="s">
        <v>58</v>
      </c>
      <c r="V80" s="29"/>
      <c r="W80" s="29" t="s">
        <v>60</v>
      </c>
      <c r="X80" s="29"/>
      <c r="Y80" s="29" t="s">
        <v>58</v>
      </c>
      <c r="Z80" s="29"/>
      <c r="AA80" s="29" t="str">
        <f t="shared" si="2"/>
        <v>Yes</v>
      </c>
    </row>
    <row r="81" spans="1:27" ht="13.2" x14ac:dyDescent="0.25">
      <c r="A81" s="64"/>
      <c r="B81" s="64" t="s">
        <v>1555</v>
      </c>
      <c r="C81" s="134" t="s">
        <v>1428</v>
      </c>
      <c r="D81" s="134" t="s">
        <v>1497</v>
      </c>
      <c r="E81" s="280" t="s">
        <v>58</v>
      </c>
      <c r="F81" s="280"/>
      <c r="G81" s="142" t="s">
        <v>1495</v>
      </c>
      <c r="H81" s="142"/>
      <c r="I81" s="29"/>
      <c r="J81" s="29" t="s">
        <v>60</v>
      </c>
      <c r="K81" s="29"/>
      <c r="L81" s="29" t="s">
        <v>60</v>
      </c>
      <c r="M81" s="29"/>
      <c r="N81" s="29" t="s">
        <v>60</v>
      </c>
      <c r="O81" s="29"/>
      <c r="P81" s="29" t="str">
        <f t="shared" si="4"/>
        <v>No</v>
      </c>
      <c r="Q81" s="29"/>
      <c r="R81" s="29"/>
      <c r="S81" s="29" t="s">
        <v>60</v>
      </c>
      <c r="T81" s="29"/>
      <c r="U81" s="29" t="s">
        <v>60</v>
      </c>
      <c r="V81" s="29"/>
      <c r="W81" s="29" t="s">
        <v>58</v>
      </c>
      <c r="X81" s="29"/>
      <c r="Y81" s="29" t="s">
        <v>58</v>
      </c>
      <c r="Z81" s="29"/>
      <c r="AA81" s="29" t="str">
        <f t="shared" si="2"/>
        <v>Yes</v>
      </c>
    </row>
    <row r="82" spans="1:27" ht="12" customHeight="1" x14ac:dyDescent="0.25">
      <c r="A82" s="64"/>
      <c r="B82" s="64" t="s">
        <v>1556</v>
      </c>
      <c r="C82" s="134" t="s">
        <v>1547</v>
      </c>
      <c r="D82" s="134" t="s">
        <v>1494</v>
      </c>
      <c r="E82" s="280" t="s">
        <v>58</v>
      </c>
      <c r="F82" s="280"/>
      <c r="G82" s="142" t="s">
        <v>1504</v>
      </c>
      <c r="H82" s="142"/>
      <c r="I82" s="29"/>
      <c r="J82" s="29" t="s">
        <v>60</v>
      </c>
      <c r="K82" s="29"/>
      <c r="L82" s="29" t="s">
        <v>60</v>
      </c>
      <c r="M82" s="29"/>
      <c r="N82" s="29" t="s">
        <v>60</v>
      </c>
      <c r="O82" s="29"/>
      <c r="P82" s="29" t="str">
        <f t="shared" si="4"/>
        <v>No</v>
      </c>
      <c r="Q82" s="29"/>
      <c r="R82" s="29"/>
      <c r="S82" s="29" t="s">
        <v>60</v>
      </c>
      <c r="T82" s="29"/>
      <c r="U82" s="29" t="s">
        <v>60</v>
      </c>
      <c r="V82" s="29"/>
      <c r="W82" s="29" t="s">
        <v>58</v>
      </c>
      <c r="X82" s="29"/>
      <c r="Y82" s="29" t="s">
        <v>60</v>
      </c>
      <c r="Z82" s="29"/>
      <c r="AA82" s="29" t="str">
        <f t="shared" si="2"/>
        <v>Yes</v>
      </c>
    </row>
    <row r="83" spans="1:27" ht="13.2" x14ac:dyDescent="0.25">
      <c r="A83" s="64" t="s">
        <v>90</v>
      </c>
      <c r="B83" s="64" t="s">
        <v>90</v>
      </c>
      <c r="C83" s="134" t="s">
        <v>1557</v>
      </c>
      <c r="D83" s="134" t="s">
        <v>1494</v>
      </c>
      <c r="E83" s="279" t="s">
        <v>1522</v>
      </c>
      <c r="F83" s="279"/>
      <c r="G83" s="142" t="s">
        <v>1504</v>
      </c>
      <c r="H83" s="142"/>
      <c r="I83" s="29"/>
      <c r="J83" s="29" t="s">
        <v>60</v>
      </c>
      <c r="K83" s="29"/>
      <c r="L83" s="29" t="s">
        <v>60</v>
      </c>
      <c r="M83" s="29"/>
      <c r="N83" s="29" t="s">
        <v>60</v>
      </c>
      <c r="O83" s="29"/>
      <c r="P83" s="29" t="str">
        <f t="shared" si="4"/>
        <v>No</v>
      </c>
      <c r="Q83" s="29"/>
      <c r="R83" s="29"/>
      <c r="S83" s="29" t="s">
        <v>60</v>
      </c>
      <c r="T83" s="29"/>
      <c r="U83" s="29" t="s">
        <v>60</v>
      </c>
      <c r="V83" s="29"/>
      <c r="W83" s="29" t="s">
        <v>60</v>
      </c>
      <c r="X83" s="29"/>
      <c r="Y83" s="29" t="s">
        <v>60</v>
      </c>
      <c r="Z83" s="29"/>
      <c r="AA83" s="29" t="str">
        <f t="shared" si="2"/>
        <v>No</v>
      </c>
    </row>
    <row r="84" spans="1:27" ht="13.2" x14ac:dyDescent="0.25">
      <c r="A84" s="64"/>
      <c r="B84" s="64" t="s">
        <v>90</v>
      </c>
      <c r="C84" s="134" t="s">
        <v>1557</v>
      </c>
      <c r="D84" s="134" t="s">
        <v>1497</v>
      </c>
      <c r="E84" s="280" t="s">
        <v>1522</v>
      </c>
      <c r="F84" s="280"/>
      <c r="G84" s="142" t="s">
        <v>1504</v>
      </c>
      <c r="H84" s="142"/>
      <c r="I84" s="29"/>
      <c r="J84" s="29" t="s">
        <v>60</v>
      </c>
      <c r="K84" s="29"/>
      <c r="L84" s="29" t="s">
        <v>60</v>
      </c>
      <c r="M84" s="29"/>
      <c r="N84" s="29" t="s">
        <v>60</v>
      </c>
      <c r="O84" s="29"/>
      <c r="P84" s="29" t="str">
        <f t="shared" si="4"/>
        <v>No</v>
      </c>
      <c r="Q84" s="29"/>
      <c r="R84" s="29"/>
      <c r="S84" s="29" t="s">
        <v>60</v>
      </c>
      <c r="T84" s="29"/>
      <c r="U84" s="29" t="s">
        <v>60</v>
      </c>
      <c r="V84" s="29"/>
      <c r="W84" s="29" t="s">
        <v>60</v>
      </c>
      <c r="X84" s="29"/>
      <c r="Y84" s="29" t="s">
        <v>60</v>
      </c>
      <c r="Z84" s="29"/>
      <c r="AA84" s="29" t="str">
        <f t="shared" si="2"/>
        <v>No</v>
      </c>
    </row>
    <row r="85" spans="1:27" ht="13.2" x14ac:dyDescent="0.25">
      <c r="A85" s="64"/>
      <c r="B85" s="64" t="s">
        <v>90</v>
      </c>
      <c r="C85" s="134" t="s">
        <v>1425</v>
      </c>
      <c r="D85" s="134" t="s">
        <v>1497</v>
      </c>
      <c r="E85" s="280" t="s">
        <v>58</v>
      </c>
      <c r="F85" s="280"/>
      <c r="G85" s="142" t="s">
        <v>1504</v>
      </c>
      <c r="H85" s="142"/>
      <c r="I85" s="29"/>
      <c r="J85" s="29" t="s">
        <v>60</v>
      </c>
      <c r="K85" s="29"/>
      <c r="L85" s="29" t="s">
        <v>60</v>
      </c>
      <c r="M85" s="29"/>
      <c r="N85" s="29" t="s">
        <v>60</v>
      </c>
      <c r="O85" s="29"/>
      <c r="P85" s="29" t="str">
        <f t="shared" si="4"/>
        <v>No</v>
      </c>
      <c r="Q85" s="29"/>
      <c r="R85" s="29"/>
      <c r="S85" s="29" t="s">
        <v>60</v>
      </c>
      <c r="T85" s="29"/>
      <c r="U85" s="29" t="s">
        <v>60</v>
      </c>
      <c r="V85" s="29"/>
      <c r="W85" s="29" t="s">
        <v>60</v>
      </c>
      <c r="X85" s="29"/>
      <c r="Y85" s="29" t="s">
        <v>60</v>
      </c>
      <c r="Z85" s="29"/>
      <c r="AA85" s="29" t="str">
        <f t="shared" si="2"/>
        <v>No</v>
      </c>
    </row>
    <row r="86" spans="1:27" ht="13.2" x14ac:dyDescent="0.25">
      <c r="A86" s="64"/>
      <c r="B86" s="64" t="s">
        <v>90</v>
      </c>
      <c r="C86" s="134" t="s">
        <v>1426</v>
      </c>
      <c r="D86" s="134" t="s">
        <v>1494</v>
      </c>
      <c r="E86" s="280" t="s">
        <v>58</v>
      </c>
      <c r="F86" s="280"/>
      <c r="G86" s="142" t="s">
        <v>1504</v>
      </c>
      <c r="H86" s="142"/>
      <c r="I86" s="29"/>
      <c r="J86" s="29" t="s">
        <v>60</v>
      </c>
      <c r="K86" s="29"/>
      <c r="L86" s="29" t="s">
        <v>60</v>
      </c>
      <c r="M86" s="29"/>
      <c r="N86" s="29" t="s">
        <v>60</v>
      </c>
      <c r="O86" s="29"/>
      <c r="P86" s="29" t="str">
        <f t="shared" si="4"/>
        <v>No</v>
      </c>
      <c r="Q86" s="29"/>
      <c r="R86" s="29"/>
      <c r="S86" s="29" t="s">
        <v>60</v>
      </c>
      <c r="T86" s="29"/>
      <c r="U86" s="29" t="s">
        <v>60</v>
      </c>
      <c r="V86" s="29"/>
      <c r="W86" s="29" t="s">
        <v>60</v>
      </c>
      <c r="X86" s="29"/>
      <c r="Y86" s="29" t="s">
        <v>60</v>
      </c>
      <c r="Z86" s="29"/>
      <c r="AA86" s="29" t="str">
        <f t="shared" si="2"/>
        <v>No</v>
      </c>
    </row>
    <row r="87" spans="1:27" ht="13.2" x14ac:dyDescent="0.25">
      <c r="A87" s="64"/>
      <c r="B87" s="64" t="s">
        <v>90</v>
      </c>
      <c r="C87" s="134" t="s">
        <v>1426</v>
      </c>
      <c r="D87" s="134" t="s">
        <v>1497</v>
      </c>
      <c r="E87" s="279" t="s">
        <v>58</v>
      </c>
      <c r="F87" s="279"/>
      <c r="G87" s="142" t="s">
        <v>1504</v>
      </c>
      <c r="H87" s="142"/>
      <c r="I87" s="29"/>
      <c r="J87" s="29" t="s">
        <v>60</v>
      </c>
      <c r="K87" s="29"/>
      <c r="L87" s="29" t="s">
        <v>60</v>
      </c>
      <c r="M87" s="29"/>
      <c r="N87" s="29" t="s">
        <v>60</v>
      </c>
      <c r="O87" s="29"/>
      <c r="P87" s="29" t="str">
        <f t="shared" si="4"/>
        <v>No</v>
      </c>
      <c r="Q87" s="29"/>
      <c r="R87" s="29"/>
      <c r="S87" s="29" t="s">
        <v>60</v>
      </c>
      <c r="T87" s="29"/>
      <c r="U87" s="29" t="s">
        <v>60</v>
      </c>
      <c r="V87" s="29"/>
      <c r="W87" s="29" t="s">
        <v>60</v>
      </c>
      <c r="X87" s="29"/>
      <c r="Y87" s="29" t="s">
        <v>60</v>
      </c>
      <c r="Z87" s="29"/>
      <c r="AA87" s="29" t="str">
        <f t="shared" si="2"/>
        <v>No</v>
      </c>
    </row>
    <row r="88" spans="1:27" ht="13.2" x14ac:dyDescent="0.25">
      <c r="A88" s="64" t="s">
        <v>92</v>
      </c>
      <c r="B88" s="64" t="s">
        <v>1558</v>
      </c>
      <c r="C88" s="134" t="s">
        <v>1411</v>
      </c>
      <c r="D88" s="134" t="s">
        <v>1494</v>
      </c>
      <c r="E88" s="279" t="s">
        <v>58</v>
      </c>
      <c r="F88" s="279"/>
      <c r="G88" s="142" t="s">
        <v>1504</v>
      </c>
      <c r="H88" s="142"/>
      <c r="I88" s="29"/>
      <c r="J88" s="29" t="s">
        <v>1496</v>
      </c>
      <c r="K88" s="29"/>
      <c r="L88" s="29" t="s">
        <v>58</v>
      </c>
      <c r="M88" s="29"/>
      <c r="N88" s="29" t="s">
        <v>60</v>
      </c>
      <c r="O88" s="29"/>
      <c r="P88" s="29" t="str">
        <f t="shared" si="4"/>
        <v>Yes</v>
      </c>
      <c r="Q88" s="29"/>
      <c r="R88" s="29"/>
      <c r="S88" s="29" t="s">
        <v>58</v>
      </c>
      <c r="T88" s="29"/>
      <c r="U88" s="29" t="s">
        <v>58</v>
      </c>
      <c r="V88" s="29"/>
      <c r="W88" s="29" t="s">
        <v>58</v>
      </c>
      <c r="X88" s="29"/>
      <c r="Y88" s="29" t="s">
        <v>58</v>
      </c>
      <c r="Z88" s="29"/>
      <c r="AA88" s="29" t="str">
        <f t="shared" si="2"/>
        <v>Yes</v>
      </c>
    </row>
    <row r="89" spans="1:27" ht="13.2" x14ac:dyDescent="0.25">
      <c r="A89" s="64"/>
      <c r="B89" s="64" t="s">
        <v>1558</v>
      </c>
      <c r="C89" s="134" t="s">
        <v>1414</v>
      </c>
      <c r="D89" s="134" t="s">
        <v>1494</v>
      </c>
      <c r="E89" s="279" t="s">
        <v>58</v>
      </c>
      <c r="F89" s="279"/>
      <c r="G89" s="142" t="s">
        <v>1504</v>
      </c>
      <c r="H89" s="142"/>
      <c r="I89" s="29"/>
      <c r="J89" s="29" t="s">
        <v>1496</v>
      </c>
      <c r="K89" s="29"/>
      <c r="L89" s="29" t="s">
        <v>60</v>
      </c>
      <c r="M89" s="29"/>
      <c r="N89" s="29" t="s">
        <v>60</v>
      </c>
      <c r="O89" s="29"/>
      <c r="P89" s="29" t="str">
        <f t="shared" si="4"/>
        <v>Yes</v>
      </c>
      <c r="Q89" s="29"/>
      <c r="R89" s="29"/>
      <c r="S89" s="29" t="s">
        <v>60</v>
      </c>
      <c r="T89" s="29"/>
      <c r="U89" s="29" t="s">
        <v>60</v>
      </c>
      <c r="V89" s="29"/>
      <c r="W89" s="29" t="s">
        <v>58</v>
      </c>
      <c r="X89" s="29"/>
      <c r="Y89" s="29" t="s">
        <v>58</v>
      </c>
      <c r="Z89" s="29"/>
      <c r="AA89" s="29" t="str">
        <f t="shared" si="2"/>
        <v>Yes</v>
      </c>
    </row>
    <row r="90" spans="1:27" ht="13.2" x14ac:dyDescent="0.25">
      <c r="A90" s="134" t="s">
        <v>94</v>
      </c>
      <c r="B90" s="134" t="s">
        <v>1559</v>
      </c>
      <c r="C90" s="134" t="s">
        <v>1560</v>
      </c>
      <c r="D90" s="81" t="s">
        <v>1494</v>
      </c>
      <c r="E90" s="279" t="s">
        <v>58</v>
      </c>
      <c r="F90" s="279"/>
      <c r="G90" s="142" t="s">
        <v>1504</v>
      </c>
      <c r="H90" s="142"/>
      <c r="I90" s="29"/>
      <c r="J90" s="29" t="s">
        <v>1496</v>
      </c>
      <c r="K90" s="29"/>
      <c r="L90" s="29" t="s">
        <v>60</v>
      </c>
      <c r="M90" s="29"/>
      <c r="N90" s="29" t="s">
        <v>60</v>
      </c>
      <c r="O90" s="29"/>
      <c r="P90" s="29" t="str">
        <f t="shared" si="4"/>
        <v>Yes</v>
      </c>
      <c r="Q90" s="29"/>
      <c r="R90" s="29"/>
      <c r="S90" s="29" t="s">
        <v>60</v>
      </c>
      <c r="T90" s="29"/>
      <c r="U90" s="29" t="s">
        <v>58</v>
      </c>
      <c r="V90" s="29"/>
      <c r="W90" s="29" t="s">
        <v>60</v>
      </c>
      <c r="X90" s="29"/>
      <c r="Y90" s="29" t="s">
        <v>58</v>
      </c>
      <c r="Z90" s="29"/>
      <c r="AA90" s="29" t="str">
        <f t="shared" si="2"/>
        <v>Yes</v>
      </c>
    </row>
    <row r="91" spans="1:27" ht="13.2" x14ac:dyDescent="0.25">
      <c r="A91" s="134" t="s">
        <v>96</v>
      </c>
      <c r="B91" s="134" t="s">
        <v>1561</v>
      </c>
      <c r="C91" s="134" t="s">
        <v>1421</v>
      </c>
      <c r="D91" s="81" t="s">
        <v>1494</v>
      </c>
      <c r="E91" s="279" t="s">
        <v>58</v>
      </c>
      <c r="F91" s="279"/>
      <c r="G91" s="142" t="s">
        <v>1495</v>
      </c>
      <c r="H91" s="142"/>
      <c r="I91" s="29"/>
      <c r="J91" s="29" t="s">
        <v>60</v>
      </c>
      <c r="K91" s="29"/>
      <c r="L91" s="29" t="s">
        <v>60</v>
      </c>
      <c r="M91" s="29"/>
      <c r="N91" s="29" t="s">
        <v>60</v>
      </c>
      <c r="O91" s="29"/>
      <c r="P91" s="29" t="str">
        <f t="shared" si="4"/>
        <v>No</v>
      </c>
      <c r="Q91" s="29"/>
      <c r="R91" s="29"/>
      <c r="S91" s="29" t="s">
        <v>58</v>
      </c>
      <c r="T91" s="29"/>
      <c r="U91" s="29" t="s">
        <v>58</v>
      </c>
      <c r="V91" s="29"/>
      <c r="W91" s="29" t="s">
        <v>60</v>
      </c>
      <c r="X91" s="29"/>
      <c r="Y91" s="29" t="s">
        <v>58</v>
      </c>
      <c r="Z91" s="29"/>
      <c r="AA91" s="29" t="str">
        <f t="shared" si="2"/>
        <v>Yes</v>
      </c>
    </row>
    <row r="92" spans="1:27" ht="13.2" x14ac:dyDescent="0.25">
      <c r="A92" s="134" t="s">
        <v>98</v>
      </c>
      <c r="B92" s="134" t="s">
        <v>1562</v>
      </c>
      <c r="C92" s="134" t="s">
        <v>1437</v>
      </c>
      <c r="D92" s="81" t="s">
        <v>1494</v>
      </c>
      <c r="E92" s="279" t="s">
        <v>58</v>
      </c>
      <c r="F92" s="279"/>
      <c r="G92" s="142" t="s">
        <v>1504</v>
      </c>
      <c r="H92" s="142"/>
      <c r="I92" s="29"/>
      <c r="J92" s="29" t="s">
        <v>60</v>
      </c>
      <c r="K92" s="29"/>
      <c r="L92" s="29" t="s">
        <v>60</v>
      </c>
      <c r="M92" s="29"/>
      <c r="N92" s="29" t="s">
        <v>58</v>
      </c>
      <c r="O92" s="29"/>
      <c r="P92" s="29" t="str">
        <f t="shared" si="4"/>
        <v>Yes</v>
      </c>
      <c r="Q92" s="29"/>
      <c r="R92" s="29"/>
      <c r="S92" s="29" t="s">
        <v>58</v>
      </c>
      <c r="T92" s="29"/>
      <c r="U92" s="29" t="s">
        <v>58</v>
      </c>
      <c r="V92" s="29"/>
      <c r="W92" s="29" t="s">
        <v>60</v>
      </c>
      <c r="X92" s="29"/>
      <c r="Y92" s="29" t="s">
        <v>58</v>
      </c>
      <c r="Z92" s="29"/>
      <c r="AA92" s="29" t="str">
        <f t="shared" si="2"/>
        <v>Yes</v>
      </c>
    </row>
    <row r="93" spans="1:27" ht="13.2" x14ac:dyDescent="0.25">
      <c r="B93" s="134" t="s">
        <v>1563</v>
      </c>
      <c r="C93" s="134" t="s">
        <v>1438</v>
      </c>
      <c r="D93" s="81" t="s">
        <v>1497</v>
      </c>
      <c r="E93" s="279" t="s">
        <v>60</v>
      </c>
      <c r="F93" s="279"/>
      <c r="G93" s="142" t="s">
        <v>1495</v>
      </c>
      <c r="H93" s="142"/>
      <c r="I93" s="29"/>
      <c r="J93" s="29" t="s">
        <v>60</v>
      </c>
      <c r="K93" s="29"/>
      <c r="L93" s="29" t="s">
        <v>60</v>
      </c>
      <c r="M93" s="29"/>
      <c r="N93" s="29" t="s">
        <v>60</v>
      </c>
      <c r="O93" s="29"/>
      <c r="P93" s="29" t="str">
        <f t="shared" si="4"/>
        <v>No</v>
      </c>
      <c r="Q93" s="29"/>
      <c r="R93" s="29"/>
      <c r="S93" s="29" t="s">
        <v>60</v>
      </c>
      <c r="T93" s="29"/>
      <c r="U93" s="29" t="s">
        <v>60</v>
      </c>
      <c r="V93" s="29"/>
      <c r="W93" s="29" t="s">
        <v>58</v>
      </c>
      <c r="X93" s="29"/>
      <c r="Y93" s="29" t="s">
        <v>58</v>
      </c>
      <c r="Z93" s="29"/>
      <c r="AA93" s="29" t="str">
        <f t="shared" si="2"/>
        <v>Yes</v>
      </c>
    </row>
    <row r="94" spans="1:27" ht="13.2" x14ac:dyDescent="0.25">
      <c r="B94" s="134" t="s">
        <v>1564</v>
      </c>
      <c r="C94" s="134" t="s">
        <v>1438</v>
      </c>
      <c r="D94" s="81" t="s">
        <v>1494</v>
      </c>
      <c r="E94" s="279" t="s">
        <v>58</v>
      </c>
      <c r="F94" s="279"/>
      <c r="G94" s="142" t="s">
        <v>1495</v>
      </c>
      <c r="H94" s="142"/>
      <c r="I94" s="29"/>
      <c r="J94" s="29" t="s">
        <v>60</v>
      </c>
      <c r="K94" s="29"/>
      <c r="L94" s="29" t="s">
        <v>60</v>
      </c>
      <c r="M94" s="29"/>
      <c r="N94" s="29" t="s">
        <v>60</v>
      </c>
      <c r="O94" s="29"/>
      <c r="P94" s="29" t="str">
        <f t="shared" si="4"/>
        <v>No</v>
      </c>
      <c r="Q94" s="29"/>
      <c r="R94" s="29"/>
      <c r="S94" s="29" t="s">
        <v>58</v>
      </c>
      <c r="T94" s="29"/>
      <c r="U94" s="29" t="s">
        <v>60</v>
      </c>
      <c r="V94" s="29"/>
      <c r="W94" s="29" t="s">
        <v>60</v>
      </c>
      <c r="X94" s="29"/>
      <c r="Y94" s="29" t="s">
        <v>58</v>
      </c>
      <c r="Z94" s="29"/>
      <c r="AA94" s="29" t="str">
        <f t="shared" si="2"/>
        <v>Yes</v>
      </c>
    </row>
    <row r="95" spans="1:27" ht="13.2" x14ac:dyDescent="0.25">
      <c r="B95" s="134" t="s">
        <v>1565</v>
      </c>
      <c r="C95" s="134" t="s">
        <v>1409</v>
      </c>
      <c r="D95" s="81" t="s">
        <v>1497</v>
      </c>
      <c r="E95" s="279" t="s">
        <v>58</v>
      </c>
      <c r="F95" s="279"/>
      <c r="G95" s="142" t="s">
        <v>1495</v>
      </c>
      <c r="H95" s="142"/>
      <c r="I95" s="29"/>
      <c r="J95" s="29" t="s">
        <v>58</v>
      </c>
      <c r="K95" s="29"/>
      <c r="L95" s="29" t="s">
        <v>58</v>
      </c>
      <c r="M95" s="29"/>
      <c r="N95" s="29" t="s">
        <v>60</v>
      </c>
      <c r="O95" s="29"/>
      <c r="P95" s="29" t="str">
        <f t="shared" si="4"/>
        <v>Yes</v>
      </c>
      <c r="Q95" s="29"/>
      <c r="R95" s="29"/>
      <c r="S95" s="29" t="s">
        <v>60</v>
      </c>
      <c r="T95" s="29"/>
      <c r="U95" s="29" t="s">
        <v>60</v>
      </c>
      <c r="V95" s="29"/>
      <c r="W95" s="29" t="s">
        <v>58</v>
      </c>
      <c r="X95" s="29"/>
      <c r="Y95" s="29" t="s">
        <v>58</v>
      </c>
      <c r="Z95" s="29"/>
      <c r="AA95" s="29" t="str">
        <f t="shared" si="2"/>
        <v>Yes</v>
      </c>
    </row>
    <row r="96" spans="1:27" ht="13.2" x14ac:dyDescent="0.25">
      <c r="B96" s="134" t="s">
        <v>1566</v>
      </c>
      <c r="C96" s="134" t="s">
        <v>1432</v>
      </c>
      <c r="D96" s="81" t="s">
        <v>1494</v>
      </c>
      <c r="E96" s="279" t="s">
        <v>58</v>
      </c>
      <c r="F96" s="279"/>
      <c r="G96" s="142" t="s">
        <v>1495</v>
      </c>
      <c r="H96" s="142"/>
      <c r="I96" s="29"/>
      <c r="J96" s="29" t="s">
        <v>58</v>
      </c>
      <c r="K96" s="29"/>
      <c r="L96" s="29" t="s">
        <v>58</v>
      </c>
      <c r="M96" s="29"/>
      <c r="N96" s="29" t="s">
        <v>60</v>
      </c>
      <c r="O96" s="29"/>
      <c r="P96" s="29" t="str">
        <f t="shared" si="4"/>
        <v>Yes</v>
      </c>
      <c r="Q96" s="29"/>
      <c r="R96" s="29"/>
      <c r="S96" s="29" t="s">
        <v>60</v>
      </c>
      <c r="T96" s="29"/>
      <c r="U96" s="29" t="s">
        <v>60</v>
      </c>
      <c r="V96" s="29"/>
      <c r="W96" s="29" t="s">
        <v>60</v>
      </c>
      <c r="X96" s="29"/>
      <c r="Y96" s="29" t="s">
        <v>58</v>
      </c>
      <c r="Z96" s="29"/>
      <c r="AA96" s="29" t="str">
        <f t="shared" si="2"/>
        <v>Yes</v>
      </c>
    </row>
    <row r="97" spans="1:27" ht="13.2" x14ac:dyDescent="0.25">
      <c r="B97" s="134" t="s">
        <v>1567</v>
      </c>
      <c r="C97" s="134" t="s">
        <v>1415</v>
      </c>
      <c r="D97" s="81" t="s">
        <v>1497</v>
      </c>
      <c r="E97" s="279" t="s">
        <v>58</v>
      </c>
      <c r="F97" s="279"/>
      <c r="G97" s="142" t="s">
        <v>1504</v>
      </c>
      <c r="H97" s="142"/>
      <c r="I97" s="29"/>
      <c r="J97" s="29" t="s">
        <v>58</v>
      </c>
      <c r="K97" s="29"/>
      <c r="L97" s="29" t="s">
        <v>60</v>
      </c>
      <c r="M97" s="29"/>
      <c r="N97" s="29" t="s">
        <v>60</v>
      </c>
      <c r="O97" s="29"/>
      <c r="P97" s="29" t="str">
        <f t="shared" si="4"/>
        <v>Yes</v>
      </c>
      <c r="Q97" s="29"/>
      <c r="R97" s="29"/>
      <c r="S97" s="29" t="s">
        <v>60</v>
      </c>
      <c r="T97" s="29"/>
      <c r="U97" s="29" t="s">
        <v>60</v>
      </c>
      <c r="V97" s="29"/>
      <c r="W97" s="29" t="s">
        <v>60</v>
      </c>
      <c r="X97" s="29"/>
      <c r="Y97" s="29" t="s">
        <v>60</v>
      </c>
      <c r="Z97" s="29"/>
      <c r="AA97" s="29" t="str">
        <f t="shared" si="2"/>
        <v>No</v>
      </c>
    </row>
    <row r="98" spans="1:27" ht="13.2" x14ac:dyDescent="0.25">
      <c r="B98" s="134" t="s">
        <v>1568</v>
      </c>
      <c r="C98" s="134" t="s">
        <v>1405</v>
      </c>
      <c r="D98" s="81" t="s">
        <v>1497</v>
      </c>
      <c r="E98" s="279" t="s">
        <v>58</v>
      </c>
      <c r="F98" s="279"/>
      <c r="G98" s="142" t="s">
        <v>1495</v>
      </c>
      <c r="H98" s="142"/>
      <c r="I98" s="29"/>
      <c r="J98" s="29" t="s">
        <v>58</v>
      </c>
      <c r="K98" s="29"/>
      <c r="L98" s="29" t="s">
        <v>60</v>
      </c>
      <c r="M98" s="29"/>
      <c r="N98" s="29" t="s">
        <v>60</v>
      </c>
      <c r="O98" s="29"/>
      <c r="P98" s="29" t="str">
        <f t="shared" si="4"/>
        <v>Yes</v>
      </c>
      <c r="Q98" s="29"/>
      <c r="R98" s="29"/>
      <c r="S98" s="29" t="s">
        <v>60</v>
      </c>
      <c r="T98" s="29"/>
      <c r="U98" s="29" t="s">
        <v>60</v>
      </c>
      <c r="V98" s="29"/>
      <c r="W98" s="29" t="s">
        <v>58</v>
      </c>
      <c r="X98" s="29"/>
      <c r="Y98" s="29" t="s">
        <v>60</v>
      </c>
      <c r="Z98" s="29"/>
      <c r="AA98" s="29" t="str">
        <f t="shared" si="2"/>
        <v>Yes</v>
      </c>
    </row>
    <row r="99" spans="1:27" ht="13.2" x14ac:dyDescent="0.25">
      <c r="A99" s="134" t="s">
        <v>100</v>
      </c>
      <c r="B99" s="134" t="s">
        <v>1569</v>
      </c>
      <c r="C99" s="134" t="s">
        <v>1409</v>
      </c>
      <c r="D99" s="81" t="s">
        <v>1497</v>
      </c>
      <c r="E99" s="279" t="s">
        <v>58</v>
      </c>
      <c r="F99" s="279"/>
      <c r="G99" s="142" t="s">
        <v>1495</v>
      </c>
      <c r="H99" s="142"/>
      <c r="I99" s="29"/>
      <c r="J99" s="29" t="s">
        <v>58</v>
      </c>
      <c r="K99" s="29"/>
      <c r="L99" s="29" t="s">
        <v>58</v>
      </c>
      <c r="M99" s="29"/>
      <c r="N99" s="29" t="s">
        <v>60</v>
      </c>
      <c r="O99" s="29"/>
      <c r="P99" s="29" t="str">
        <f t="shared" si="4"/>
        <v>Yes</v>
      </c>
      <c r="Q99" s="29"/>
      <c r="R99" s="29"/>
      <c r="S99" s="29" t="s">
        <v>60</v>
      </c>
      <c r="T99" s="29"/>
      <c r="U99" s="29" t="s">
        <v>60</v>
      </c>
      <c r="V99" s="29"/>
      <c r="W99" s="29" t="s">
        <v>58</v>
      </c>
      <c r="X99" s="29"/>
      <c r="Y99" s="29" t="s">
        <v>58</v>
      </c>
      <c r="Z99" s="29"/>
      <c r="AA99" s="29" t="str">
        <f t="shared" si="2"/>
        <v>Yes</v>
      </c>
    </row>
    <row r="100" spans="1:27" ht="13.2" x14ac:dyDescent="0.25">
      <c r="B100" s="134" t="s">
        <v>1570</v>
      </c>
      <c r="C100" s="134" t="s">
        <v>1409</v>
      </c>
      <c r="D100" s="81" t="s">
        <v>1497</v>
      </c>
      <c r="E100" s="279" t="s">
        <v>58</v>
      </c>
      <c r="F100" s="279"/>
      <c r="G100" s="142" t="s">
        <v>1495</v>
      </c>
      <c r="H100" s="142"/>
      <c r="I100" s="29"/>
      <c r="J100" s="29" t="s">
        <v>58</v>
      </c>
      <c r="K100" s="29"/>
      <c r="L100" s="29" t="s">
        <v>58</v>
      </c>
      <c r="M100" s="29"/>
      <c r="N100" s="29" t="s">
        <v>60</v>
      </c>
      <c r="O100" s="29"/>
      <c r="P100" s="29" t="str">
        <f t="shared" si="4"/>
        <v>Yes</v>
      </c>
      <c r="Q100" s="29"/>
      <c r="R100" s="29"/>
      <c r="S100" s="29" t="s">
        <v>60</v>
      </c>
      <c r="T100" s="29"/>
      <c r="U100" s="29" t="s">
        <v>60</v>
      </c>
      <c r="V100" s="29"/>
      <c r="W100" s="29" t="s">
        <v>58</v>
      </c>
      <c r="X100" s="29"/>
      <c r="Y100" s="29" t="s">
        <v>58</v>
      </c>
      <c r="Z100" s="29"/>
      <c r="AA100" s="29" t="str">
        <f t="shared" si="2"/>
        <v>Yes</v>
      </c>
    </row>
    <row r="101" spans="1:27" ht="13.2" x14ac:dyDescent="0.25">
      <c r="B101" s="134" t="s">
        <v>1571</v>
      </c>
      <c r="C101" s="134" t="s">
        <v>1413</v>
      </c>
      <c r="D101" s="81" t="s">
        <v>1497</v>
      </c>
      <c r="E101" s="279" t="s">
        <v>58</v>
      </c>
      <c r="F101" s="279"/>
      <c r="G101" s="142" t="s">
        <v>1495</v>
      </c>
      <c r="H101" s="142"/>
      <c r="I101" s="29"/>
      <c r="J101" s="29" t="s">
        <v>60</v>
      </c>
      <c r="K101" s="29"/>
      <c r="L101" s="29" t="s">
        <v>60</v>
      </c>
      <c r="M101" s="29"/>
      <c r="N101" s="29" t="s">
        <v>60</v>
      </c>
      <c r="O101" s="29"/>
      <c r="P101" s="29" t="str">
        <f t="shared" si="4"/>
        <v>No</v>
      </c>
      <c r="Q101" s="29"/>
      <c r="R101" s="29"/>
      <c r="S101" s="29" t="s">
        <v>60</v>
      </c>
      <c r="T101" s="29"/>
      <c r="U101" s="29" t="s">
        <v>60</v>
      </c>
      <c r="V101" s="29"/>
      <c r="W101" s="29" t="s">
        <v>58</v>
      </c>
      <c r="X101" s="29"/>
      <c r="Y101" s="29" t="s">
        <v>60</v>
      </c>
      <c r="Z101" s="29"/>
      <c r="AA101" s="29" t="str">
        <f t="shared" si="2"/>
        <v>Yes</v>
      </c>
    </row>
    <row r="102" spans="1:27" ht="13.2" x14ac:dyDescent="0.25">
      <c r="B102" s="134" t="s">
        <v>1572</v>
      </c>
      <c r="C102" s="134" t="s">
        <v>1413</v>
      </c>
      <c r="D102" s="81" t="s">
        <v>1494</v>
      </c>
      <c r="E102" s="279" t="s">
        <v>58</v>
      </c>
      <c r="F102" s="279"/>
      <c r="G102" s="142" t="s">
        <v>1495</v>
      </c>
      <c r="H102" s="142"/>
      <c r="I102" s="29"/>
      <c r="J102" s="29" t="s">
        <v>60</v>
      </c>
      <c r="K102" s="29"/>
      <c r="L102" s="29" t="s">
        <v>60</v>
      </c>
      <c r="M102" s="29"/>
      <c r="N102" s="29" t="s">
        <v>60</v>
      </c>
      <c r="O102" s="29"/>
      <c r="P102" s="29" t="str">
        <f t="shared" si="4"/>
        <v>No</v>
      </c>
      <c r="Q102" s="29"/>
      <c r="R102" s="29"/>
      <c r="S102" s="29" t="s">
        <v>60</v>
      </c>
      <c r="T102" s="29"/>
      <c r="U102" s="29" t="s">
        <v>58</v>
      </c>
      <c r="V102" s="29"/>
      <c r="W102" s="29" t="s">
        <v>60</v>
      </c>
      <c r="X102" s="29"/>
      <c r="Y102" s="29" t="s">
        <v>60</v>
      </c>
      <c r="Z102" s="29"/>
      <c r="AA102" s="29" t="str">
        <f t="shared" si="2"/>
        <v>Yes</v>
      </c>
    </row>
    <row r="103" spans="1:27" ht="13.2" x14ac:dyDescent="0.25">
      <c r="B103" s="134" t="s">
        <v>1573</v>
      </c>
      <c r="C103" s="134" t="s">
        <v>1406</v>
      </c>
      <c r="D103" s="81" t="s">
        <v>1497</v>
      </c>
      <c r="E103" s="279" t="s">
        <v>58</v>
      </c>
      <c r="F103" s="279"/>
      <c r="G103" s="142" t="s">
        <v>1495</v>
      </c>
      <c r="H103" s="142"/>
      <c r="I103" s="29"/>
      <c r="J103" s="29" t="s">
        <v>58</v>
      </c>
      <c r="K103" s="29"/>
      <c r="L103" s="29" t="s">
        <v>60</v>
      </c>
      <c r="M103" s="29"/>
      <c r="N103" s="29" t="s">
        <v>60</v>
      </c>
      <c r="O103" s="29"/>
      <c r="P103" s="29" t="str">
        <f t="shared" si="4"/>
        <v>Yes</v>
      </c>
      <c r="Q103" s="29"/>
      <c r="R103" s="29"/>
      <c r="S103" s="29" t="s">
        <v>60</v>
      </c>
      <c r="T103" s="29"/>
      <c r="U103" s="29" t="s">
        <v>60</v>
      </c>
      <c r="V103" s="29"/>
      <c r="W103" s="29" t="s">
        <v>58</v>
      </c>
      <c r="X103" s="29"/>
      <c r="Y103" s="29" t="s">
        <v>60</v>
      </c>
      <c r="Z103" s="29"/>
      <c r="AA103" s="29" t="str">
        <f t="shared" si="2"/>
        <v>Yes</v>
      </c>
    </row>
    <row r="104" spans="1:27" ht="13.2" x14ac:dyDescent="0.25">
      <c r="B104" s="134" t="s">
        <v>1574</v>
      </c>
      <c r="C104" s="134" t="s">
        <v>1408</v>
      </c>
      <c r="D104" s="81" t="s">
        <v>1494</v>
      </c>
      <c r="E104" s="279" t="s">
        <v>58</v>
      </c>
      <c r="F104" s="279"/>
      <c r="G104" s="142" t="s">
        <v>1495</v>
      </c>
      <c r="H104" s="142"/>
      <c r="I104" s="29"/>
      <c r="J104" s="29" t="s">
        <v>60</v>
      </c>
      <c r="K104" s="29"/>
      <c r="L104" s="29" t="s">
        <v>60</v>
      </c>
      <c r="M104" s="29"/>
      <c r="N104" s="29" t="s">
        <v>60</v>
      </c>
      <c r="O104" s="29"/>
      <c r="P104" s="29" t="str">
        <f t="shared" si="4"/>
        <v>No</v>
      </c>
      <c r="Q104" s="29"/>
      <c r="R104" s="29"/>
      <c r="S104" s="29" t="s">
        <v>60</v>
      </c>
      <c r="T104" s="29"/>
      <c r="U104" s="29" t="s">
        <v>58</v>
      </c>
      <c r="V104" s="29"/>
      <c r="W104" s="29" t="s">
        <v>60</v>
      </c>
      <c r="X104" s="29"/>
      <c r="Y104" s="29" t="s">
        <v>60</v>
      </c>
      <c r="Z104" s="29"/>
      <c r="AA104" s="29" t="str">
        <f t="shared" si="2"/>
        <v>Yes</v>
      </c>
    </row>
    <row r="105" spans="1:27" ht="13.2" x14ac:dyDescent="0.25">
      <c r="B105" s="134" t="s">
        <v>1574</v>
      </c>
      <c r="C105" s="134" t="s">
        <v>1408</v>
      </c>
      <c r="D105" s="81" t="s">
        <v>1497</v>
      </c>
      <c r="E105" s="279" t="s">
        <v>58</v>
      </c>
      <c r="F105" s="279"/>
      <c r="G105" s="142" t="s">
        <v>1495</v>
      </c>
      <c r="H105" s="142"/>
      <c r="I105" s="29"/>
      <c r="J105" s="29" t="s">
        <v>60</v>
      </c>
      <c r="K105" s="29"/>
      <c r="L105" s="29" t="s">
        <v>60</v>
      </c>
      <c r="M105" s="29"/>
      <c r="N105" s="29" t="s">
        <v>60</v>
      </c>
      <c r="O105" s="29"/>
      <c r="P105" s="29" t="str">
        <f t="shared" si="4"/>
        <v>No</v>
      </c>
      <c r="Q105" s="29"/>
      <c r="R105" s="29"/>
      <c r="S105" s="29" t="s">
        <v>60</v>
      </c>
      <c r="T105" s="29"/>
      <c r="U105" s="29" t="s">
        <v>60</v>
      </c>
      <c r="V105" s="29"/>
      <c r="W105" s="29" t="s">
        <v>60</v>
      </c>
      <c r="X105" s="29"/>
      <c r="Y105" s="29" t="s">
        <v>60</v>
      </c>
      <c r="Z105" s="29"/>
      <c r="AA105" s="29" t="str">
        <f t="shared" si="2"/>
        <v>No</v>
      </c>
    </row>
    <row r="106" spans="1:27" ht="13.2" x14ac:dyDescent="0.25">
      <c r="B106" s="134" t="s">
        <v>1575</v>
      </c>
      <c r="C106" s="134" t="s">
        <v>1408</v>
      </c>
      <c r="D106" s="81" t="s">
        <v>1497</v>
      </c>
      <c r="E106" s="279" t="s">
        <v>58</v>
      </c>
      <c r="F106" s="279"/>
      <c r="G106" s="142" t="s">
        <v>1495</v>
      </c>
      <c r="H106" s="142"/>
      <c r="I106" s="29"/>
      <c r="J106" s="29" t="s">
        <v>60</v>
      </c>
      <c r="K106" s="29"/>
      <c r="L106" s="29" t="s">
        <v>60</v>
      </c>
      <c r="M106" s="29"/>
      <c r="N106" s="29" t="s">
        <v>60</v>
      </c>
      <c r="O106" s="29"/>
      <c r="P106" s="29" t="str">
        <f t="shared" si="4"/>
        <v>No</v>
      </c>
      <c r="Q106" s="29"/>
      <c r="R106" s="29"/>
      <c r="S106" s="29" t="s">
        <v>60</v>
      </c>
      <c r="T106" s="29"/>
      <c r="U106" s="29" t="s">
        <v>60</v>
      </c>
      <c r="V106" s="29"/>
      <c r="W106" s="29" t="s">
        <v>60</v>
      </c>
      <c r="X106" s="29"/>
      <c r="Y106" s="29" t="s">
        <v>60</v>
      </c>
      <c r="Z106" s="29"/>
      <c r="AA106" s="29" t="str">
        <f t="shared" si="2"/>
        <v>No</v>
      </c>
    </row>
    <row r="107" spans="1:27" ht="13.2" x14ac:dyDescent="0.25">
      <c r="B107" s="134" t="s">
        <v>1576</v>
      </c>
      <c r="C107" s="134" t="s">
        <v>1408</v>
      </c>
      <c r="D107" s="81" t="s">
        <v>1494</v>
      </c>
      <c r="E107" s="279" t="s">
        <v>58</v>
      </c>
      <c r="F107" s="279"/>
      <c r="G107" s="142" t="s">
        <v>1495</v>
      </c>
      <c r="H107" s="142"/>
      <c r="I107" s="29"/>
      <c r="J107" s="29" t="s">
        <v>60</v>
      </c>
      <c r="K107" s="29"/>
      <c r="L107" s="29" t="s">
        <v>60</v>
      </c>
      <c r="M107" s="29"/>
      <c r="N107" s="29" t="s">
        <v>60</v>
      </c>
      <c r="O107" s="29"/>
      <c r="P107" s="29" t="str">
        <f t="shared" si="4"/>
        <v>No</v>
      </c>
      <c r="Q107" s="29"/>
      <c r="R107" s="29"/>
      <c r="S107" s="29" t="s">
        <v>60</v>
      </c>
      <c r="T107" s="29"/>
      <c r="U107" s="29" t="s">
        <v>60</v>
      </c>
      <c r="V107" s="29"/>
      <c r="W107" s="29" t="s">
        <v>60</v>
      </c>
      <c r="X107" s="29"/>
      <c r="Y107" s="29" t="s">
        <v>60</v>
      </c>
      <c r="Z107" s="29"/>
      <c r="AA107" s="29" t="str">
        <f t="shared" si="2"/>
        <v>No</v>
      </c>
    </row>
    <row r="108" spans="1:27" ht="13.2" x14ac:dyDescent="0.25">
      <c r="B108" s="134" t="s">
        <v>1576</v>
      </c>
      <c r="C108" s="134" t="s">
        <v>1408</v>
      </c>
      <c r="D108" s="81" t="s">
        <v>1497</v>
      </c>
      <c r="E108" s="279" t="s">
        <v>58</v>
      </c>
      <c r="F108" s="279"/>
      <c r="G108" s="142" t="s">
        <v>1495</v>
      </c>
      <c r="H108" s="142"/>
      <c r="I108" s="29"/>
      <c r="J108" s="29" t="s">
        <v>60</v>
      </c>
      <c r="K108" s="29"/>
      <c r="L108" s="29" t="s">
        <v>60</v>
      </c>
      <c r="M108" s="29"/>
      <c r="N108" s="29" t="s">
        <v>60</v>
      </c>
      <c r="O108" s="29"/>
      <c r="P108" s="29" t="str">
        <f t="shared" si="4"/>
        <v>No</v>
      </c>
      <c r="Q108" s="29"/>
      <c r="R108" s="29"/>
      <c r="S108" s="29" t="s">
        <v>60</v>
      </c>
      <c r="T108" s="29"/>
      <c r="U108" s="29" t="s">
        <v>60</v>
      </c>
      <c r="V108" s="29"/>
      <c r="W108" s="29" t="s">
        <v>60</v>
      </c>
      <c r="X108" s="29"/>
      <c r="Y108" s="29" t="s">
        <v>60</v>
      </c>
      <c r="Z108" s="29"/>
      <c r="AA108" s="29" t="str">
        <f t="shared" si="2"/>
        <v>No</v>
      </c>
    </row>
    <row r="109" spans="1:27" ht="13.2" x14ac:dyDescent="0.25">
      <c r="A109" s="134" t="s">
        <v>102</v>
      </c>
      <c r="B109" s="134" t="s">
        <v>1577</v>
      </c>
      <c r="C109" s="134" t="s">
        <v>1423</v>
      </c>
      <c r="D109" s="81" t="s">
        <v>1494</v>
      </c>
      <c r="E109" s="279" t="s">
        <v>58</v>
      </c>
      <c r="F109" s="279"/>
      <c r="G109" s="142" t="s">
        <v>1504</v>
      </c>
      <c r="H109" s="142"/>
      <c r="I109" s="29"/>
      <c r="J109" s="29" t="s">
        <v>1496</v>
      </c>
      <c r="K109" s="29"/>
      <c r="L109" s="29" t="s">
        <v>60</v>
      </c>
      <c r="M109" s="29"/>
      <c r="N109" s="29" t="s">
        <v>60</v>
      </c>
      <c r="O109" s="29"/>
      <c r="P109" s="29" t="str">
        <f t="shared" si="4"/>
        <v>Yes</v>
      </c>
      <c r="Q109" s="29"/>
      <c r="R109" s="29"/>
      <c r="S109" s="29" t="s">
        <v>60</v>
      </c>
      <c r="T109" s="29"/>
      <c r="U109" s="29" t="s">
        <v>58</v>
      </c>
      <c r="V109" s="29"/>
      <c r="W109" s="29" t="s">
        <v>60</v>
      </c>
      <c r="X109" s="29"/>
      <c r="Y109" s="29" t="s">
        <v>60</v>
      </c>
      <c r="Z109" s="29"/>
      <c r="AA109" s="29" t="str">
        <f t="shared" si="2"/>
        <v>Yes</v>
      </c>
    </row>
    <row r="110" spans="1:27" ht="13.2" x14ac:dyDescent="0.25">
      <c r="B110" s="134" t="s">
        <v>1577</v>
      </c>
      <c r="C110" s="134" t="s">
        <v>1423</v>
      </c>
      <c r="D110" s="81" t="s">
        <v>1497</v>
      </c>
      <c r="E110" s="279" t="s">
        <v>58</v>
      </c>
      <c r="F110" s="279"/>
      <c r="G110" s="142" t="s">
        <v>1504</v>
      </c>
      <c r="H110" s="142"/>
      <c r="I110" s="29"/>
      <c r="J110" s="29" t="s">
        <v>1496</v>
      </c>
      <c r="K110" s="29"/>
      <c r="L110" s="29" t="s">
        <v>60</v>
      </c>
      <c r="M110" s="29"/>
      <c r="N110" s="29" t="s">
        <v>60</v>
      </c>
      <c r="O110" s="29"/>
      <c r="P110" s="29" t="str">
        <f t="shared" si="4"/>
        <v>Yes</v>
      </c>
      <c r="Q110" s="29"/>
      <c r="R110" s="29"/>
      <c r="S110" s="29" t="s">
        <v>60</v>
      </c>
      <c r="T110" s="29"/>
      <c r="U110" s="29" t="s">
        <v>60</v>
      </c>
      <c r="V110" s="29"/>
      <c r="W110" s="29" t="s">
        <v>58</v>
      </c>
      <c r="X110" s="29"/>
      <c r="Y110" s="29" t="s">
        <v>60</v>
      </c>
      <c r="Z110" s="29"/>
      <c r="AA110" s="29" t="str">
        <f t="shared" si="2"/>
        <v>Yes</v>
      </c>
    </row>
    <row r="111" spans="1:27" ht="13.2" x14ac:dyDescent="0.25">
      <c r="B111" s="134" t="s">
        <v>1578</v>
      </c>
      <c r="C111" s="134" t="s">
        <v>1406</v>
      </c>
      <c r="D111" s="81" t="s">
        <v>1494</v>
      </c>
      <c r="E111" s="279" t="s">
        <v>58</v>
      </c>
      <c r="F111" s="279"/>
      <c r="G111" s="142" t="s">
        <v>1495</v>
      </c>
      <c r="H111" s="142"/>
      <c r="I111" s="29"/>
      <c r="J111" s="29" t="s">
        <v>1496</v>
      </c>
      <c r="K111" s="29"/>
      <c r="L111" s="29" t="s">
        <v>58</v>
      </c>
      <c r="M111" s="29"/>
      <c r="N111" s="29" t="s">
        <v>60</v>
      </c>
      <c r="O111" s="29"/>
      <c r="P111" s="29" t="str">
        <f t="shared" si="4"/>
        <v>Yes</v>
      </c>
      <c r="Q111" s="29"/>
      <c r="R111" s="29"/>
      <c r="S111" s="29" t="s">
        <v>60</v>
      </c>
      <c r="T111" s="29"/>
      <c r="U111" s="29" t="s">
        <v>58</v>
      </c>
      <c r="V111" s="29"/>
      <c r="W111" s="29" t="s">
        <v>60</v>
      </c>
      <c r="X111" s="29"/>
      <c r="Y111" s="29" t="s">
        <v>58</v>
      </c>
      <c r="Z111" s="29"/>
      <c r="AA111" s="29" t="str">
        <f t="shared" si="2"/>
        <v>Yes</v>
      </c>
    </row>
    <row r="112" spans="1:27" ht="13.2" x14ac:dyDescent="0.25">
      <c r="B112" s="134" t="s">
        <v>1578</v>
      </c>
      <c r="C112" s="134" t="s">
        <v>1406</v>
      </c>
      <c r="D112" s="81" t="s">
        <v>1497</v>
      </c>
      <c r="E112" s="279" t="s">
        <v>58</v>
      </c>
      <c r="F112" s="279"/>
      <c r="G112" s="142" t="s">
        <v>1495</v>
      </c>
      <c r="H112" s="142"/>
      <c r="I112" s="29"/>
      <c r="J112" s="29" t="s">
        <v>60</v>
      </c>
      <c r="K112" s="29"/>
      <c r="L112" s="29" t="s">
        <v>60</v>
      </c>
      <c r="M112" s="29"/>
      <c r="N112" s="29" t="s">
        <v>60</v>
      </c>
      <c r="O112" s="29"/>
      <c r="P112" s="29" t="str">
        <f t="shared" si="4"/>
        <v>No</v>
      </c>
      <c r="Q112" s="29"/>
      <c r="R112" s="29"/>
      <c r="S112" s="29" t="s">
        <v>60</v>
      </c>
      <c r="T112" s="29"/>
      <c r="U112" s="29" t="s">
        <v>60</v>
      </c>
      <c r="V112" s="29"/>
      <c r="W112" s="29" t="s">
        <v>58</v>
      </c>
      <c r="X112" s="29"/>
      <c r="Y112" s="29" t="s">
        <v>60</v>
      </c>
      <c r="Z112" s="29"/>
      <c r="AA112" s="29" t="str">
        <f t="shared" si="2"/>
        <v>Yes</v>
      </c>
    </row>
    <row r="113" spans="1:27" ht="13.2" x14ac:dyDescent="0.25">
      <c r="B113" s="134" t="s">
        <v>1579</v>
      </c>
      <c r="C113" s="134" t="s">
        <v>1440</v>
      </c>
      <c r="D113" s="81" t="s">
        <v>1494</v>
      </c>
      <c r="E113" s="279" t="s">
        <v>58</v>
      </c>
      <c r="F113" s="279"/>
      <c r="G113" s="142" t="s">
        <v>1504</v>
      </c>
      <c r="H113" s="142"/>
      <c r="I113" s="29"/>
      <c r="J113" s="29" t="s">
        <v>60</v>
      </c>
      <c r="K113" s="29"/>
      <c r="L113" s="29" t="s">
        <v>60</v>
      </c>
      <c r="M113" s="29"/>
      <c r="N113" s="29" t="s">
        <v>60</v>
      </c>
      <c r="O113" s="29"/>
      <c r="P113" s="29" t="str">
        <f t="shared" si="4"/>
        <v>No</v>
      </c>
      <c r="Q113" s="29"/>
      <c r="R113" s="29"/>
      <c r="S113" s="29" t="s">
        <v>60</v>
      </c>
      <c r="T113" s="29"/>
      <c r="U113" s="29" t="s">
        <v>58</v>
      </c>
      <c r="V113" s="29"/>
      <c r="W113" s="29" t="s">
        <v>60</v>
      </c>
      <c r="X113" s="29"/>
      <c r="Y113" s="29" t="s">
        <v>60</v>
      </c>
      <c r="Z113" s="29"/>
      <c r="AA113" s="29" t="str">
        <f t="shared" si="2"/>
        <v>Yes</v>
      </c>
    </row>
    <row r="114" spans="1:27" ht="13.2" x14ac:dyDescent="0.25">
      <c r="B114" s="134" t="s">
        <v>1578</v>
      </c>
      <c r="C114" s="134" t="s">
        <v>1441</v>
      </c>
      <c r="D114" s="81" t="s">
        <v>1494</v>
      </c>
      <c r="E114" s="279" t="s">
        <v>58</v>
      </c>
      <c r="F114" s="279"/>
      <c r="G114" s="142" t="s">
        <v>1495</v>
      </c>
      <c r="H114" s="142"/>
      <c r="I114" s="29"/>
      <c r="J114" s="29" t="s">
        <v>60</v>
      </c>
      <c r="K114" s="29"/>
      <c r="L114" s="29" t="s">
        <v>60</v>
      </c>
      <c r="M114" s="29"/>
      <c r="N114" s="29" t="s">
        <v>60</v>
      </c>
      <c r="O114" s="29"/>
      <c r="P114" s="29" t="str">
        <f t="shared" si="4"/>
        <v>No</v>
      </c>
      <c r="Q114" s="29"/>
      <c r="R114" s="29"/>
      <c r="S114" s="29" t="s">
        <v>60</v>
      </c>
      <c r="T114" s="29"/>
      <c r="U114" s="29" t="s">
        <v>58</v>
      </c>
      <c r="V114" s="29"/>
      <c r="W114" s="29" t="s">
        <v>58</v>
      </c>
      <c r="X114" s="29"/>
      <c r="Y114" s="29" t="s">
        <v>60</v>
      </c>
      <c r="Z114" s="29"/>
      <c r="AA114" s="29" t="str">
        <f t="shared" si="2"/>
        <v>Yes</v>
      </c>
    </row>
    <row r="115" spans="1:27" ht="13.2" x14ac:dyDescent="0.25">
      <c r="B115" s="134" t="s">
        <v>1578</v>
      </c>
      <c r="C115" s="134" t="s">
        <v>1441</v>
      </c>
      <c r="D115" s="81" t="s">
        <v>1497</v>
      </c>
      <c r="E115" s="279" t="s">
        <v>58</v>
      </c>
      <c r="F115" s="279"/>
      <c r="G115" s="142" t="s">
        <v>1495</v>
      </c>
      <c r="H115" s="142"/>
      <c r="I115" s="29"/>
      <c r="J115" s="29" t="s">
        <v>60</v>
      </c>
      <c r="K115" s="29"/>
      <c r="L115" s="29" t="s">
        <v>60</v>
      </c>
      <c r="M115" s="29"/>
      <c r="N115" s="29" t="s">
        <v>58</v>
      </c>
      <c r="O115" s="29"/>
      <c r="P115" s="29" t="str">
        <f t="shared" si="4"/>
        <v>Yes</v>
      </c>
      <c r="Q115" s="29"/>
      <c r="R115" s="29"/>
      <c r="S115" s="29" t="s">
        <v>60</v>
      </c>
      <c r="T115" s="29"/>
      <c r="U115" s="29" t="s">
        <v>60</v>
      </c>
      <c r="V115" s="29"/>
      <c r="W115" s="29" t="s">
        <v>60</v>
      </c>
      <c r="X115" s="29"/>
      <c r="Y115" s="29" t="s">
        <v>60</v>
      </c>
      <c r="Z115" s="29"/>
      <c r="AA115" s="29" t="str">
        <f t="shared" si="2"/>
        <v>No</v>
      </c>
    </row>
    <row r="116" spans="1:27" ht="13.2" x14ac:dyDescent="0.25">
      <c r="B116" s="134" t="s">
        <v>1578</v>
      </c>
      <c r="C116" s="134" t="s">
        <v>1426</v>
      </c>
      <c r="D116" s="81" t="s">
        <v>1494</v>
      </c>
      <c r="E116" s="279" t="s">
        <v>58</v>
      </c>
      <c r="F116" s="279"/>
      <c r="G116" s="142" t="s">
        <v>1504</v>
      </c>
      <c r="H116" s="142"/>
      <c r="I116" s="29"/>
      <c r="J116" s="29" t="s">
        <v>1496</v>
      </c>
      <c r="K116" s="29"/>
      <c r="L116" s="29" t="s">
        <v>60</v>
      </c>
      <c r="M116" s="29"/>
      <c r="N116" s="29" t="s">
        <v>60</v>
      </c>
      <c r="O116" s="29"/>
      <c r="P116" s="29" t="str">
        <f t="shared" si="4"/>
        <v>Yes</v>
      </c>
      <c r="Q116" s="29"/>
      <c r="R116" s="29"/>
      <c r="S116" s="29" t="s">
        <v>58</v>
      </c>
      <c r="T116" s="29"/>
      <c r="U116" s="29" t="s">
        <v>60</v>
      </c>
      <c r="V116" s="29"/>
      <c r="W116" s="29" t="s">
        <v>58</v>
      </c>
      <c r="X116" s="29"/>
      <c r="Y116" s="29" t="s">
        <v>58</v>
      </c>
      <c r="Z116" s="29"/>
      <c r="AA116" s="29" t="str">
        <f t="shared" si="2"/>
        <v>Yes</v>
      </c>
    </row>
    <row r="117" spans="1:27" ht="13.2" x14ac:dyDescent="0.25">
      <c r="B117" s="134" t="s">
        <v>1580</v>
      </c>
      <c r="C117" s="134" t="s">
        <v>1547</v>
      </c>
      <c r="D117" s="81" t="s">
        <v>1494</v>
      </c>
      <c r="E117" s="279" t="s">
        <v>58</v>
      </c>
      <c r="F117" s="279"/>
      <c r="G117" s="142" t="s">
        <v>1504</v>
      </c>
      <c r="H117" s="142"/>
      <c r="I117" s="29"/>
      <c r="J117" s="29" t="s">
        <v>60</v>
      </c>
      <c r="K117" s="29"/>
      <c r="L117" s="29" t="s">
        <v>60</v>
      </c>
      <c r="M117" s="29"/>
      <c r="N117" s="29" t="s">
        <v>60</v>
      </c>
      <c r="O117" s="29"/>
      <c r="P117" s="29" t="str">
        <f t="shared" si="4"/>
        <v>No</v>
      </c>
      <c r="Q117" s="29"/>
      <c r="R117" s="29"/>
      <c r="S117" s="29" t="s">
        <v>60</v>
      </c>
      <c r="T117" s="29"/>
      <c r="U117" s="29" t="s">
        <v>60</v>
      </c>
      <c r="V117" s="29"/>
      <c r="W117" s="29" t="s">
        <v>60</v>
      </c>
      <c r="X117" s="29"/>
      <c r="Y117" s="29" t="s">
        <v>60</v>
      </c>
      <c r="Z117" s="29"/>
      <c r="AA117" s="29" t="str">
        <f t="shared" si="2"/>
        <v>No</v>
      </c>
    </row>
    <row r="118" spans="1:27" ht="13.2" x14ac:dyDescent="0.25">
      <c r="B118" s="134" t="s">
        <v>1581</v>
      </c>
      <c r="C118" s="134" t="s">
        <v>1408</v>
      </c>
      <c r="D118" s="81" t="s">
        <v>1494</v>
      </c>
      <c r="E118" s="279" t="s">
        <v>58</v>
      </c>
      <c r="F118" s="279"/>
      <c r="G118" s="142" t="s">
        <v>1495</v>
      </c>
      <c r="H118" s="142"/>
      <c r="I118" s="29"/>
      <c r="J118" s="29" t="s">
        <v>60</v>
      </c>
      <c r="K118" s="29"/>
      <c r="L118" s="29" t="s">
        <v>60</v>
      </c>
      <c r="M118" s="29"/>
      <c r="N118" s="29" t="s">
        <v>60</v>
      </c>
      <c r="O118" s="29"/>
      <c r="P118" s="29" t="str">
        <f t="shared" si="4"/>
        <v>No</v>
      </c>
      <c r="Q118" s="29"/>
      <c r="R118" s="29"/>
      <c r="S118" s="29" t="s">
        <v>60</v>
      </c>
      <c r="T118" s="29"/>
      <c r="U118" s="29" t="s">
        <v>60</v>
      </c>
      <c r="V118" s="29"/>
      <c r="W118" s="29" t="s">
        <v>60</v>
      </c>
      <c r="X118" s="29"/>
      <c r="Y118" s="29" t="s">
        <v>60</v>
      </c>
      <c r="Z118" s="29"/>
      <c r="AA118" s="29" t="str">
        <f t="shared" si="2"/>
        <v>No</v>
      </c>
    </row>
    <row r="119" spans="1:27" ht="13.2" x14ac:dyDescent="0.25">
      <c r="B119" s="134" t="s">
        <v>1581</v>
      </c>
      <c r="C119" s="134" t="s">
        <v>1408</v>
      </c>
      <c r="D119" s="81" t="s">
        <v>1497</v>
      </c>
      <c r="E119" s="279" t="s">
        <v>58</v>
      </c>
      <c r="F119" s="279"/>
      <c r="G119" s="142" t="s">
        <v>1495</v>
      </c>
      <c r="H119" s="142"/>
      <c r="I119" s="29"/>
      <c r="J119" s="29" t="s">
        <v>60</v>
      </c>
      <c r="K119" s="29"/>
      <c r="L119" s="29" t="s">
        <v>60</v>
      </c>
      <c r="M119" s="29"/>
      <c r="N119" s="29" t="s">
        <v>60</v>
      </c>
      <c r="O119" s="29"/>
      <c r="P119" s="29" t="str">
        <f t="shared" si="4"/>
        <v>No</v>
      </c>
      <c r="Q119" s="29"/>
      <c r="R119" s="29"/>
      <c r="S119" s="29" t="s">
        <v>60</v>
      </c>
      <c r="T119" s="29"/>
      <c r="U119" s="29" t="s">
        <v>60</v>
      </c>
      <c r="V119" s="29"/>
      <c r="W119" s="29" t="s">
        <v>60</v>
      </c>
      <c r="X119" s="29"/>
      <c r="Y119" s="29" t="s">
        <v>60</v>
      </c>
      <c r="Z119" s="29"/>
      <c r="AA119" s="29" t="str">
        <f t="shared" si="2"/>
        <v>No</v>
      </c>
    </row>
    <row r="120" spans="1:27" ht="13.2" x14ac:dyDescent="0.25">
      <c r="D120" s="81"/>
      <c r="E120" s="81"/>
      <c r="F120" s="81"/>
      <c r="G120" s="142"/>
      <c r="H120" s="142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</row>
    <row r="121" spans="1:27" ht="24.75" customHeight="1" x14ac:dyDescent="0.25">
      <c r="A121" s="328"/>
      <c r="B121" s="328"/>
      <c r="C121" s="328"/>
      <c r="D121" s="329"/>
      <c r="E121" s="330"/>
      <c r="F121" s="330"/>
      <c r="G121" s="331"/>
      <c r="H121" s="331"/>
      <c r="I121" s="332"/>
      <c r="J121" s="332"/>
      <c r="K121" s="332"/>
      <c r="L121" s="332"/>
      <c r="M121" s="332"/>
      <c r="N121" s="332"/>
      <c r="O121" s="400" t="s">
        <v>1483</v>
      </c>
      <c r="P121" s="400"/>
      <c r="Q121" s="333"/>
      <c r="R121" s="332"/>
      <c r="S121" s="332"/>
      <c r="T121" s="334"/>
      <c r="U121" s="334"/>
      <c r="V121" s="332"/>
      <c r="W121" s="332"/>
      <c r="X121" s="332"/>
      <c r="Y121" s="332"/>
      <c r="Z121" s="401" t="s">
        <v>1582</v>
      </c>
      <c r="AA121" s="401"/>
    </row>
    <row r="122" spans="1:27" ht="13.2" x14ac:dyDescent="0.25">
      <c r="D122" s="81"/>
      <c r="E122" s="81"/>
      <c r="F122" s="81"/>
      <c r="G122" s="142"/>
      <c r="H122" s="142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</row>
    <row r="123" spans="1:27" ht="13.2" x14ac:dyDescent="0.25">
      <c r="A123" s="220" t="s">
        <v>1443</v>
      </c>
      <c r="B123" s="220"/>
      <c r="D123" s="220" t="s">
        <v>58</v>
      </c>
      <c r="E123" s="232">
        <f>COUNTIF($E$9:$E$119,"Yes")</f>
        <v>99</v>
      </c>
      <c r="F123" s="220" t="s">
        <v>1495</v>
      </c>
      <c r="G123" s="232">
        <f>COUNTIF($G$9:$G$119,"Fully Forecast")</f>
        <v>48</v>
      </c>
      <c r="H123" s="232"/>
      <c r="I123" s="232"/>
      <c r="J123" s="232"/>
      <c r="K123" s="232"/>
      <c r="L123" s="232"/>
      <c r="M123" s="232"/>
      <c r="N123" s="232"/>
      <c r="O123" s="232" t="s">
        <v>58</v>
      </c>
      <c r="P123" s="232">
        <f>COUNTIF($P$9:$P$119,"Yes")</f>
        <v>60</v>
      </c>
      <c r="Q123" s="232"/>
      <c r="R123" s="232"/>
      <c r="S123" s="232"/>
      <c r="T123" s="232"/>
      <c r="U123" s="232"/>
      <c r="V123" s="232"/>
      <c r="W123" s="232"/>
      <c r="X123" s="232"/>
      <c r="Y123" s="232"/>
      <c r="Z123" s="232" t="s">
        <v>58</v>
      </c>
      <c r="AA123" s="232">
        <f>COUNTIF($AA$9:$AA$119,"Yes")</f>
        <v>78</v>
      </c>
    </row>
    <row r="124" spans="1:27" ht="13.2" x14ac:dyDescent="0.25">
      <c r="A124" s="220"/>
      <c r="B124" s="220"/>
      <c r="D124" s="220" t="s">
        <v>60</v>
      </c>
      <c r="E124" s="232">
        <f>COUNTIF($E$9:$E$119,"No")</f>
        <v>6</v>
      </c>
      <c r="F124" s="220" t="s">
        <v>1500</v>
      </c>
      <c r="G124" s="232">
        <f>COUNTIF($G$9:$G$119,"Partially Forecast")</f>
        <v>7</v>
      </c>
      <c r="H124" s="232"/>
      <c r="I124" s="232"/>
      <c r="J124" s="232"/>
      <c r="K124" s="232"/>
      <c r="L124" s="232"/>
      <c r="M124" s="232"/>
      <c r="N124" s="232"/>
      <c r="O124" s="232" t="s">
        <v>60</v>
      </c>
      <c r="P124" s="232">
        <f>COUNTIF($P$9:$P$119,"No")</f>
        <v>51</v>
      </c>
      <c r="Q124" s="232"/>
      <c r="R124" s="232"/>
      <c r="S124" s="232"/>
      <c r="T124" s="232"/>
      <c r="U124" s="232"/>
      <c r="V124" s="232"/>
      <c r="W124" s="232"/>
      <c r="X124" s="232"/>
      <c r="Y124" s="232"/>
      <c r="Z124" s="232" t="s">
        <v>60</v>
      </c>
      <c r="AA124" s="232">
        <f>COUNTIF($AA$9:$AA$119,"No")</f>
        <v>33</v>
      </c>
    </row>
    <row r="125" spans="1:27" ht="13.2" x14ac:dyDescent="0.25">
      <c r="A125" s="335"/>
      <c r="B125" s="335"/>
      <c r="D125" s="336" t="s">
        <v>1522</v>
      </c>
      <c r="E125" s="232">
        <f>COUNTIF($E$9:$E$119,"Yes - Sharing Band")</f>
        <v>6</v>
      </c>
      <c r="F125" s="336" t="s">
        <v>1504</v>
      </c>
      <c r="G125" s="232">
        <f>COUNTIF($G$9:$G$119,"Historical")</f>
        <v>56</v>
      </c>
      <c r="H125" s="232"/>
      <c r="I125" s="232"/>
      <c r="J125" s="232"/>
      <c r="K125" s="232"/>
      <c r="L125" s="232"/>
      <c r="M125" s="232"/>
      <c r="N125" s="232"/>
      <c r="O125" s="232"/>
      <c r="P125" s="232"/>
      <c r="Q125" s="232"/>
      <c r="R125" s="232"/>
      <c r="S125" s="232"/>
      <c r="T125" s="232"/>
      <c r="U125" s="232"/>
      <c r="V125" s="232"/>
      <c r="W125" s="232"/>
      <c r="X125" s="232"/>
      <c r="Y125" s="232"/>
      <c r="Z125" s="232"/>
      <c r="AA125" s="220"/>
    </row>
    <row r="126" spans="1:27" ht="13.2" x14ac:dyDescent="0.25">
      <c r="A126" s="335"/>
      <c r="B126" s="335"/>
      <c r="D126" s="336"/>
      <c r="F126" s="336"/>
      <c r="G126" s="232"/>
      <c r="H126" s="232"/>
      <c r="I126" s="232"/>
      <c r="J126" s="232"/>
      <c r="K126" s="232"/>
      <c r="L126" s="232"/>
      <c r="M126" s="232"/>
      <c r="N126" s="232"/>
      <c r="O126" s="232"/>
      <c r="P126" s="232"/>
      <c r="Q126" s="232"/>
      <c r="R126" s="232"/>
      <c r="S126" s="232"/>
      <c r="T126" s="232"/>
      <c r="U126" s="232"/>
      <c r="V126" s="232"/>
      <c r="W126" s="232"/>
      <c r="X126" s="232"/>
      <c r="Y126" s="232"/>
      <c r="Z126" s="232"/>
      <c r="AA126" s="220"/>
    </row>
    <row r="127" spans="1:27" ht="13.2" x14ac:dyDescent="0.25">
      <c r="A127" s="337"/>
      <c r="B127" s="337"/>
      <c r="D127" s="336"/>
      <c r="F127" s="232"/>
      <c r="G127" s="232"/>
      <c r="H127" s="232"/>
      <c r="I127" s="232"/>
      <c r="J127" s="232"/>
      <c r="K127" s="232"/>
      <c r="L127" s="232"/>
      <c r="M127" s="232"/>
      <c r="N127" s="232"/>
      <c r="O127" s="232"/>
      <c r="P127" s="232"/>
      <c r="Q127" s="232"/>
      <c r="R127" s="232"/>
      <c r="S127" s="232"/>
      <c r="T127" s="232"/>
      <c r="U127" s="232"/>
      <c r="V127" s="232"/>
      <c r="W127" s="232"/>
      <c r="X127" s="232"/>
      <c r="Y127" s="232"/>
      <c r="Z127" s="232"/>
      <c r="AA127" s="220"/>
    </row>
    <row r="128" spans="1:27" ht="13.2" x14ac:dyDescent="0.25">
      <c r="D128" s="134" t="s">
        <v>58</v>
      </c>
      <c r="E128" s="338">
        <f>E123/(E123+E124+E125)</f>
        <v>0.89189189189189189</v>
      </c>
      <c r="F128" s="336" t="s">
        <v>1583</v>
      </c>
      <c r="G128" s="338">
        <f>(G123+G124)/(G123+G124+G125)</f>
        <v>0.49549549549549549</v>
      </c>
      <c r="H128" s="338"/>
      <c r="I128" s="232"/>
      <c r="J128" s="338"/>
      <c r="K128" s="338"/>
      <c r="L128" s="338"/>
      <c r="M128" s="338"/>
      <c r="N128" s="338"/>
      <c r="O128" s="338" t="s">
        <v>1584</v>
      </c>
      <c r="P128" s="338">
        <f>P123/(P123+P124)</f>
        <v>0.54054054054054057</v>
      </c>
      <c r="Q128" s="338"/>
      <c r="R128" s="338"/>
      <c r="S128" s="338"/>
      <c r="T128" s="338"/>
      <c r="U128" s="338"/>
      <c r="V128" s="338"/>
      <c r="W128" s="338"/>
      <c r="X128" s="338"/>
      <c r="Y128" s="338"/>
      <c r="Z128" s="232" t="s">
        <v>1582</v>
      </c>
      <c r="AA128" s="338">
        <f>AA123/(AA123+AA124)</f>
        <v>0.70270270270270274</v>
      </c>
    </row>
    <row r="129" spans="1:27" ht="13.2" x14ac:dyDescent="0.25">
      <c r="A129" s="339"/>
      <c r="B129" s="339"/>
      <c r="C129" s="339"/>
      <c r="D129" s="340"/>
      <c r="E129" s="340"/>
      <c r="F129" s="340"/>
      <c r="G129" s="341"/>
      <c r="H129" s="341"/>
      <c r="I129" s="342"/>
      <c r="J129" s="342"/>
      <c r="K129" s="342"/>
      <c r="L129" s="342"/>
      <c r="M129" s="342"/>
      <c r="N129" s="342"/>
      <c r="O129" s="342"/>
      <c r="P129" s="342"/>
      <c r="Q129" s="342"/>
      <c r="R129" s="342"/>
      <c r="S129" s="342"/>
      <c r="T129" s="342"/>
      <c r="U129" s="342"/>
      <c r="V129" s="342"/>
      <c r="W129" s="342"/>
      <c r="X129" s="342"/>
      <c r="Y129" s="342"/>
      <c r="Z129" s="342"/>
      <c r="AA129" s="342"/>
    </row>
    <row r="130" spans="1:27" ht="13.8" thickBot="1" x14ac:dyDescent="0.3">
      <c r="A130" s="343" t="s">
        <v>1585</v>
      </c>
      <c r="B130" s="343"/>
      <c r="C130" s="343" t="s">
        <v>1445</v>
      </c>
      <c r="D130" s="344" t="s">
        <v>1586</v>
      </c>
      <c r="E130" s="345" t="s">
        <v>1522</v>
      </c>
      <c r="F130" s="346"/>
      <c r="G130" s="374" t="s">
        <v>1504</v>
      </c>
      <c r="H130" s="374"/>
      <c r="I130" s="375"/>
      <c r="J130" s="375"/>
      <c r="K130" s="375"/>
      <c r="L130" s="375"/>
      <c r="M130" s="375"/>
      <c r="N130" s="375"/>
      <c r="O130" s="375"/>
      <c r="P130" s="375" t="str">
        <f>IF(AND(J130="No",L130="No",N130="No"),"No","Yes")</f>
        <v>Yes</v>
      </c>
      <c r="Q130" s="376"/>
      <c r="R130" s="376"/>
      <c r="S130" s="375"/>
      <c r="T130" s="375"/>
      <c r="U130" s="375"/>
      <c r="V130" s="375"/>
      <c r="W130" s="375"/>
      <c r="X130" s="375"/>
      <c r="Y130" s="375"/>
      <c r="Z130" s="375"/>
      <c r="AA130" s="375" t="s">
        <v>60</v>
      </c>
    </row>
    <row r="131" spans="1:27" ht="13.2" x14ac:dyDescent="0.25"/>
    <row r="133" spans="1:27" ht="13.2" x14ac:dyDescent="0.25">
      <c r="A133" s="347" t="s">
        <v>104</v>
      </c>
    </row>
    <row r="134" spans="1:27" ht="13.2" x14ac:dyDescent="0.25">
      <c r="A134" s="335" t="s">
        <v>1587</v>
      </c>
    </row>
    <row r="135" spans="1:27" ht="12.75" customHeight="1" x14ac:dyDescent="0.25">
      <c r="A135" s="402" t="s">
        <v>1588</v>
      </c>
      <c r="B135" s="402"/>
      <c r="C135" s="402"/>
      <c r="D135" s="402"/>
      <c r="E135" s="402"/>
      <c r="F135" s="402"/>
      <c r="G135" s="402"/>
      <c r="H135" s="402"/>
      <c r="I135" s="402"/>
      <c r="J135" s="402"/>
      <c r="K135" s="402"/>
      <c r="L135" s="402"/>
      <c r="M135" s="348"/>
      <c r="N135" s="348"/>
      <c r="O135" s="348"/>
      <c r="P135" s="348"/>
      <c r="Q135" s="348"/>
      <c r="R135" s="348"/>
      <c r="S135" s="349"/>
      <c r="T135" s="349"/>
      <c r="U135" s="349"/>
      <c r="V135" s="349"/>
      <c r="W135" s="349"/>
      <c r="X135" s="349"/>
      <c r="Y135" s="349"/>
      <c r="Z135" s="348"/>
      <c r="AA135" s="348"/>
    </row>
    <row r="136" spans="1:27" ht="12.75" customHeight="1" x14ac:dyDescent="0.25">
      <c r="A136" s="335" t="s">
        <v>1589</v>
      </c>
      <c r="B136" s="349"/>
      <c r="C136" s="349"/>
      <c r="D136" s="349"/>
      <c r="E136" s="349"/>
      <c r="F136" s="349"/>
      <c r="G136" s="349"/>
      <c r="H136" s="349"/>
      <c r="I136" s="349"/>
      <c r="J136" s="349"/>
      <c r="K136" s="349"/>
      <c r="L136" s="349"/>
      <c r="M136" s="348"/>
      <c r="N136" s="348"/>
      <c r="O136" s="348"/>
      <c r="P136" s="348"/>
      <c r="Q136" s="348"/>
      <c r="R136" s="348"/>
      <c r="S136" s="349"/>
      <c r="T136" s="349"/>
      <c r="U136" s="349"/>
      <c r="V136" s="349"/>
      <c r="W136" s="349"/>
      <c r="X136" s="349"/>
      <c r="Y136" s="349"/>
      <c r="Z136" s="348"/>
      <c r="AA136" s="348"/>
    </row>
    <row r="137" spans="1:27" ht="13.2" x14ac:dyDescent="0.25">
      <c r="A137" s="335" t="s">
        <v>1590</v>
      </c>
      <c r="B137" s="335"/>
      <c r="C137" s="349"/>
      <c r="D137" s="349"/>
      <c r="E137" s="349"/>
      <c r="F137" s="349"/>
      <c r="G137" s="349"/>
      <c r="H137" s="349"/>
      <c r="I137" s="349"/>
      <c r="J137" s="349"/>
      <c r="K137" s="349"/>
      <c r="L137" s="349"/>
      <c r="M137" s="349"/>
      <c r="N137" s="349"/>
      <c r="O137" s="349"/>
      <c r="P137" s="349"/>
      <c r="Q137" s="349"/>
      <c r="R137" s="349"/>
      <c r="S137" s="349"/>
      <c r="T137" s="349"/>
      <c r="U137" s="349"/>
      <c r="V137" s="349"/>
      <c r="W137" s="349"/>
      <c r="X137" s="349"/>
      <c r="Y137" s="349"/>
      <c r="Z137" s="349"/>
      <c r="AA137" s="349"/>
    </row>
    <row r="138" spans="1:27" ht="13.2" x14ac:dyDescent="0.25">
      <c r="A138" s="335" t="s">
        <v>1591</v>
      </c>
      <c r="B138" s="335"/>
      <c r="C138" s="349"/>
      <c r="D138" s="349"/>
      <c r="E138" s="349"/>
      <c r="F138" s="349"/>
      <c r="G138" s="349"/>
      <c r="H138" s="349"/>
      <c r="I138" s="349"/>
      <c r="J138" s="349"/>
      <c r="K138" s="349"/>
      <c r="L138" s="349"/>
      <c r="M138" s="349"/>
      <c r="N138" s="349"/>
      <c r="O138" s="349"/>
      <c r="P138" s="349"/>
      <c r="Q138" s="349"/>
      <c r="R138" s="349"/>
      <c r="S138" s="349"/>
      <c r="T138" s="349"/>
      <c r="U138" s="349"/>
      <c r="V138" s="349"/>
      <c r="W138" s="349"/>
      <c r="X138" s="349"/>
      <c r="Y138" s="349"/>
      <c r="Z138" s="349"/>
      <c r="AA138" s="349"/>
    </row>
    <row r="139" spans="1:27" ht="13.2" x14ac:dyDescent="0.25">
      <c r="A139" s="335" t="s">
        <v>1592</v>
      </c>
      <c r="B139" s="335"/>
      <c r="C139" s="349"/>
      <c r="D139" s="349"/>
      <c r="E139" s="349"/>
      <c r="F139" s="349"/>
      <c r="G139" s="349"/>
      <c r="H139" s="349"/>
      <c r="I139" s="349"/>
      <c r="J139" s="349"/>
      <c r="K139" s="349"/>
      <c r="L139" s="349"/>
      <c r="M139" s="349"/>
      <c r="N139" s="349"/>
      <c r="O139" s="349"/>
      <c r="P139" s="349"/>
      <c r="Q139" s="349"/>
      <c r="R139" s="349"/>
      <c r="S139" s="349"/>
      <c r="T139" s="349"/>
      <c r="U139" s="349"/>
      <c r="V139" s="349"/>
      <c r="W139" s="349"/>
      <c r="X139" s="349"/>
      <c r="Y139" s="349"/>
      <c r="Z139" s="349"/>
      <c r="AA139" s="349"/>
    </row>
    <row r="140" spans="1:27" ht="13.2" x14ac:dyDescent="0.25">
      <c r="A140" s="335" t="s">
        <v>1593</v>
      </c>
      <c r="B140" s="335"/>
      <c r="C140" s="349"/>
      <c r="D140" s="349"/>
      <c r="E140" s="349"/>
      <c r="F140" s="349"/>
      <c r="G140" s="349"/>
      <c r="H140" s="349"/>
      <c r="I140" s="349"/>
      <c r="J140" s="349"/>
      <c r="K140" s="349"/>
      <c r="L140" s="349"/>
      <c r="M140" s="349"/>
      <c r="N140" s="349"/>
      <c r="O140" s="349"/>
      <c r="P140" s="349"/>
      <c r="Q140" s="349"/>
      <c r="R140" s="349"/>
      <c r="S140" s="349"/>
      <c r="T140" s="349"/>
      <c r="U140" s="349"/>
      <c r="V140" s="349"/>
      <c r="W140" s="349"/>
      <c r="X140" s="349"/>
      <c r="Y140" s="349"/>
      <c r="Z140" s="349"/>
      <c r="AA140" s="349"/>
    </row>
    <row r="141" spans="1:27" ht="13.2" x14ac:dyDescent="0.25">
      <c r="A141" s="335" t="s">
        <v>1594</v>
      </c>
      <c r="B141" s="335"/>
      <c r="C141" s="349"/>
      <c r="D141" s="349"/>
      <c r="E141" s="349"/>
      <c r="F141" s="349"/>
      <c r="G141" s="349"/>
      <c r="H141" s="349"/>
      <c r="I141" s="349"/>
      <c r="J141" s="349"/>
      <c r="K141" s="349"/>
      <c r="L141" s="349"/>
      <c r="M141" s="349"/>
      <c r="N141" s="349"/>
      <c r="O141" s="349"/>
      <c r="P141" s="349"/>
      <c r="Q141" s="349"/>
      <c r="R141" s="349"/>
      <c r="S141" s="349"/>
      <c r="T141" s="349"/>
      <c r="U141" s="349"/>
      <c r="V141" s="349"/>
      <c r="W141" s="349"/>
      <c r="X141" s="349"/>
      <c r="Y141" s="349"/>
      <c r="Z141" s="349"/>
      <c r="AA141" s="349"/>
    </row>
    <row r="142" spans="1:27" ht="13.2" x14ac:dyDescent="0.25">
      <c r="A142" s="335" t="s">
        <v>1595</v>
      </c>
      <c r="B142" s="335"/>
      <c r="C142" s="349"/>
      <c r="D142" s="349"/>
      <c r="E142" s="349"/>
      <c r="F142" s="349"/>
      <c r="G142" s="349"/>
      <c r="H142" s="349"/>
      <c r="I142" s="349"/>
      <c r="J142" s="349"/>
      <c r="K142" s="349"/>
      <c r="L142" s="349"/>
      <c r="M142" s="349"/>
      <c r="N142" s="349"/>
      <c r="O142" s="349"/>
      <c r="P142" s="349"/>
      <c r="Q142" s="349"/>
      <c r="R142" s="349"/>
      <c r="S142" s="349"/>
      <c r="T142" s="349"/>
      <c r="U142" s="349"/>
      <c r="V142" s="349"/>
      <c r="W142" s="349"/>
      <c r="X142" s="349"/>
      <c r="Y142" s="349"/>
      <c r="Z142" s="349"/>
      <c r="AA142" s="349"/>
    </row>
    <row r="143" spans="1:27" ht="13.2" x14ac:dyDescent="0.25">
      <c r="A143" s="335"/>
      <c r="B143" s="335"/>
      <c r="C143" s="349"/>
      <c r="D143" s="349"/>
      <c r="E143" s="349"/>
      <c r="F143" s="349"/>
      <c r="G143" s="349"/>
      <c r="H143" s="349"/>
      <c r="I143" s="349"/>
      <c r="J143" s="349"/>
      <c r="K143" s="349"/>
      <c r="L143" s="349"/>
      <c r="M143" s="349"/>
      <c r="N143" s="349"/>
      <c r="O143" s="349"/>
      <c r="P143" s="349"/>
      <c r="Q143" s="349"/>
      <c r="R143" s="349"/>
      <c r="S143" s="349"/>
      <c r="T143" s="349"/>
      <c r="U143" s="349"/>
      <c r="V143" s="349"/>
      <c r="W143" s="349"/>
      <c r="X143" s="349"/>
      <c r="Y143" s="349"/>
      <c r="Z143" s="349"/>
      <c r="AA143" s="349"/>
    </row>
    <row r="144" spans="1:27" ht="13.2" x14ac:dyDescent="0.25">
      <c r="A144" s="335"/>
      <c r="B144" s="335"/>
      <c r="C144" s="349"/>
      <c r="D144" s="349"/>
      <c r="E144" s="349"/>
      <c r="F144" s="349"/>
      <c r="G144" s="349"/>
      <c r="H144" s="349"/>
      <c r="I144" s="349"/>
      <c r="J144" s="349"/>
      <c r="K144" s="349"/>
      <c r="L144" s="349"/>
      <c r="M144" s="349"/>
      <c r="N144" s="349"/>
      <c r="O144" s="349"/>
      <c r="P144" s="349"/>
      <c r="Q144" s="349"/>
      <c r="R144" s="349"/>
      <c r="S144" s="349"/>
      <c r="T144" s="349"/>
      <c r="U144" s="349"/>
      <c r="V144" s="349"/>
      <c r="W144" s="349"/>
      <c r="X144" s="349"/>
      <c r="Y144" s="349"/>
      <c r="Z144" s="349"/>
      <c r="AA144" s="349"/>
    </row>
    <row r="148" spans="1:8" ht="13.2" x14ac:dyDescent="0.25"/>
    <row r="151" spans="1:8" ht="13.2" x14ac:dyDescent="0.25">
      <c r="G151" s="142"/>
      <c r="H151" s="142"/>
    </row>
    <row r="152" spans="1:8" ht="13.2" x14ac:dyDescent="0.25">
      <c r="G152" s="142"/>
      <c r="H152" s="142"/>
    </row>
    <row r="153" spans="1:8" ht="13.2" x14ac:dyDescent="0.25">
      <c r="A153" s="350"/>
      <c r="B153" s="350"/>
      <c r="C153" s="350"/>
      <c r="D153" s="149"/>
      <c r="E153" s="149"/>
      <c r="F153" s="149"/>
      <c r="G153" s="351"/>
      <c r="H153" s="351"/>
    </row>
    <row r="154" spans="1:8" ht="13.2" x14ac:dyDescent="0.25">
      <c r="G154" s="142"/>
      <c r="H154" s="142"/>
    </row>
    <row r="155" spans="1:8" ht="13.2" x14ac:dyDescent="0.25">
      <c r="G155" s="142"/>
      <c r="H155" s="142"/>
    </row>
    <row r="195" ht="15.75" customHeight="1" x14ac:dyDescent="0.25"/>
  </sheetData>
  <mergeCells count="30">
    <mergeCell ref="A1:E1"/>
    <mergeCell ref="I7:J7"/>
    <mergeCell ref="X7:Y7"/>
    <mergeCell ref="Z7:AA7"/>
    <mergeCell ref="I5:J5"/>
    <mergeCell ref="K5:L5"/>
    <mergeCell ref="M5:N5"/>
    <mergeCell ref="O5:P5"/>
    <mergeCell ref="R5:S5"/>
    <mergeCell ref="T5:U5"/>
    <mergeCell ref="V5:W5"/>
    <mergeCell ref="X5:Y5"/>
    <mergeCell ref="Z5:AA5"/>
    <mergeCell ref="E6:E7"/>
    <mergeCell ref="O121:P121"/>
    <mergeCell ref="Z121:AA121"/>
    <mergeCell ref="A135:L135"/>
    <mergeCell ref="K7:L7"/>
    <mergeCell ref="M7:N7"/>
    <mergeCell ref="O7:P7"/>
    <mergeCell ref="R7:S7"/>
    <mergeCell ref="T7:U7"/>
    <mergeCell ref="V7:W7"/>
    <mergeCell ref="A6:A7"/>
    <mergeCell ref="B6:B7"/>
    <mergeCell ref="C6:C7"/>
    <mergeCell ref="D6:D7"/>
    <mergeCell ref="G6:G7"/>
    <mergeCell ref="I6:P6"/>
    <mergeCell ref="R6:AA6"/>
  </mergeCells>
  <conditionalFormatting sqref="A17:B19 A76:B89">
    <cfRule type="expression" dxfId="3" priority="5">
      <formula>#REF!</formula>
    </cfRule>
    <cfRule type="expression" dxfId="2" priority="6">
      <formula>"(blank)"</formula>
    </cfRule>
  </conditionalFormatting>
  <conditionalFormatting sqref="A54:B75">
    <cfRule type="expression" dxfId="1" priority="1">
      <formula>#REF!</formula>
    </cfRule>
    <cfRule type="expression" dxfId="0" priority="2">
      <formula>"(blank)"</formula>
    </cfRule>
  </conditionalFormatting>
  <printOptions horizontalCentered="1"/>
  <pageMargins left="0.7" right="0.7" top="0.75" bottom="0.75" header="0.3" footer="0.3"/>
  <pageSetup scale="48" fitToWidth="2" pageOrder="overThenDown" orientation="landscape" useFirstPageNumber="1" horizontalDpi="1200" verticalDpi="1200" r:id="rId1"/>
  <headerFooter scaleWithDoc="0">
    <oddHeader>&amp;C&amp;"Times New Roman,Bold"&amp;7
COMPARISON OF PUGET SOUND ENERGY AND PROXY GROUP COMPANIES
RISK ASSESSMENT</oddHeader>
    <oddFooter xml:space="preserve">&amp;L&amp;"Times New Roman,Bold"&amp;12&amp;KC00000Draft- Privileged and Confidential&amp;R&amp;"Times New Roman,Regular"&amp;12Exhibit AEB-13
Page &amp;P of &amp;N </oddFooter>
  </headerFooter>
  <rowBreaks count="1" manualBreakCount="1">
    <brk id="75" max="16383" man="1"/>
  </rowBreaks>
  <colBreaks count="1" manualBreakCount="1">
    <brk id="8" max="1048575" man="1"/>
  </colBreaks>
  <ignoredErrors>
    <ignoredError sqref="E124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pageSetUpPr autoPageBreaks="0"/>
  </sheetPr>
  <dimension ref="A2:N95"/>
  <sheetViews>
    <sheetView view="pageBreakPreview" zoomScale="60" zoomScaleNormal="85" workbookViewId="0"/>
  </sheetViews>
  <sheetFormatPr defaultColWidth="9" defaultRowHeight="15" customHeight="1" x14ac:dyDescent="0.25"/>
  <cols>
    <col min="1" max="1" width="31.88671875" style="220" customWidth="1"/>
    <col min="2" max="2" width="15.33203125" style="220" bestFit="1" customWidth="1"/>
    <col min="3" max="3" width="19.109375" style="220" bestFit="1" customWidth="1"/>
    <col min="4" max="4" width="12" style="220" bestFit="1" customWidth="1"/>
    <col min="5" max="5" width="9" style="220"/>
    <col min="6" max="6" width="14" style="220" bestFit="1" customWidth="1"/>
    <col min="7" max="7" width="5.6640625" style="220" bestFit="1" customWidth="1"/>
    <col min="8" max="8" width="9" style="220"/>
    <col min="9" max="14" width="9" style="1"/>
    <col min="15" max="16384" width="9" style="220"/>
  </cols>
  <sheetData>
    <row r="2" spans="1:7" ht="13.2" x14ac:dyDescent="0.25">
      <c r="A2" s="413" t="s">
        <v>1385</v>
      </c>
      <c r="B2" s="413"/>
      <c r="C2" s="413"/>
      <c r="D2" s="413"/>
    </row>
    <row r="3" spans="1:7" ht="13.2" x14ac:dyDescent="0.25">
      <c r="A3" s="413" t="s">
        <v>1596</v>
      </c>
      <c r="B3" s="414"/>
      <c r="C3" s="414"/>
      <c r="D3" s="414"/>
      <c r="E3" s="221"/>
    </row>
    <row r="4" spans="1:7" ht="13.2" x14ac:dyDescent="0.25">
      <c r="E4" s="222"/>
    </row>
    <row r="5" spans="1:7" ht="13.8" thickBot="1" x14ac:dyDescent="0.3">
      <c r="A5" s="221"/>
      <c r="B5" s="221"/>
      <c r="C5" s="223" t="s">
        <v>38</v>
      </c>
      <c r="D5" s="223" t="s">
        <v>39</v>
      </c>
    </row>
    <row r="6" spans="1:7" ht="13.2" x14ac:dyDescent="0.25">
      <c r="A6" s="224" t="s">
        <v>1387</v>
      </c>
      <c r="B6" s="225" t="s">
        <v>1388</v>
      </c>
      <c r="C6" s="415" t="s">
        <v>1389</v>
      </c>
      <c r="D6" s="415"/>
    </row>
    <row r="7" spans="1:7" ht="26.4" x14ac:dyDescent="0.25">
      <c r="A7" s="226"/>
      <c r="B7" s="227"/>
      <c r="C7" s="228" t="s">
        <v>1391</v>
      </c>
      <c r="D7" s="229" t="s">
        <v>1392</v>
      </c>
    </row>
    <row r="8" spans="1:7" ht="13.2" x14ac:dyDescent="0.25"/>
    <row r="9" spans="1:7" ht="13.2" x14ac:dyDescent="0.25">
      <c r="A9" s="220" t="s">
        <v>56</v>
      </c>
      <c r="B9" s="220" t="s">
        <v>1395</v>
      </c>
      <c r="C9" s="232" t="s">
        <v>1597</v>
      </c>
      <c r="D9" s="232">
        <f t="shared" ref="D9:D40" si="0">IFERROR(INDEX($G$12:$G$20,MATCH(C9,$F$12:$F$20,0)),"")</f>
        <v>4</v>
      </c>
      <c r="F9" s="416" t="s">
        <v>1390</v>
      </c>
      <c r="G9" s="416"/>
    </row>
    <row r="10" spans="1:7" ht="13.2" x14ac:dyDescent="0.25">
      <c r="B10" s="220" t="s">
        <v>1398</v>
      </c>
      <c r="C10" s="232" t="s">
        <v>1598</v>
      </c>
      <c r="D10" s="232">
        <f t="shared" si="0"/>
        <v>5</v>
      </c>
    </row>
    <row r="11" spans="1:7" ht="13.2" x14ac:dyDescent="0.25">
      <c r="B11" s="220" t="s">
        <v>1401</v>
      </c>
      <c r="C11" s="232" t="s">
        <v>1599</v>
      </c>
      <c r="D11" s="232">
        <f t="shared" si="0"/>
        <v>7</v>
      </c>
      <c r="F11" s="230" t="s">
        <v>1393</v>
      </c>
      <c r="G11" s="231" t="s">
        <v>1394</v>
      </c>
    </row>
    <row r="12" spans="1:7" ht="13.2" x14ac:dyDescent="0.25">
      <c r="B12" s="220" t="s">
        <v>1403</v>
      </c>
      <c r="C12" s="232" t="s">
        <v>1600</v>
      </c>
      <c r="D12" s="232">
        <f t="shared" si="0"/>
        <v>6</v>
      </c>
      <c r="F12" s="233" t="s">
        <v>1601</v>
      </c>
      <c r="G12" s="234">
        <v>9</v>
      </c>
    </row>
    <row r="13" spans="1:7" ht="13.2" x14ac:dyDescent="0.25">
      <c r="B13" s="220" t="s">
        <v>1404</v>
      </c>
      <c r="C13" s="232" t="s">
        <v>1602</v>
      </c>
      <c r="D13" s="232">
        <f t="shared" si="0"/>
        <v>2</v>
      </c>
      <c r="F13" s="235" t="s">
        <v>1603</v>
      </c>
      <c r="G13" s="236">
        <v>8</v>
      </c>
    </row>
    <row r="14" spans="1:7" ht="13.2" x14ac:dyDescent="0.25">
      <c r="B14" s="220" t="s">
        <v>1405</v>
      </c>
      <c r="C14" s="232" t="s">
        <v>1598</v>
      </c>
      <c r="D14" s="232">
        <f t="shared" si="0"/>
        <v>5</v>
      </c>
      <c r="F14" s="235" t="s">
        <v>1599</v>
      </c>
      <c r="G14" s="236">
        <v>7</v>
      </c>
    </row>
    <row r="15" spans="1:7" ht="13.2" x14ac:dyDescent="0.25">
      <c r="A15" s="220" t="s">
        <v>61</v>
      </c>
      <c r="B15" s="220" t="s">
        <v>1406</v>
      </c>
      <c r="C15" s="232" t="s">
        <v>1598</v>
      </c>
      <c r="D15" s="232">
        <f t="shared" si="0"/>
        <v>5</v>
      </c>
      <c r="F15" s="235" t="s">
        <v>1600</v>
      </c>
      <c r="G15" s="236">
        <v>6</v>
      </c>
    </row>
    <row r="16" spans="1:7" ht="13.2" x14ac:dyDescent="0.25">
      <c r="A16" s="220" t="s">
        <v>64</v>
      </c>
      <c r="B16" s="220" t="s">
        <v>1407</v>
      </c>
      <c r="C16" s="232" t="s">
        <v>1604</v>
      </c>
      <c r="D16" s="232">
        <f t="shared" si="0"/>
        <v>3</v>
      </c>
      <c r="F16" s="235" t="s">
        <v>1598</v>
      </c>
      <c r="G16" s="236">
        <v>5</v>
      </c>
    </row>
    <row r="17" spans="1:7" ht="13.2" x14ac:dyDescent="0.25">
      <c r="B17" s="220" t="s">
        <v>1408</v>
      </c>
      <c r="C17" s="232" t="s">
        <v>1604</v>
      </c>
      <c r="D17" s="232">
        <f t="shared" si="0"/>
        <v>3</v>
      </c>
      <c r="F17" s="235" t="s">
        <v>1597</v>
      </c>
      <c r="G17" s="236">
        <v>4</v>
      </c>
    </row>
    <row r="18" spans="1:7" ht="13.2" x14ac:dyDescent="0.25">
      <c r="A18" s="220" t="s">
        <v>67</v>
      </c>
      <c r="B18" s="220" t="s">
        <v>1409</v>
      </c>
      <c r="C18" s="232" t="s">
        <v>1598</v>
      </c>
      <c r="D18" s="232">
        <f t="shared" si="0"/>
        <v>5</v>
      </c>
      <c r="F18" s="235" t="s">
        <v>1604</v>
      </c>
      <c r="G18" s="236">
        <v>3</v>
      </c>
    </row>
    <row r="19" spans="1:7" ht="13.2" x14ac:dyDescent="0.25">
      <c r="B19" s="220" t="s">
        <v>1410</v>
      </c>
      <c r="C19" s="232" t="s">
        <v>1600</v>
      </c>
      <c r="D19" s="232">
        <f t="shared" si="0"/>
        <v>6</v>
      </c>
      <c r="F19" s="235" t="s">
        <v>1602</v>
      </c>
      <c r="G19" s="236">
        <v>2</v>
      </c>
    </row>
    <row r="20" spans="1:7" ht="13.2" x14ac:dyDescent="0.25">
      <c r="A20" s="220" t="s">
        <v>69</v>
      </c>
      <c r="B20" s="220" t="s">
        <v>1411</v>
      </c>
      <c r="C20" s="232" t="s">
        <v>1597</v>
      </c>
      <c r="D20" s="232">
        <f t="shared" si="0"/>
        <v>4</v>
      </c>
      <c r="F20" s="237" t="s">
        <v>1605</v>
      </c>
      <c r="G20" s="238">
        <v>1</v>
      </c>
    </row>
    <row r="21" spans="1:7" ht="13.2" x14ac:dyDescent="0.25">
      <c r="B21" s="220" t="s">
        <v>1395</v>
      </c>
      <c r="C21" s="232" t="s">
        <v>1597</v>
      </c>
      <c r="D21" s="232">
        <f t="shared" si="0"/>
        <v>4</v>
      </c>
    </row>
    <row r="22" spans="1:7" ht="13.2" x14ac:dyDescent="0.25">
      <c r="B22" s="220" t="s">
        <v>1398</v>
      </c>
      <c r="C22" s="232" t="s">
        <v>1598</v>
      </c>
      <c r="D22" s="232">
        <f t="shared" si="0"/>
        <v>5</v>
      </c>
    </row>
    <row r="23" spans="1:7" ht="13.2" x14ac:dyDescent="0.25">
      <c r="B23" s="220" t="s">
        <v>1412</v>
      </c>
      <c r="C23" s="232" t="s">
        <v>1598</v>
      </c>
      <c r="D23" s="232">
        <f t="shared" si="0"/>
        <v>5</v>
      </c>
    </row>
    <row r="24" spans="1:7" ht="13.2" x14ac:dyDescent="0.25">
      <c r="B24" s="220" t="s">
        <v>1413</v>
      </c>
      <c r="C24" s="232" t="s">
        <v>1604</v>
      </c>
      <c r="D24" s="232">
        <f t="shared" si="0"/>
        <v>3</v>
      </c>
    </row>
    <row r="25" spans="1:7" ht="13.2" x14ac:dyDescent="0.25">
      <c r="B25" s="220" t="s">
        <v>1403</v>
      </c>
      <c r="C25" s="232" t="s">
        <v>1600</v>
      </c>
      <c r="D25" s="232">
        <f t="shared" si="0"/>
        <v>6</v>
      </c>
    </row>
    <row r="26" spans="1:7" ht="13.2" x14ac:dyDescent="0.25">
      <c r="B26" s="220" t="s">
        <v>1414</v>
      </c>
      <c r="C26" s="232" t="s">
        <v>1598</v>
      </c>
      <c r="D26" s="232">
        <f t="shared" si="0"/>
        <v>5</v>
      </c>
    </row>
    <row r="27" spans="1:7" ht="13.2" x14ac:dyDescent="0.25">
      <c r="B27" s="220" t="s">
        <v>1415</v>
      </c>
      <c r="C27" s="232" t="s">
        <v>1604</v>
      </c>
      <c r="D27" s="232">
        <f t="shared" si="0"/>
        <v>3</v>
      </c>
    </row>
    <row r="28" spans="1:7" ht="13.2" x14ac:dyDescent="0.25">
      <c r="B28" s="220" t="s">
        <v>1517</v>
      </c>
      <c r="C28" s="232" t="s">
        <v>1600</v>
      </c>
      <c r="D28" s="232">
        <f t="shared" si="0"/>
        <v>6</v>
      </c>
    </row>
    <row r="29" spans="1:7" ht="13.2" x14ac:dyDescent="0.25">
      <c r="B29" s="220" t="s">
        <v>1405</v>
      </c>
      <c r="C29" s="232" t="s">
        <v>1598</v>
      </c>
      <c r="D29" s="232">
        <f t="shared" si="0"/>
        <v>5</v>
      </c>
    </row>
    <row r="30" spans="1:7" ht="13.2" x14ac:dyDescent="0.25">
      <c r="B30" s="220" t="s">
        <v>1418</v>
      </c>
      <c r="C30" s="232" t="s">
        <v>1599</v>
      </c>
      <c r="D30" s="232">
        <f t="shared" si="0"/>
        <v>7</v>
      </c>
    </row>
    <row r="31" spans="1:7" ht="13.2" x14ac:dyDescent="0.25">
      <c r="A31" s="220" t="s">
        <v>71</v>
      </c>
      <c r="B31" s="220" t="s">
        <v>1419</v>
      </c>
      <c r="C31" s="232" t="s">
        <v>1599</v>
      </c>
      <c r="D31" s="232">
        <f t="shared" si="0"/>
        <v>7</v>
      </c>
    </row>
    <row r="32" spans="1:7" ht="13.2" x14ac:dyDescent="0.25">
      <c r="B32" s="220" t="s">
        <v>1420</v>
      </c>
      <c r="C32" s="232" t="s">
        <v>1598</v>
      </c>
      <c r="D32" s="232">
        <f t="shared" si="0"/>
        <v>5</v>
      </c>
    </row>
    <row r="33" spans="1:4" ht="13.2" x14ac:dyDescent="0.25">
      <c r="B33" s="220" t="s">
        <v>1421</v>
      </c>
      <c r="C33" s="232" t="s">
        <v>1598</v>
      </c>
      <c r="D33" s="232">
        <f t="shared" si="0"/>
        <v>5</v>
      </c>
    </row>
    <row r="34" spans="1:4" ht="13.2" x14ac:dyDescent="0.25">
      <c r="B34" s="220" t="s">
        <v>1445</v>
      </c>
      <c r="C34" s="232" t="s">
        <v>1600</v>
      </c>
      <c r="D34" s="232">
        <f t="shared" si="0"/>
        <v>6</v>
      </c>
    </row>
    <row r="35" spans="1:4" ht="13.2" x14ac:dyDescent="0.25">
      <c r="A35" s="220" t="s">
        <v>73</v>
      </c>
      <c r="B35" s="220" t="s">
        <v>1411</v>
      </c>
      <c r="C35" s="232" t="s">
        <v>1597</v>
      </c>
      <c r="D35" s="232">
        <f t="shared" si="0"/>
        <v>4</v>
      </c>
    </row>
    <row r="36" spans="1:4" ht="13.2" x14ac:dyDescent="0.25">
      <c r="B36" s="220" t="s">
        <v>1423</v>
      </c>
      <c r="C36" s="232" t="s">
        <v>1597</v>
      </c>
      <c r="D36" s="232">
        <f t="shared" si="0"/>
        <v>4</v>
      </c>
    </row>
    <row r="37" spans="1:4" ht="13.2" x14ac:dyDescent="0.25">
      <c r="B37" s="220" t="s">
        <v>1407</v>
      </c>
      <c r="C37" s="232" t="s">
        <v>1604</v>
      </c>
      <c r="D37" s="232">
        <f t="shared" si="0"/>
        <v>3</v>
      </c>
    </row>
    <row r="38" spans="1:4" ht="13.2" x14ac:dyDescent="0.25">
      <c r="B38" s="220" t="s">
        <v>1424</v>
      </c>
      <c r="C38" s="232" t="s">
        <v>1599</v>
      </c>
      <c r="D38" s="232">
        <f t="shared" si="0"/>
        <v>7</v>
      </c>
    </row>
    <row r="39" spans="1:4" ht="13.2" x14ac:dyDescent="0.25">
      <c r="B39" s="220" t="s">
        <v>1425</v>
      </c>
      <c r="C39" s="232" t="s">
        <v>1597</v>
      </c>
      <c r="D39" s="232">
        <f t="shared" si="0"/>
        <v>4</v>
      </c>
    </row>
    <row r="40" spans="1:4" ht="13.2" x14ac:dyDescent="0.25">
      <c r="B40" s="220" t="s">
        <v>1426</v>
      </c>
      <c r="C40" s="232" t="s">
        <v>1598</v>
      </c>
      <c r="D40" s="232">
        <f t="shared" si="0"/>
        <v>5</v>
      </c>
    </row>
    <row r="41" spans="1:4" ht="13.2" x14ac:dyDescent="0.25">
      <c r="B41" s="220" t="s">
        <v>1427</v>
      </c>
      <c r="C41" s="232" t="s">
        <v>1598</v>
      </c>
      <c r="D41" s="232">
        <f t="shared" ref="D41:D72" si="1">IFERROR(INDEX($G$12:$G$20,MATCH(C41,$F$12:$F$20,0)),"")</f>
        <v>5</v>
      </c>
    </row>
    <row r="42" spans="1:4" ht="13.2" x14ac:dyDescent="0.25">
      <c r="A42" s="220" t="s">
        <v>76</v>
      </c>
      <c r="B42" s="220" t="s">
        <v>1413</v>
      </c>
      <c r="C42" s="232" t="s">
        <v>1604</v>
      </c>
      <c r="D42" s="232">
        <f t="shared" si="1"/>
        <v>3</v>
      </c>
    </row>
    <row r="43" spans="1:4" ht="13.2" x14ac:dyDescent="0.25">
      <c r="A43" s="220" t="s">
        <v>77</v>
      </c>
      <c r="B43" s="220" t="s">
        <v>1428</v>
      </c>
      <c r="C43" s="232" t="s">
        <v>1602</v>
      </c>
      <c r="D43" s="232">
        <f t="shared" si="1"/>
        <v>2</v>
      </c>
    </row>
    <row r="44" spans="1:4" ht="13.2" x14ac:dyDescent="0.25">
      <c r="B44" s="220" t="s">
        <v>1395</v>
      </c>
      <c r="C44" s="232" t="s">
        <v>1597</v>
      </c>
      <c r="D44" s="232">
        <f t="shared" si="1"/>
        <v>4</v>
      </c>
    </row>
    <row r="45" spans="1:4" ht="15" customHeight="1" x14ac:dyDescent="0.25">
      <c r="B45" s="220" t="s">
        <v>1398</v>
      </c>
      <c r="C45" s="232" t="s">
        <v>1598</v>
      </c>
      <c r="D45" s="232">
        <f t="shared" si="1"/>
        <v>5</v>
      </c>
    </row>
    <row r="46" spans="1:4" ht="13.2" x14ac:dyDescent="0.25">
      <c r="B46" s="220" t="s">
        <v>1429</v>
      </c>
      <c r="C46" s="232" t="s">
        <v>1604</v>
      </c>
      <c r="D46" s="232">
        <f t="shared" si="1"/>
        <v>3</v>
      </c>
    </row>
    <row r="47" spans="1:4" ht="13.2" x14ac:dyDescent="0.25">
      <c r="B47" s="220" t="s">
        <v>1403</v>
      </c>
      <c r="C47" s="232" t="s">
        <v>1600</v>
      </c>
      <c r="D47" s="232">
        <f t="shared" si="1"/>
        <v>6</v>
      </c>
    </row>
    <row r="48" spans="1:4" ht="13.2" x14ac:dyDescent="0.25">
      <c r="B48" s="220" t="s">
        <v>1430</v>
      </c>
      <c r="C48" s="232" t="s">
        <v>1600</v>
      </c>
      <c r="D48" s="232">
        <f t="shared" si="1"/>
        <v>6</v>
      </c>
    </row>
    <row r="49" spans="1:4" ht="13.2" x14ac:dyDescent="0.25">
      <c r="B49" s="220" t="s">
        <v>1415</v>
      </c>
      <c r="C49" s="232" t="s">
        <v>1604</v>
      </c>
      <c r="D49" s="232">
        <f t="shared" si="1"/>
        <v>3</v>
      </c>
    </row>
    <row r="50" spans="1:4" ht="13.2" x14ac:dyDescent="0.25">
      <c r="A50" s="220" t="s">
        <v>79</v>
      </c>
      <c r="B50" s="220" t="s">
        <v>1411</v>
      </c>
      <c r="C50" s="232" t="s">
        <v>1597</v>
      </c>
      <c r="D50" s="232">
        <f t="shared" si="1"/>
        <v>4</v>
      </c>
    </row>
    <row r="51" spans="1:4" ht="13.2" x14ac:dyDescent="0.25">
      <c r="B51" s="220" t="s">
        <v>1431</v>
      </c>
      <c r="C51" s="232" t="s">
        <v>1600</v>
      </c>
      <c r="D51" s="232">
        <f t="shared" si="1"/>
        <v>6</v>
      </c>
    </row>
    <row r="52" spans="1:4" ht="13.2" x14ac:dyDescent="0.25">
      <c r="B52" s="220" t="s">
        <v>1412</v>
      </c>
      <c r="C52" s="232" t="s">
        <v>1598</v>
      </c>
      <c r="D52" s="232">
        <f t="shared" si="1"/>
        <v>5</v>
      </c>
    </row>
    <row r="53" spans="1:4" ht="13.2" x14ac:dyDescent="0.25">
      <c r="B53" s="220" t="s">
        <v>1432</v>
      </c>
      <c r="C53" s="232" t="s">
        <v>1604</v>
      </c>
      <c r="D53" s="232">
        <f t="shared" si="1"/>
        <v>3</v>
      </c>
    </row>
    <row r="54" spans="1:4" ht="13.2" x14ac:dyDescent="0.25">
      <c r="B54" s="220" t="s">
        <v>1433</v>
      </c>
      <c r="C54" s="232" t="s">
        <v>1597</v>
      </c>
      <c r="D54" s="232">
        <f t="shared" si="1"/>
        <v>4</v>
      </c>
    </row>
    <row r="55" spans="1:4" ht="13.2" x14ac:dyDescent="0.25">
      <c r="A55" s="220" t="s">
        <v>81</v>
      </c>
      <c r="B55" s="220" t="s">
        <v>1424</v>
      </c>
      <c r="C55" s="232" t="s">
        <v>1599</v>
      </c>
      <c r="D55" s="232">
        <f t="shared" si="1"/>
        <v>7</v>
      </c>
    </row>
    <row r="56" spans="1:4" ht="13.2" x14ac:dyDescent="0.25">
      <c r="B56" s="220" t="s">
        <v>1410</v>
      </c>
      <c r="C56" s="232" t="s">
        <v>1600</v>
      </c>
      <c r="D56" s="232">
        <f t="shared" si="1"/>
        <v>6</v>
      </c>
    </row>
    <row r="57" spans="1:4" ht="13.2" x14ac:dyDescent="0.25">
      <c r="A57" s="220" t="s">
        <v>83</v>
      </c>
      <c r="B57" s="220" t="s">
        <v>1420</v>
      </c>
      <c r="C57" s="232" t="s">
        <v>1598</v>
      </c>
      <c r="D57" s="232">
        <f t="shared" si="1"/>
        <v>5</v>
      </c>
    </row>
    <row r="58" spans="1:4" ht="13.2" x14ac:dyDescent="0.25">
      <c r="B58" s="220" t="s">
        <v>1421</v>
      </c>
      <c r="C58" s="232" t="s">
        <v>1598</v>
      </c>
      <c r="D58" s="232">
        <f t="shared" si="1"/>
        <v>5</v>
      </c>
    </row>
    <row r="59" spans="1:4" ht="13.2" x14ac:dyDescent="0.25">
      <c r="A59" s="220" t="s">
        <v>85</v>
      </c>
      <c r="B59" s="220" t="s">
        <v>1408</v>
      </c>
      <c r="C59" s="232" t="s">
        <v>1604</v>
      </c>
      <c r="D59" s="232">
        <f t="shared" si="1"/>
        <v>3</v>
      </c>
    </row>
    <row r="60" spans="1:4" ht="13.2" x14ac:dyDescent="0.25">
      <c r="A60" s="220" t="s">
        <v>88</v>
      </c>
      <c r="B60" s="220" t="s">
        <v>1428</v>
      </c>
      <c r="C60" s="232" t="s">
        <v>1602</v>
      </c>
      <c r="D60" s="232">
        <f t="shared" si="1"/>
        <v>2</v>
      </c>
    </row>
    <row r="61" spans="1:4" ht="13.2" x14ac:dyDescent="0.25">
      <c r="B61" s="220" t="s">
        <v>1433</v>
      </c>
      <c r="C61" s="232" t="s">
        <v>1597</v>
      </c>
      <c r="D61" s="232">
        <f t="shared" si="1"/>
        <v>4</v>
      </c>
    </row>
    <row r="62" spans="1:4" ht="14.4" customHeight="1" x14ac:dyDescent="0.25">
      <c r="A62" s="220" t="s">
        <v>90</v>
      </c>
      <c r="B62" s="220" t="s">
        <v>1557</v>
      </c>
      <c r="C62" s="232" t="s">
        <v>1599</v>
      </c>
      <c r="D62" s="232">
        <f t="shared" si="1"/>
        <v>7</v>
      </c>
    </row>
    <row r="63" spans="1:4" ht="13.2" x14ac:dyDescent="0.25">
      <c r="B63" s="220" t="s">
        <v>1425</v>
      </c>
      <c r="C63" s="232" t="s">
        <v>1597</v>
      </c>
      <c r="D63" s="232">
        <f t="shared" si="1"/>
        <v>4</v>
      </c>
    </row>
    <row r="64" spans="1:4" ht="13.2" x14ac:dyDescent="0.25">
      <c r="B64" s="220" t="s">
        <v>1426</v>
      </c>
      <c r="C64" s="232" t="s">
        <v>1598</v>
      </c>
      <c r="D64" s="232">
        <f t="shared" si="1"/>
        <v>5</v>
      </c>
    </row>
    <row r="65" spans="1:4" ht="13.2" x14ac:dyDescent="0.25">
      <c r="A65" s="220" t="s">
        <v>92</v>
      </c>
      <c r="B65" s="220" t="s">
        <v>1411</v>
      </c>
      <c r="C65" s="232" t="s">
        <v>1597</v>
      </c>
      <c r="D65" s="232">
        <f t="shared" si="1"/>
        <v>4</v>
      </c>
    </row>
    <row r="66" spans="1:4" ht="13.2" x14ac:dyDescent="0.25">
      <c r="B66" s="220" t="s">
        <v>1414</v>
      </c>
      <c r="C66" s="232" t="s">
        <v>1598</v>
      </c>
      <c r="D66" s="232">
        <f t="shared" si="1"/>
        <v>5</v>
      </c>
    </row>
    <row r="67" spans="1:4" ht="13.2" x14ac:dyDescent="0.25">
      <c r="A67" s="220" t="s">
        <v>94</v>
      </c>
      <c r="B67" s="220" t="s">
        <v>1560</v>
      </c>
      <c r="C67" s="232" t="s">
        <v>1601</v>
      </c>
      <c r="D67" s="232">
        <f t="shared" si="1"/>
        <v>9</v>
      </c>
    </row>
    <row r="68" spans="1:4" ht="13.2" x14ac:dyDescent="0.25">
      <c r="A68" s="220" t="s">
        <v>96</v>
      </c>
      <c r="B68" s="220" t="s">
        <v>1421</v>
      </c>
      <c r="C68" s="232" t="s">
        <v>1598</v>
      </c>
      <c r="D68" s="232">
        <f t="shared" si="1"/>
        <v>5</v>
      </c>
    </row>
    <row r="69" spans="1:4" ht="13.2" x14ac:dyDescent="0.25">
      <c r="A69" s="220" t="s">
        <v>98</v>
      </c>
      <c r="B69" s="220" t="s">
        <v>1437</v>
      </c>
      <c r="C69" s="232" t="s">
        <v>1605</v>
      </c>
      <c r="D69" s="232">
        <f t="shared" si="1"/>
        <v>1</v>
      </c>
    </row>
    <row r="70" spans="1:4" ht="13.2" x14ac:dyDescent="0.25">
      <c r="B70" s="220" t="s">
        <v>1438</v>
      </c>
      <c r="C70" s="232" t="s">
        <v>1602</v>
      </c>
      <c r="D70" s="232">
        <f t="shared" si="1"/>
        <v>2</v>
      </c>
    </row>
    <row r="71" spans="1:4" ht="13.2" x14ac:dyDescent="0.25">
      <c r="B71" s="220" t="s">
        <v>1409</v>
      </c>
      <c r="C71" s="232" t="s">
        <v>1598</v>
      </c>
      <c r="D71" s="232">
        <f t="shared" si="1"/>
        <v>5</v>
      </c>
    </row>
    <row r="72" spans="1:4" ht="13.2" x14ac:dyDescent="0.25">
      <c r="B72" s="220" t="s">
        <v>1432</v>
      </c>
      <c r="C72" s="232" t="s">
        <v>1604</v>
      </c>
      <c r="D72" s="232">
        <f t="shared" si="1"/>
        <v>3</v>
      </c>
    </row>
    <row r="73" spans="1:4" ht="13.2" x14ac:dyDescent="0.25">
      <c r="B73" s="220" t="s">
        <v>1415</v>
      </c>
      <c r="C73" s="232" t="s">
        <v>1604</v>
      </c>
      <c r="D73" s="232">
        <f t="shared" ref="D73:D85" si="2">IFERROR(INDEX($G$12:$G$20,MATCH(C73,$F$12:$F$20,0)),"")</f>
        <v>3</v>
      </c>
    </row>
    <row r="74" spans="1:4" ht="13.2" x14ac:dyDescent="0.25">
      <c r="B74" s="220" t="s">
        <v>1405</v>
      </c>
      <c r="C74" s="232" t="s">
        <v>1598</v>
      </c>
      <c r="D74" s="232">
        <f t="shared" si="2"/>
        <v>5</v>
      </c>
    </row>
    <row r="75" spans="1:4" ht="13.2" x14ac:dyDescent="0.25">
      <c r="A75" s="220" t="s">
        <v>100</v>
      </c>
      <c r="B75" s="220" t="s">
        <v>1409</v>
      </c>
      <c r="C75" s="232" t="s">
        <v>1598</v>
      </c>
      <c r="D75" s="232">
        <f t="shared" si="2"/>
        <v>5</v>
      </c>
    </row>
    <row r="76" spans="1:4" ht="13.2" x14ac:dyDescent="0.25">
      <c r="B76" s="220" t="s">
        <v>1413</v>
      </c>
      <c r="C76" s="232" t="s">
        <v>1604</v>
      </c>
      <c r="D76" s="232">
        <f t="shared" si="2"/>
        <v>3</v>
      </c>
    </row>
    <row r="77" spans="1:4" ht="13.2" x14ac:dyDescent="0.25">
      <c r="B77" s="220" t="s">
        <v>1406</v>
      </c>
      <c r="C77" s="232" t="s">
        <v>1598</v>
      </c>
      <c r="D77" s="232">
        <f t="shared" si="2"/>
        <v>5</v>
      </c>
    </row>
    <row r="78" spans="1:4" ht="13.2" x14ac:dyDescent="0.25">
      <c r="B78" s="220" t="s">
        <v>1408</v>
      </c>
      <c r="C78" s="232" t="s">
        <v>1604</v>
      </c>
      <c r="D78" s="232">
        <f t="shared" si="2"/>
        <v>3</v>
      </c>
    </row>
    <row r="79" spans="1:4" ht="15" customHeight="1" x14ac:dyDescent="0.25">
      <c r="A79" s="220" t="s">
        <v>102</v>
      </c>
      <c r="B79" s="220" t="s">
        <v>1423</v>
      </c>
      <c r="C79" s="232" t="s">
        <v>1597</v>
      </c>
      <c r="D79" s="232">
        <f t="shared" si="2"/>
        <v>4</v>
      </c>
    </row>
    <row r="80" spans="1:4" ht="15" customHeight="1" x14ac:dyDescent="0.25">
      <c r="B80" s="220" t="s">
        <v>1406</v>
      </c>
      <c r="C80" s="232" t="s">
        <v>1598</v>
      </c>
      <c r="D80" s="232">
        <f t="shared" si="2"/>
        <v>5</v>
      </c>
    </row>
    <row r="81" spans="1:4" ht="15" customHeight="1" x14ac:dyDescent="0.25">
      <c r="B81" s="220" t="s">
        <v>1440</v>
      </c>
      <c r="C81" s="232" t="s">
        <v>1603</v>
      </c>
      <c r="D81" s="232">
        <f t="shared" si="2"/>
        <v>8</v>
      </c>
    </row>
    <row r="82" spans="1:4" ht="15" customHeight="1" x14ac:dyDescent="0.25">
      <c r="B82" s="220" t="s">
        <v>1441</v>
      </c>
      <c r="C82" s="232" t="s">
        <v>1597</v>
      </c>
      <c r="D82" s="232">
        <f t="shared" si="2"/>
        <v>4</v>
      </c>
    </row>
    <row r="83" spans="1:4" ht="15" customHeight="1" x14ac:dyDescent="0.25">
      <c r="B83" s="220" t="s">
        <v>1426</v>
      </c>
      <c r="C83" s="232" t="s">
        <v>1598</v>
      </c>
      <c r="D83" s="232">
        <f t="shared" si="2"/>
        <v>5</v>
      </c>
    </row>
    <row r="84" spans="1:4" ht="15" customHeight="1" x14ac:dyDescent="0.25">
      <c r="B84" s="220" t="s">
        <v>1433</v>
      </c>
      <c r="C84" s="232" t="s">
        <v>1597</v>
      </c>
      <c r="D84" s="232">
        <f t="shared" si="2"/>
        <v>4</v>
      </c>
    </row>
    <row r="85" spans="1:4" ht="15" customHeight="1" x14ac:dyDescent="0.25">
      <c r="B85" s="220" t="s">
        <v>1408</v>
      </c>
      <c r="C85" s="232" t="s">
        <v>1604</v>
      </c>
      <c r="D85" s="232">
        <f t="shared" si="2"/>
        <v>3</v>
      </c>
    </row>
    <row r="86" spans="1:4" ht="15" customHeight="1" x14ac:dyDescent="0.25">
      <c r="C86" s="232"/>
      <c r="D86" s="232"/>
    </row>
    <row r="87" spans="1:4" ht="15" customHeight="1" x14ac:dyDescent="0.25">
      <c r="A87" s="239" t="s">
        <v>1443</v>
      </c>
      <c r="B87" s="240"/>
      <c r="C87" s="241" t="s">
        <v>1606</v>
      </c>
      <c r="D87" s="242">
        <f>AVERAGE(D9:D85)</f>
        <v>4.5714285714285712</v>
      </c>
    </row>
    <row r="89" spans="1:4" ht="15" customHeight="1" thickBot="1" x14ac:dyDescent="0.3">
      <c r="A89" s="243" t="s">
        <v>1460</v>
      </c>
      <c r="B89" s="244" t="s">
        <v>1445</v>
      </c>
      <c r="C89" s="245" t="str">
        <f>C34</f>
        <v>Average/3</v>
      </c>
      <c r="D89" s="246">
        <f>D34</f>
        <v>6</v>
      </c>
    </row>
    <row r="91" spans="1:4" ht="15" customHeight="1" x14ac:dyDescent="0.25">
      <c r="A91" s="247" t="s">
        <v>1446</v>
      </c>
    </row>
    <row r="92" spans="1:4" ht="15" customHeight="1" x14ac:dyDescent="0.25">
      <c r="A92" s="354" t="s">
        <v>1607</v>
      </c>
    </row>
    <row r="93" spans="1:4" ht="15" customHeight="1" x14ac:dyDescent="0.25">
      <c r="A93" s="355" t="s">
        <v>1608</v>
      </c>
    </row>
    <row r="94" spans="1:4" ht="15" customHeight="1" x14ac:dyDescent="0.25">
      <c r="A94" s="221"/>
    </row>
    <row r="95" spans="1:4" ht="15" customHeight="1" x14ac:dyDescent="0.25">
      <c r="A95" s="221"/>
    </row>
  </sheetData>
  <mergeCells count="4">
    <mergeCell ref="A2:D2"/>
    <mergeCell ref="A3:D3"/>
    <mergeCell ref="C6:D6"/>
    <mergeCell ref="F9:G9"/>
  </mergeCells>
  <printOptions horizontalCentered="1"/>
  <pageMargins left="0.7" right="0.7" top="1.25" bottom="0.75" header="0.3" footer="0.3"/>
  <pageSetup paperSize="9" scale="82" orientation="portrait" useFirstPageNumber="1" horizontalDpi="1200" verticalDpi="1200" r:id="rId1"/>
  <headerFooter scaleWithDoc="0">
    <oddHeader>&amp;L&amp;"Times New Roman,Bold"&amp;12&amp;KC00000Draft- Privileged and Confidential&amp;R&amp;"Times New Roman,Regular"&amp;12Exhibit AEB-14
Page &amp;P of &amp;N</oddHeader>
  </headerFooter>
  <rowBreaks count="1" manualBreakCount="1">
    <brk id="6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pageSetUpPr autoPageBreaks="0"/>
  </sheetPr>
  <dimension ref="A2:L102"/>
  <sheetViews>
    <sheetView view="pageBreakPreview" zoomScale="60" zoomScaleNormal="70" workbookViewId="0"/>
  </sheetViews>
  <sheetFormatPr defaultColWidth="9" defaultRowHeight="15" customHeight="1" x14ac:dyDescent="0.25"/>
  <cols>
    <col min="1" max="1" width="32.6640625" style="220" customWidth="1"/>
    <col min="2" max="2" width="15.33203125" style="220" bestFit="1" customWidth="1"/>
    <col min="3" max="3" width="26.44140625" style="220" bestFit="1" customWidth="1"/>
    <col min="4" max="4" width="12" style="220" bestFit="1" customWidth="1"/>
    <col min="5" max="5" width="9" style="220" customWidth="1"/>
    <col min="6" max="6" width="21.109375" style="220" bestFit="1" customWidth="1"/>
    <col min="7" max="7" width="6.109375" style="220" bestFit="1" customWidth="1"/>
    <col min="8" max="16384" width="9" style="220"/>
  </cols>
  <sheetData>
    <row r="2" spans="1:7" ht="13.2" x14ac:dyDescent="0.25">
      <c r="A2" s="413" t="s">
        <v>1385</v>
      </c>
      <c r="B2" s="413"/>
      <c r="C2" s="413"/>
      <c r="D2" s="413"/>
    </row>
    <row r="3" spans="1:7" ht="13.2" x14ac:dyDescent="0.25">
      <c r="A3" s="413" t="s">
        <v>1609</v>
      </c>
      <c r="B3" s="414"/>
      <c r="C3" s="414"/>
      <c r="D3" s="414"/>
      <c r="E3" s="221"/>
    </row>
    <row r="4" spans="1:7" ht="13.2" x14ac:dyDescent="0.25"/>
    <row r="5" spans="1:7" ht="13.8" thickBot="1" x14ac:dyDescent="0.3">
      <c r="A5" s="221"/>
      <c r="B5" s="221"/>
      <c r="C5" s="223" t="s">
        <v>38</v>
      </c>
      <c r="D5" s="223" t="s">
        <v>39</v>
      </c>
    </row>
    <row r="6" spans="1:7" ht="13.2" x14ac:dyDescent="0.25">
      <c r="A6" s="224" t="s">
        <v>1387</v>
      </c>
      <c r="B6" s="224" t="s">
        <v>1388</v>
      </c>
      <c r="C6" s="415" t="s">
        <v>1610</v>
      </c>
      <c r="D6" s="415"/>
      <c r="F6" s="416"/>
      <c r="G6" s="416"/>
    </row>
    <row r="7" spans="1:7" ht="26.4" x14ac:dyDescent="0.25">
      <c r="A7" s="226"/>
      <c r="B7" s="227"/>
      <c r="C7" s="228" t="s">
        <v>1391</v>
      </c>
      <c r="D7" s="229" t="s">
        <v>1392</v>
      </c>
    </row>
    <row r="9" spans="1:7" ht="13.2" x14ac:dyDescent="0.25">
      <c r="A9" s="220" t="s">
        <v>56</v>
      </c>
      <c r="B9" s="220" t="s">
        <v>1395</v>
      </c>
      <c r="C9" s="232" t="s">
        <v>1611</v>
      </c>
      <c r="D9" s="232">
        <f t="shared" ref="D9:D40" si="0">IFERROR(INDEX($G$12:$G$16,MATCH($C9,$F$12:$F$16,0)),"")</f>
        <v>2</v>
      </c>
      <c r="F9" s="220" t="s">
        <v>1390</v>
      </c>
    </row>
    <row r="10" spans="1:7" ht="13.2" x14ac:dyDescent="0.25">
      <c r="B10" s="220" t="s">
        <v>1398</v>
      </c>
      <c r="C10" s="232" t="s">
        <v>1612</v>
      </c>
      <c r="D10" s="232">
        <f t="shared" si="0"/>
        <v>1</v>
      </c>
      <c r="F10" s="230"/>
      <c r="G10" s="231"/>
    </row>
    <row r="11" spans="1:7" ht="13.2" x14ac:dyDescent="0.25">
      <c r="B11" s="220" t="s">
        <v>1401</v>
      </c>
      <c r="C11" s="232" t="s">
        <v>1613</v>
      </c>
      <c r="D11" s="232">
        <f t="shared" si="0"/>
        <v>3</v>
      </c>
      <c r="F11" s="233" t="s">
        <v>1393</v>
      </c>
      <c r="G11" s="234" t="s">
        <v>1394</v>
      </c>
    </row>
    <row r="12" spans="1:7" ht="13.2" x14ac:dyDescent="0.25">
      <c r="B12" s="220" t="s">
        <v>1403</v>
      </c>
      <c r="C12" s="232" t="s">
        <v>1613</v>
      </c>
      <c r="D12" s="232">
        <f t="shared" si="0"/>
        <v>3</v>
      </c>
      <c r="F12" s="235" t="s">
        <v>1612</v>
      </c>
      <c r="G12" s="236">
        <v>1</v>
      </c>
    </row>
    <row r="13" spans="1:7" ht="13.2" x14ac:dyDescent="0.25">
      <c r="B13" s="220" t="s">
        <v>1404</v>
      </c>
      <c r="C13" s="232" t="s">
        <v>1611</v>
      </c>
      <c r="D13" s="232">
        <f t="shared" si="0"/>
        <v>2</v>
      </c>
      <c r="F13" s="235" t="s">
        <v>1611</v>
      </c>
      <c r="G13" s="236">
        <v>2</v>
      </c>
    </row>
    <row r="14" spans="1:7" ht="13.2" x14ac:dyDescent="0.25">
      <c r="B14" s="220" t="s">
        <v>1405</v>
      </c>
      <c r="C14" s="232" t="s">
        <v>1611</v>
      </c>
      <c r="D14" s="232">
        <f t="shared" si="0"/>
        <v>2</v>
      </c>
      <c r="F14" s="235" t="s">
        <v>1613</v>
      </c>
      <c r="G14" s="236">
        <v>3</v>
      </c>
    </row>
    <row r="15" spans="1:7" ht="13.2" x14ac:dyDescent="0.25">
      <c r="A15" s="220" t="s">
        <v>61</v>
      </c>
      <c r="B15" s="220" t="s">
        <v>1406</v>
      </c>
      <c r="C15" s="232" t="s">
        <v>1611</v>
      </c>
      <c r="D15" s="232">
        <f t="shared" si="0"/>
        <v>2</v>
      </c>
      <c r="F15" s="235" t="s">
        <v>1614</v>
      </c>
      <c r="G15" s="236">
        <v>4</v>
      </c>
    </row>
    <row r="16" spans="1:7" ht="13.2" x14ac:dyDescent="0.25">
      <c r="A16" s="220" t="s">
        <v>64</v>
      </c>
      <c r="B16" s="220" t="s">
        <v>1407</v>
      </c>
      <c r="C16" s="232" t="s">
        <v>1612</v>
      </c>
      <c r="D16" s="232">
        <f t="shared" si="0"/>
        <v>1</v>
      </c>
      <c r="F16" s="237" t="s">
        <v>1615</v>
      </c>
      <c r="G16" s="238">
        <v>5</v>
      </c>
    </row>
    <row r="17" spans="1:8" ht="13.2" x14ac:dyDescent="0.25">
      <c r="B17" s="220" t="s">
        <v>1408</v>
      </c>
      <c r="C17" s="232" t="s">
        <v>1612</v>
      </c>
      <c r="D17" s="232">
        <f t="shared" si="0"/>
        <v>1</v>
      </c>
      <c r="G17" s="232"/>
    </row>
    <row r="18" spans="1:8" ht="13.2" x14ac:dyDescent="0.25">
      <c r="A18" s="220" t="s">
        <v>67</v>
      </c>
      <c r="B18" s="220" t="s">
        <v>1409</v>
      </c>
      <c r="C18" s="232" t="s">
        <v>1613</v>
      </c>
      <c r="D18" s="232">
        <f t="shared" si="0"/>
        <v>3</v>
      </c>
    </row>
    <row r="19" spans="1:8" ht="13.2" x14ac:dyDescent="0.25">
      <c r="B19" s="220" t="s">
        <v>1410</v>
      </c>
      <c r="C19" s="232" t="s">
        <v>1613</v>
      </c>
      <c r="D19" s="232">
        <f t="shared" si="0"/>
        <v>3</v>
      </c>
    </row>
    <row r="20" spans="1:8" ht="13.2" x14ac:dyDescent="0.25">
      <c r="A20" s="220" t="s">
        <v>69</v>
      </c>
      <c r="B20" s="220" t="s">
        <v>1411</v>
      </c>
      <c r="C20" s="232" t="s">
        <v>1611</v>
      </c>
      <c r="D20" s="232">
        <f t="shared" si="0"/>
        <v>2</v>
      </c>
    </row>
    <row r="21" spans="1:8" ht="13.2" x14ac:dyDescent="0.25">
      <c r="B21" s="220" t="s">
        <v>1395</v>
      </c>
      <c r="C21" s="232" t="s">
        <v>1611</v>
      </c>
      <c r="D21" s="232">
        <f t="shared" si="0"/>
        <v>2</v>
      </c>
    </row>
    <row r="22" spans="1:8" ht="13.2" x14ac:dyDescent="0.25">
      <c r="B22" s="220" t="s">
        <v>1398</v>
      </c>
      <c r="C22" s="232" t="s">
        <v>1612</v>
      </c>
      <c r="D22" s="232">
        <f t="shared" si="0"/>
        <v>1</v>
      </c>
    </row>
    <row r="23" spans="1:8" ht="13.2" x14ac:dyDescent="0.25">
      <c r="B23" s="220" t="s">
        <v>1412</v>
      </c>
      <c r="C23" s="232" t="s">
        <v>1611</v>
      </c>
      <c r="D23" s="232">
        <f t="shared" si="0"/>
        <v>2</v>
      </c>
    </row>
    <row r="24" spans="1:8" ht="13.2" x14ac:dyDescent="0.25">
      <c r="B24" s="220" t="s">
        <v>1413</v>
      </c>
      <c r="C24" s="232" t="s">
        <v>1612</v>
      </c>
      <c r="D24" s="232">
        <f t="shared" si="0"/>
        <v>1</v>
      </c>
    </row>
    <row r="25" spans="1:8" ht="13.2" x14ac:dyDescent="0.25">
      <c r="B25" s="220" t="s">
        <v>1403</v>
      </c>
      <c r="C25" s="232" t="s">
        <v>1613</v>
      </c>
      <c r="D25" s="232">
        <f t="shared" si="0"/>
        <v>3</v>
      </c>
    </row>
    <row r="26" spans="1:8" ht="13.2" x14ac:dyDescent="0.25">
      <c r="B26" s="220" t="s">
        <v>1414</v>
      </c>
      <c r="C26" s="232" t="s">
        <v>1613</v>
      </c>
      <c r="D26" s="232">
        <f t="shared" si="0"/>
        <v>3</v>
      </c>
    </row>
    <row r="27" spans="1:8" ht="13.2" x14ac:dyDescent="0.25">
      <c r="B27" s="220" t="s">
        <v>1415</v>
      </c>
      <c r="C27" s="232" t="s">
        <v>1611</v>
      </c>
      <c r="D27" s="232">
        <f t="shared" si="0"/>
        <v>2</v>
      </c>
    </row>
    <row r="28" spans="1:8" ht="13.2" x14ac:dyDescent="0.25">
      <c r="B28" s="220" t="s">
        <v>1517</v>
      </c>
      <c r="C28" s="232" t="s">
        <v>1613</v>
      </c>
      <c r="D28" s="232">
        <f t="shared" si="0"/>
        <v>3</v>
      </c>
    </row>
    <row r="29" spans="1:8" ht="13.2" x14ac:dyDescent="0.25">
      <c r="B29" s="220" t="s">
        <v>1405</v>
      </c>
      <c r="C29" s="232" t="s">
        <v>1611</v>
      </c>
      <c r="D29" s="232">
        <f t="shared" si="0"/>
        <v>2</v>
      </c>
    </row>
    <row r="30" spans="1:8" ht="13.2" x14ac:dyDescent="0.25">
      <c r="B30" s="220" t="s">
        <v>1418</v>
      </c>
      <c r="C30" s="232" t="s">
        <v>1613</v>
      </c>
      <c r="D30" s="232">
        <f t="shared" si="0"/>
        <v>3</v>
      </c>
    </row>
    <row r="31" spans="1:8" ht="13.2" x14ac:dyDescent="0.25">
      <c r="A31" s="220" t="s">
        <v>71</v>
      </c>
      <c r="B31" s="220" t="s">
        <v>1419</v>
      </c>
      <c r="C31" s="232" t="s">
        <v>1614</v>
      </c>
      <c r="D31" s="232">
        <f t="shared" si="0"/>
        <v>4</v>
      </c>
      <c r="H31" s="220" t="s">
        <v>210</v>
      </c>
    </row>
    <row r="32" spans="1:8" ht="13.2" x14ac:dyDescent="0.25">
      <c r="B32" s="220" t="s">
        <v>1420</v>
      </c>
      <c r="C32" s="232" t="s">
        <v>1613</v>
      </c>
      <c r="D32" s="232">
        <f t="shared" si="0"/>
        <v>3</v>
      </c>
    </row>
    <row r="33" spans="1:12" ht="13.2" x14ac:dyDescent="0.25">
      <c r="B33" s="220" t="s">
        <v>1421</v>
      </c>
      <c r="C33" s="232" t="s">
        <v>1614</v>
      </c>
      <c r="D33" s="232">
        <f t="shared" si="0"/>
        <v>4</v>
      </c>
    </row>
    <row r="34" spans="1:12" ht="13.2" x14ac:dyDescent="0.25">
      <c r="B34" s="220" t="s">
        <v>1445</v>
      </c>
      <c r="C34" s="232" t="s">
        <v>1613</v>
      </c>
      <c r="D34" s="232">
        <f t="shared" si="0"/>
        <v>3</v>
      </c>
    </row>
    <row r="35" spans="1:12" ht="13.2" x14ac:dyDescent="0.25">
      <c r="A35" s="220" t="s">
        <v>73</v>
      </c>
      <c r="B35" s="220" t="s">
        <v>1411</v>
      </c>
      <c r="C35" s="232" t="s">
        <v>1611</v>
      </c>
      <c r="D35" s="232">
        <f t="shared" si="0"/>
        <v>2</v>
      </c>
    </row>
    <row r="36" spans="1:12" ht="13.2" x14ac:dyDescent="0.25">
      <c r="B36" s="220" t="s">
        <v>1423</v>
      </c>
      <c r="C36" s="232" t="s">
        <v>1613</v>
      </c>
      <c r="D36" s="232">
        <f t="shared" si="0"/>
        <v>3</v>
      </c>
    </row>
    <row r="37" spans="1:12" ht="13.2" x14ac:dyDescent="0.25">
      <c r="B37" s="220" t="s">
        <v>1407</v>
      </c>
      <c r="C37" s="232" t="s">
        <v>1612</v>
      </c>
      <c r="D37" s="232">
        <f t="shared" si="0"/>
        <v>1</v>
      </c>
    </row>
    <row r="38" spans="1:12" ht="13.2" x14ac:dyDescent="0.25">
      <c r="B38" s="220" t="s">
        <v>1424</v>
      </c>
      <c r="C38" s="232" t="s">
        <v>1611</v>
      </c>
      <c r="D38" s="232">
        <f t="shared" si="0"/>
        <v>2</v>
      </c>
      <c r="L38" s="232"/>
    </row>
    <row r="39" spans="1:12" ht="13.2" x14ac:dyDescent="0.25">
      <c r="B39" s="220" t="s">
        <v>1425</v>
      </c>
      <c r="C39" s="232" t="s">
        <v>1613</v>
      </c>
      <c r="D39" s="232">
        <f t="shared" si="0"/>
        <v>3</v>
      </c>
    </row>
    <row r="40" spans="1:12" ht="13.2" x14ac:dyDescent="0.25">
      <c r="B40" s="220" t="s">
        <v>1426</v>
      </c>
      <c r="C40" s="232" t="s">
        <v>1613</v>
      </c>
      <c r="D40" s="232">
        <f t="shared" si="0"/>
        <v>3</v>
      </c>
    </row>
    <row r="41" spans="1:12" ht="13.2" x14ac:dyDescent="0.25">
      <c r="B41" s="220" t="s">
        <v>1427</v>
      </c>
      <c r="C41" s="232" t="s">
        <v>1613</v>
      </c>
      <c r="D41" s="232">
        <f t="shared" ref="D41:D72" si="1">IFERROR(INDEX($G$12:$G$16,MATCH($C41,$F$12:$F$16,0)),"")</f>
        <v>3</v>
      </c>
    </row>
    <row r="42" spans="1:12" ht="13.2" x14ac:dyDescent="0.25">
      <c r="A42" s="220" t="s">
        <v>76</v>
      </c>
      <c r="B42" s="220" t="s">
        <v>1413</v>
      </c>
      <c r="C42" s="232" t="s">
        <v>1612</v>
      </c>
      <c r="D42" s="232">
        <f t="shared" si="1"/>
        <v>1</v>
      </c>
    </row>
    <row r="43" spans="1:12" ht="13.2" x14ac:dyDescent="0.25">
      <c r="A43" s="220" t="s">
        <v>77</v>
      </c>
      <c r="B43" s="220" t="s">
        <v>1428</v>
      </c>
      <c r="C43" s="232" t="s">
        <v>1612</v>
      </c>
      <c r="D43" s="232">
        <f t="shared" si="1"/>
        <v>1</v>
      </c>
    </row>
    <row r="44" spans="1:12" ht="13.2" x14ac:dyDescent="0.25">
      <c r="B44" s="220" t="s">
        <v>1395</v>
      </c>
      <c r="C44" s="232" t="s">
        <v>1611</v>
      </c>
      <c r="D44" s="232">
        <f t="shared" si="1"/>
        <v>2</v>
      </c>
    </row>
    <row r="45" spans="1:12" ht="13.2" x14ac:dyDescent="0.25">
      <c r="B45" s="220" t="s">
        <v>1398</v>
      </c>
      <c r="C45" s="232" t="s">
        <v>1612</v>
      </c>
      <c r="D45" s="232">
        <f t="shared" si="1"/>
        <v>1</v>
      </c>
    </row>
    <row r="46" spans="1:12" ht="13.2" x14ac:dyDescent="0.25">
      <c r="B46" s="220" t="s">
        <v>1429</v>
      </c>
      <c r="C46" s="232" t="s">
        <v>1611</v>
      </c>
      <c r="D46" s="232">
        <f t="shared" si="1"/>
        <v>2</v>
      </c>
    </row>
    <row r="47" spans="1:12" ht="13.2" x14ac:dyDescent="0.25">
      <c r="B47" s="220" t="s">
        <v>1403</v>
      </c>
      <c r="C47" s="232" t="s">
        <v>1613</v>
      </c>
      <c r="D47" s="232">
        <f t="shared" si="1"/>
        <v>3</v>
      </c>
    </row>
    <row r="48" spans="1:12" ht="13.2" x14ac:dyDescent="0.25">
      <c r="B48" s="220" t="s">
        <v>1430</v>
      </c>
      <c r="C48" s="232" t="s">
        <v>1614</v>
      </c>
      <c r="D48" s="232">
        <f t="shared" si="1"/>
        <v>4</v>
      </c>
    </row>
    <row r="49" spans="1:4" ht="13.2" x14ac:dyDescent="0.25">
      <c r="B49" s="220" t="s">
        <v>1415</v>
      </c>
      <c r="C49" s="232" t="s">
        <v>1611</v>
      </c>
      <c r="D49" s="232">
        <f t="shared" si="1"/>
        <v>2</v>
      </c>
    </row>
    <row r="50" spans="1:4" ht="13.2" x14ac:dyDescent="0.25">
      <c r="A50" s="220" t="s">
        <v>79</v>
      </c>
      <c r="B50" s="220" t="s">
        <v>1411</v>
      </c>
      <c r="C50" s="232" t="s">
        <v>1611</v>
      </c>
      <c r="D50" s="232">
        <f t="shared" si="1"/>
        <v>2</v>
      </c>
    </row>
    <row r="51" spans="1:4" ht="13.2" x14ac:dyDescent="0.25">
      <c r="B51" s="220" t="s">
        <v>1431</v>
      </c>
      <c r="C51" s="232" t="s">
        <v>1611</v>
      </c>
      <c r="D51" s="232">
        <f t="shared" si="1"/>
        <v>2</v>
      </c>
    </row>
    <row r="52" spans="1:4" ht="13.2" x14ac:dyDescent="0.25">
      <c r="B52" s="220" t="s">
        <v>1412</v>
      </c>
      <c r="C52" s="232" t="s">
        <v>1611</v>
      </c>
      <c r="D52" s="232">
        <f t="shared" si="1"/>
        <v>2</v>
      </c>
    </row>
    <row r="53" spans="1:4" ht="13.2" x14ac:dyDescent="0.25">
      <c r="B53" s="220" t="s">
        <v>1432</v>
      </c>
      <c r="C53" s="232" t="s">
        <v>1613</v>
      </c>
      <c r="D53" s="232">
        <f t="shared" si="1"/>
        <v>3</v>
      </c>
    </row>
    <row r="54" spans="1:4" ht="13.2" x14ac:dyDescent="0.25">
      <c r="B54" s="220" t="s">
        <v>1433</v>
      </c>
      <c r="C54" s="232" t="s">
        <v>1611</v>
      </c>
      <c r="D54" s="232">
        <f t="shared" si="1"/>
        <v>2</v>
      </c>
    </row>
    <row r="55" spans="1:4" ht="13.2" x14ac:dyDescent="0.25">
      <c r="A55" s="220" t="s">
        <v>81</v>
      </c>
      <c r="B55" s="220" t="s">
        <v>1424</v>
      </c>
      <c r="C55" s="232" t="s">
        <v>1611</v>
      </c>
      <c r="D55" s="232">
        <f t="shared" si="1"/>
        <v>2</v>
      </c>
    </row>
    <row r="56" spans="1:4" ht="13.2" x14ac:dyDescent="0.25">
      <c r="B56" s="220" t="s">
        <v>1410</v>
      </c>
      <c r="C56" s="232" t="s">
        <v>1613</v>
      </c>
      <c r="D56" s="232">
        <f t="shared" si="1"/>
        <v>3</v>
      </c>
    </row>
    <row r="57" spans="1:4" ht="13.2" x14ac:dyDescent="0.25">
      <c r="A57" s="220" t="s">
        <v>83</v>
      </c>
      <c r="B57" s="220" t="s">
        <v>1420</v>
      </c>
      <c r="C57" s="232" t="s">
        <v>1613</v>
      </c>
      <c r="D57" s="232">
        <f t="shared" si="1"/>
        <v>3</v>
      </c>
    </row>
    <row r="58" spans="1:4" ht="13.2" x14ac:dyDescent="0.25">
      <c r="B58" s="220" t="s">
        <v>1421</v>
      </c>
      <c r="C58" s="232" t="s">
        <v>1614</v>
      </c>
      <c r="D58" s="232">
        <f t="shared" si="1"/>
        <v>4</v>
      </c>
    </row>
    <row r="59" spans="1:4" ht="13.2" x14ac:dyDescent="0.25">
      <c r="A59" s="220" t="s">
        <v>85</v>
      </c>
      <c r="B59" s="220" t="s">
        <v>1408</v>
      </c>
      <c r="C59" s="232" t="s">
        <v>1612</v>
      </c>
      <c r="D59" s="232">
        <f t="shared" si="1"/>
        <v>1</v>
      </c>
    </row>
    <row r="60" spans="1:4" ht="13.2" x14ac:dyDescent="0.25">
      <c r="A60" s="220" t="s">
        <v>88</v>
      </c>
      <c r="B60" s="220" t="s">
        <v>1428</v>
      </c>
      <c r="C60" s="232" t="s">
        <v>1612</v>
      </c>
      <c r="D60" s="232">
        <f t="shared" si="1"/>
        <v>1</v>
      </c>
    </row>
    <row r="61" spans="1:4" ht="13.2" x14ac:dyDescent="0.25">
      <c r="B61" s="220" t="s">
        <v>1433</v>
      </c>
      <c r="C61" s="232" t="s">
        <v>1611</v>
      </c>
      <c r="D61" s="232">
        <f t="shared" si="1"/>
        <v>2</v>
      </c>
    </row>
    <row r="62" spans="1:4" ht="13.2" x14ac:dyDescent="0.25">
      <c r="A62" s="220" t="s">
        <v>90</v>
      </c>
      <c r="B62" s="220" t="s">
        <v>1557</v>
      </c>
      <c r="C62" s="232" t="s">
        <v>1614</v>
      </c>
      <c r="D62" s="232">
        <f t="shared" si="1"/>
        <v>4</v>
      </c>
    </row>
    <row r="63" spans="1:4" ht="13.2" x14ac:dyDescent="0.25">
      <c r="B63" s="220" t="s">
        <v>1425</v>
      </c>
      <c r="C63" s="232" t="s">
        <v>1613</v>
      </c>
      <c r="D63" s="232">
        <f t="shared" si="1"/>
        <v>3</v>
      </c>
    </row>
    <row r="64" spans="1:4" ht="13.2" x14ac:dyDescent="0.25">
      <c r="B64" s="220" t="s">
        <v>1426</v>
      </c>
      <c r="C64" s="232" t="s">
        <v>1613</v>
      </c>
      <c r="D64" s="232">
        <f t="shared" si="1"/>
        <v>3</v>
      </c>
    </row>
    <row r="65" spans="1:4" ht="13.2" x14ac:dyDescent="0.25">
      <c r="A65" s="220" t="s">
        <v>92</v>
      </c>
      <c r="B65" s="220" t="s">
        <v>1411</v>
      </c>
      <c r="C65" s="232" t="s">
        <v>1611</v>
      </c>
      <c r="D65" s="232">
        <f t="shared" si="1"/>
        <v>2</v>
      </c>
    </row>
    <row r="66" spans="1:4" ht="13.2" x14ac:dyDescent="0.25">
      <c r="B66" s="220" t="s">
        <v>1414</v>
      </c>
      <c r="C66" s="232" t="s">
        <v>1613</v>
      </c>
      <c r="D66" s="232">
        <f t="shared" si="1"/>
        <v>3</v>
      </c>
    </row>
    <row r="67" spans="1:4" ht="13.2" x14ac:dyDescent="0.25">
      <c r="A67" s="220" t="s">
        <v>94</v>
      </c>
      <c r="B67" s="220" t="s">
        <v>1560</v>
      </c>
      <c r="C67" s="232" t="s">
        <v>1614</v>
      </c>
      <c r="D67" s="232">
        <f t="shared" si="1"/>
        <v>4</v>
      </c>
    </row>
    <row r="68" spans="1:4" ht="13.2" x14ac:dyDescent="0.25">
      <c r="A68" s="220" t="s">
        <v>96</v>
      </c>
      <c r="B68" s="220" t="s">
        <v>1421</v>
      </c>
      <c r="C68" s="232" t="s">
        <v>1614</v>
      </c>
      <c r="D68" s="232">
        <f t="shared" si="1"/>
        <v>4</v>
      </c>
    </row>
    <row r="69" spans="1:4" ht="13.2" x14ac:dyDescent="0.25">
      <c r="A69" s="220" t="s">
        <v>98</v>
      </c>
      <c r="B69" s="220" t="s">
        <v>1437</v>
      </c>
      <c r="C69" s="232" t="s">
        <v>1612</v>
      </c>
      <c r="D69" s="232">
        <f t="shared" si="1"/>
        <v>1</v>
      </c>
    </row>
    <row r="70" spans="1:4" ht="13.2" x14ac:dyDescent="0.25">
      <c r="B70" s="220" t="s">
        <v>1438</v>
      </c>
      <c r="C70" s="232" t="s">
        <v>1611</v>
      </c>
      <c r="D70" s="232">
        <f t="shared" si="1"/>
        <v>2</v>
      </c>
    </row>
    <row r="71" spans="1:4" ht="13.2" x14ac:dyDescent="0.25">
      <c r="B71" s="220" t="s">
        <v>1409</v>
      </c>
      <c r="C71" s="232" t="s">
        <v>1613</v>
      </c>
      <c r="D71" s="232">
        <f t="shared" si="1"/>
        <v>3</v>
      </c>
    </row>
    <row r="72" spans="1:4" ht="13.2" x14ac:dyDescent="0.25">
      <c r="B72" s="220" t="s">
        <v>1432</v>
      </c>
      <c r="C72" s="232" t="s">
        <v>1613</v>
      </c>
      <c r="D72" s="232">
        <f t="shared" si="1"/>
        <v>3</v>
      </c>
    </row>
    <row r="73" spans="1:4" ht="13.2" x14ac:dyDescent="0.25">
      <c r="B73" s="220" t="s">
        <v>1415</v>
      </c>
      <c r="C73" s="232" t="s">
        <v>1611</v>
      </c>
      <c r="D73" s="232">
        <f t="shared" ref="D73:D85" si="2">IFERROR(INDEX($G$12:$G$16,MATCH($C73,$F$12:$F$16,0)),"")</f>
        <v>2</v>
      </c>
    </row>
    <row r="74" spans="1:4" ht="13.2" x14ac:dyDescent="0.25">
      <c r="B74" s="220" t="s">
        <v>1405</v>
      </c>
      <c r="C74" s="232" t="s">
        <v>1611</v>
      </c>
      <c r="D74" s="232">
        <f t="shared" si="2"/>
        <v>2</v>
      </c>
    </row>
    <row r="75" spans="1:4" ht="13.2" x14ac:dyDescent="0.25">
      <c r="A75" s="220" t="s">
        <v>100</v>
      </c>
      <c r="B75" s="220" t="s">
        <v>1409</v>
      </c>
      <c r="C75" s="232" t="s">
        <v>1613</v>
      </c>
      <c r="D75" s="232">
        <f t="shared" si="2"/>
        <v>3</v>
      </c>
    </row>
    <row r="76" spans="1:4" ht="13.2" x14ac:dyDescent="0.25">
      <c r="B76" s="220" t="s">
        <v>1413</v>
      </c>
      <c r="C76" s="232" t="s">
        <v>1612</v>
      </c>
      <c r="D76" s="232">
        <f t="shared" si="2"/>
        <v>1</v>
      </c>
    </row>
    <row r="77" spans="1:4" ht="12.75" customHeight="1" x14ac:dyDescent="0.25">
      <c r="B77" s="220" t="s">
        <v>1406</v>
      </c>
      <c r="C77" s="232" t="s">
        <v>1611</v>
      </c>
      <c r="D77" s="232">
        <f t="shared" si="2"/>
        <v>2</v>
      </c>
    </row>
    <row r="78" spans="1:4" ht="13.2" x14ac:dyDescent="0.25">
      <c r="B78" s="220" t="s">
        <v>1408</v>
      </c>
      <c r="C78" s="232" t="s">
        <v>1612</v>
      </c>
      <c r="D78" s="232">
        <f t="shared" si="2"/>
        <v>1</v>
      </c>
    </row>
    <row r="79" spans="1:4" ht="13.2" x14ac:dyDescent="0.25">
      <c r="A79" s="220" t="s">
        <v>102</v>
      </c>
      <c r="B79" s="220" t="s">
        <v>1423</v>
      </c>
      <c r="C79" s="232" t="s">
        <v>1613</v>
      </c>
      <c r="D79" s="232">
        <f t="shared" si="2"/>
        <v>3</v>
      </c>
    </row>
    <row r="80" spans="1:4" ht="13.2" x14ac:dyDescent="0.25">
      <c r="B80" s="220" t="s">
        <v>1406</v>
      </c>
      <c r="C80" s="232" t="s">
        <v>1611</v>
      </c>
      <c r="D80" s="232">
        <f t="shared" si="2"/>
        <v>2</v>
      </c>
    </row>
    <row r="81" spans="1:4" ht="13.2" x14ac:dyDescent="0.25">
      <c r="B81" s="220" t="s">
        <v>1440</v>
      </c>
      <c r="C81" s="232" t="s">
        <v>1615</v>
      </c>
      <c r="D81" s="232">
        <f t="shared" si="2"/>
        <v>5</v>
      </c>
    </row>
    <row r="82" spans="1:4" ht="13.2" x14ac:dyDescent="0.25">
      <c r="B82" s="220" t="s">
        <v>1441</v>
      </c>
      <c r="C82" s="232" t="s">
        <v>1611</v>
      </c>
      <c r="D82" s="232">
        <f t="shared" si="2"/>
        <v>2</v>
      </c>
    </row>
    <row r="83" spans="1:4" ht="13.2" x14ac:dyDescent="0.25">
      <c r="B83" s="220" t="s">
        <v>1426</v>
      </c>
      <c r="C83" s="232" t="s">
        <v>1613</v>
      </c>
      <c r="D83" s="232">
        <f t="shared" si="2"/>
        <v>3</v>
      </c>
    </row>
    <row r="84" spans="1:4" ht="13.2" x14ac:dyDescent="0.25">
      <c r="B84" s="220" t="s">
        <v>1433</v>
      </c>
      <c r="C84" s="232" t="s">
        <v>1611</v>
      </c>
      <c r="D84" s="232">
        <f t="shared" si="2"/>
        <v>2</v>
      </c>
    </row>
    <row r="85" spans="1:4" ht="13.2" x14ac:dyDescent="0.25">
      <c r="B85" s="220" t="s">
        <v>1408</v>
      </c>
      <c r="C85" s="232" t="s">
        <v>1612</v>
      </c>
      <c r="D85" s="232">
        <f t="shared" si="2"/>
        <v>1</v>
      </c>
    </row>
    <row r="86" spans="1:4" ht="13.2" x14ac:dyDescent="0.25">
      <c r="C86" s="232"/>
      <c r="D86" s="232"/>
    </row>
    <row r="87" spans="1:4" ht="26.4" x14ac:dyDescent="0.25">
      <c r="A87" s="239" t="s">
        <v>1443</v>
      </c>
      <c r="B87" s="240"/>
      <c r="C87" s="241" t="s">
        <v>1616</v>
      </c>
      <c r="D87" s="242">
        <f>AVERAGE(D9:D85)</f>
        <v>2.3636363636363638</v>
      </c>
    </row>
    <row r="88" spans="1:4" ht="13.2" x14ac:dyDescent="0.25"/>
    <row r="89" spans="1:4" ht="13.8" thickBot="1" x14ac:dyDescent="0.3">
      <c r="A89" s="243" t="s">
        <v>1460</v>
      </c>
      <c r="B89" s="243" t="s">
        <v>1445</v>
      </c>
      <c r="C89" s="356" t="str">
        <f>C34</f>
        <v>Very credit supportive</v>
      </c>
      <c r="D89" s="356">
        <f>D34</f>
        <v>3</v>
      </c>
    </row>
    <row r="90" spans="1:4" ht="13.2" x14ac:dyDescent="0.25"/>
    <row r="91" spans="1:4" ht="13.2" x14ac:dyDescent="0.25">
      <c r="A91" s="247" t="s">
        <v>1446</v>
      </c>
    </row>
    <row r="92" spans="1:4" ht="13.2" x14ac:dyDescent="0.25">
      <c r="A92" s="354" t="s">
        <v>1617</v>
      </c>
    </row>
    <row r="93" spans="1:4" ht="13.2" x14ac:dyDescent="0.25">
      <c r="A93" s="221" t="s">
        <v>1618</v>
      </c>
    </row>
    <row r="94" spans="1:4" ht="15" customHeight="1" x14ac:dyDescent="0.25">
      <c r="A94" s="221"/>
    </row>
    <row r="95" spans="1:4" ht="13.2" x14ac:dyDescent="0.25"/>
    <row r="97" ht="13.2" x14ac:dyDescent="0.25"/>
    <row r="98" ht="12.75" customHeight="1" x14ac:dyDescent="0.25"/>
    <row r="99" ht="13.2" x14ac:dyDescent="0.25"/>
    <row r="100" ht="13.2" x14ac:dyDescent="0.25"/>
    <row r="101" ht="13.2" x14ac:dyDescent="0.25"/>
    <row r="102" ht="13.2" x14ac:dyDescent="0.25"/>
  </sheetData>
  <mergeCells count="4">
    <mergeCell ref="A2:D2"/>
    <mergeCell ref="A3:D3"/>
    <mergeCell ref="C6:D6"/>
    <mergeCell ref="F6:G6"/>
  </mergeCells>
  <printOptions horizontalCentered="1"/>
  <pageMargins left="0.7" right="0.7" top="1.25" bottom="0.75" header="0.3" footer="0.3"/>
  <pageSetup paperSize="9" scale="71" orientation="portrait" useFirstPageNumber="1" horizontalDpi="1200" verticalDpi="1200" r:id="rId1"/>
  <headerFooter scaleWithDoc="0">
    <oddHeader>&amp;L&amp;"Times New Roman,Bold"&amp;12&amp;KC00000Draft- Privileged and Confidential&amp;R&amp;"Times New Roman,Regular"Exhibit AEB-15
Page &amp;P of &amp;N</oddHeader>
  </headerFooter>
  <rowBreaks count="1" manualBreakCount="1">
    <brk id="54" max="6" man="1"/>
  </rowBreaks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pageSetUpPr autoPageBreaks="0"/>
  </sheetPr>
  <dimension ref="A1:H41"/>
  <sheetViews>
    <sheetView view="pageBreakPreview" zoomScale="60" zoomScaleNormal="80" workbookViewId="0"/>
  </sheetViews>
  <sheetFormatPr defaultColWidth="8.6640625" defaultRowHeight="15" customHeight="1" x14ac:dyDescent="0.3"/>
  <cols>
    <col min="1" max="1" width="8.6640625" style="358"/>
    <col min="2" max="2" width="39.6640625" style="358" customWidth="1"/>
    <col min="3" max="3" width="8.6640625" style="358"/>
    <col min="4" max="4" width="13.6640625" style="358" customWidth="1"/>
    <col min="5" max="5" width="13" style="358" customWidth="1"/>
    <col min="6" max="6" width="12.6640625" style="358" customWidth="1"/>
    <col min="7" max="7" width="15.5546875" style="358" customWidth="1"/>
    <col min="8" max="16384" width="8.6640625" style="358"/>
  </cols>
  <sheetData>
    <row r="1" spans="1:8" ht="15" customHeight="1" x14ac:dyDescent="0.25">
      <c r="A1" s="357"/>
      <c r="B1" s="357"/>
      <c r="C1" s="1"/>
      <c r="D1" s="1"/>
      <c r="E1" s="1"/>
      <c r="F1" s="1"/>
      <c r="G1" s="1"/>
      <c r="H1" s="1"/>
    </row>
    <row r="2" spans="1:8" ht="15" customHeight="1" x14ac:dyDescent="0.25">
      <c r="A2" s="357"/>
      <c r="B2" s="359"/>
      <c r="C2" s="359"/>
      <c r="D2" s="359"/>
      <c r="E2" s="359"/>
      <c r="F2" s="359"/>
      <c r="G2" s="359"/>
      <c r="H2" s="359"/>
    </row>
    <row r="3" spans="1:8" ht="15" customHeight="1" x14ac:dyDescent="0.25">
      <c r="A3" s="357"/>
      <c r="B3" s="359"/>
      <c r="C3" s="359"/>
      <c r="D3" s="359"/>
      <c r="E3" s="359"/>
      <c r="F3" s="359"/>
      <c r="G3" s="359"/>
      <c r="H3" s="359"/>
    </row>
    <row r="4" spans="1:8" ht="15" customHeight="1" x14ac:dyDescent="0.25">
      <c r="A4" s="357"/>
      <c r="B4" s="386" t="s">
        <v>1619</v>
      </c>
      <c r="C4" s="386"/>
      <c r="D4" s="386"/>
      <c r="E4" s="386"/>
      <c r="F4" s="386"/>
      <c r="G4" s="386"/>
      <c r="H4" s="360"/>
    </row>
    <row r="5" spans="1:8" ht="15" customHeight="1" x14ac:dyDescent="0.25">
      <c r="A5" s="357"/>
      <c r="B5" s="359"/>
      <c r="C5" s="359"/>
      <c r="D5" s="359"/>
      <c r="E5" s="359"/>
      <c r="F5" s="359"/>
      <c r="G5" s="359"/>
      <c r="H5" s="359"/>
    </row>
    <row r="6" spans="1:8" ht="15" customHeight="1" x14ac:dyDescent="0.25">
      <c r="A6" s="357"/>
      <c r="B6" s="359"/>
      <c r="C6" s="359"/>
      <c r="D6" s="361" t="s">
        <v>1620</v>
      </c>
      <c r="E6" s="361"/>
      <c r="F6" s="361"/>
      <c r="G6" s="361"/>
      <c r="H6" s="357"/>
    </row>
    <row r="7" spans="1:8" ht="15" customHeight="1" x14ac:dyDescent="0.25">
      <c r="A7" s="357"/>
      <c r="B7" s="359"/>
      <c r="C7" s="359"/>
      <c r="D7" s="362" t="s">
        <v>1621</v>
      </c>
      <c r="E7" s="362" t="s">
        <v>197</v>
      </c>
      <c r="F7" s="362" t="s">
        <v>1622</v>
      </c>
      <c r="G7" s="362"/>
      <c r="H7" s="357"/>
    </row>
    <row r="8" spans="1:8" ht="15" customHeight="1" x14ac:dyDescent="0.25">
      <c r="A8" s="357"/>
      <c r="B8" s="1"/>
      <c r="C8" s="1"/>
      <c r="D8" s="362" t="s">
        <v>1365</v>
      </c>
      <c r="E8" s="362" t="s">
        <v>1623</v>
      </c>
      <c r="F8" s="362" t="s">
        <v>1365</v>
      </c>
      <c r="G8" s="362" t="s">
        <v>1252</v>
      </c>
      <c r="H8" s="357"/>
    </row>
    <row r="9" spans="1:8" ht="15" customHeight="1" x14ac:dyDescent="0.25">
      <c r="A9" s="357"/>
      <c r="B9" s="131" t="s">
        <v>1478</v>
      </c>
      <c r="C9" s="363" t="s">
        <v>47</v>
      </c>
      <c r="D9" s="364" t="s">
        <v>1624</v>
      </c>
      <c r="E9" s="364" t="s">
        <v>1624</v>
      </c>
      <c r="F9" s="364" t="s">
        <v>1624</v>
      </c>
      <c r="G9" s="364" t="s">
        <v>201</v>
      </c>
      <c r="H9" s="357"/>
    </row>
    <row r="10" spans="1:8" ht="15" customHeight="1" x14ac:dyDescent="0.25">
      <c r="A10" s="357"/>
      <c r="B10" s="1" t="s">
        <v>61</v>
      </c>
      <c r="C10" s="359" t="s">
        <v>62</v>
      </c>
      <c r="D10" s="82">
        <v>0.58616825651526028</v>
      </c>
      <c r="E10" s="82">
        <v>0.41383174348473978</v>
      </c>
      <c r="F10" s="82">
        <v>0</v>
      </c>
      <c r="G10" s="365">
        <f>SUM(D10:F10)</f>
        <v>1</v>
      </c>
      <c r="H10" s="357"/>
    </row>
    <row r="11" spans="1:8" ht="15" customHeight="1" x14ac:dyDescent="0.25">
      <c r="A11" s="357"/>
      <c r="B11" s="1" t="s">
        <v>64</v>
      </c>
      <c r="C11" s="359" t="s">
        <v>65</v>
      </c>
      <c r="D11" s="82">
        <v>0.5209397960666966</v>
      </c>
      <c r="E11" s="82">
        <v>0.47711516104238455</v>
      </c>
      <c r="F11" s="82">
        <v>1.9450428909188048E-3</v>
      </c>
      <c r="G11" s="365">
        <f t="shared" ref="G11:G30" si="0">SUM(D11:F11)</f>
        <v>0.99999999999999989</v>
      </c>
      <c r="H11" s="357"/>
    </row>
    <row r="12" spans="1:8" ht="15" customHeight="1" x14ac:dyDescent="0.25">
      <c r="A12" s="357"/>
      <c r="B12" s="1" t="s">
        <v>67</v>
      </c>
      <c r="C12" s="359" t="s">
        <v>68</v>
      </c>
      <c r="D12" s="82">
        <v>0.53167311932145433</v>
      </c>
      <c r="E12" s="82">
        <v>0.46260602694094666</v>
      </c>
      <c r="F12" s="82">
        <v>5.7208537375989391E-3</v>
      </c>
      <c r="G12" s="365">
        <f t="shared" si="0"/>
        <v>0.99999999999999989</v>
      </c>
      <c r="H12" s="357"/>
    </row>
    <row r="13" spans="1:8" ht="15" customHeight="1" x14ac:dyDescent="0.25">
      <c r="A13" s="357"/>
      <c r="B13" s="1" t="s">
        <v>69</v>
      </c>
      <c r="C13" s="359" t="s">
        <v>70</v>
      </c>
      <c r="D13" s="82">
        <v>0.47897155449154133</v>
      </c>
      <c r="E13" s="82">
        <v>0.52102844550845873</v>
      </c>
      <c r="F13" s="82">
        <v>0</v>
      </c>
      <c r="G13" s="365">
        <f t="shared" si="0"/>
        <v>1</v>
      </c>
      <c r="H13" s="357"/>
    </row>
    <row r="14" spans="1:8" ht="15" customHeight="1" x14ac:dyDescent="0.25">
      <c r="A14" s="357"/>
      <c r="B14" s="1" t="s">
        <v>71</v>
      </c>
      <c r="C14" s="359" t="s">
        <v>72</v>
      </c>
      <c r="D14" s="82">
        <v>0.61256429734536821</v>
      </c>
      <c r="E14" s="82">
        <v>0.3874357026546319</v>
      </c>
      <c r="F14" s="82">
        <v>0</v>
      </c>
      <c r="G14" s="365">
        <f t="shared" si="0"/>
        <v>1</v>
      </c>
      <c r="H14" s="357"/>
    </row>
    <row r="15" spans="1:8" ht="15" customHeight="1" x14ac:dyDescent="0.25">
      <c r="A15" s="357"/>
      <c r="B15" s="1" t="s">
        <v>73</v>
      </c>
      <c r="C15" s="359" t="s">
        <v>74</v>
      </c>
      <c r="D15" s="82">
        <v>0.66207535132681461</v>
      </c>
      <c r="E15" s="82">
        <v>0.33792464867318545</v>
      </c>
      <c r="F15" s="82">
        <v>0</v>
      </c>
      <c r="G15" s="365">
        <f t="shared" si="0"/>
        <v>1</v>
      </c>
      <c r="H15" s="357"/>
    </row>
    <row r="16" spans="1:8" ht="15" customHeight="1" x14ac:dyDescent="0.25">
      <c r="A16" s="357"/>
      <c r="B16" s="1" t="s">
        <v>75</v>
      </c>
      <c r="C16" s="359" t="s">
        <v>76</v>
      </c>
      <c r="D16" s="82">
        <v>0.51593529168493113</v>
      </c>
      <c r="E16" s="82">
        <v>0.48211851984914422</v>
      </c>
      <c r="F16" s="82">
        <v>1.946188465924522E-3</v>
      </c>
      <c r="G16" s="365">
        <f t="shared" si="0"/>
        <v>0.99999999999999989</v>
      </c>
      <c r="H16" s="357"/>
    </row>
    <row r="17" spans="1:8" ht="15" customHeight="1" x14ac:dyDescent="0.25">
      <c r="A17" s="357"/>
      <c r="B17" s="1" t="s">
        <v>77</v>
      </c>
      <c r="C17" s="359" t="s">
        <v>78</v>
      </c>
      <c r="D17" s="82">
        <v>0.52773709413970982</v>
      </c>
      <c r="E17" s="82">
        <v>0.47226290586029029</v>
      </c>
      <c r="F17" s="82">
        <v>0</v>
      </c>
      <c r="G17" s="365">
        <f t="shared" si="0"/>
        <v>1</v>
      </c>
      <c r="H17" s="357"/>
    </row>
    <row r="18" spans="1:8" ht="15" customHeight="1" x14ac:dyDescent="0.25">
      <c r="A18" s="357"/>
      <c r="B18" s="1" t="s">
        <v>79</v>
      </c>
      <c r="C18" s="359" t="s">
        <v>80</v>
      </c>
      <c r="D18" s="82">
        <v>0.47306203507048877</v>
      </c>
      <c r="E18" s="82">
        <v>0.5259443750312196</v>
      </c>
      <c r="F18" s="82">
        <v>9.9358989829158892E-4</v>
      </c>
      <c r="G18" s="365">
        <f t="shared" si="0"/>
        <v>1</v>
      </c>
      <c r="H18" s="357"/>
    </row>
    <row r="19" spans="1:8" ht="15" customHeight="1" x14ac:dyDescent="0.25">
      <c r="A19" s="357"/>
      <c r="B19" s="1" t="s">
        <v>81</v>
      </c>
      <c r="C19" s="359" t="s">
        <v>82</v>
      </c>
      <c r="D19" s="82">
        <v>0.63073860387619696</v>
      </c>
      <c r="E19" s="82">
        <v>0.36926139612380304</v>
      </c>
      <c r="F19" s="82">
        <v>0</v>
      </c>
      <c r="G19" s="365">
        <f t="shared" si="0"/>
        <v>1</v>
      </c>
      <c r="H19" s="357"/>
    </row>
    <row r="20" spans="1:8" ht="15" customHeight="1" x14ac:dyDescent="0.25">
      <c r="A20" s="357"/>
      <c r="B20" s="1" t="s">
        <v>83</v>
      </c>
      <c r="C20" s="359" t="s">
        <v>84</v>
      </c>
      <c r="D20" s="82">
        <v>0.53664768119704309</v>
      </c>
      <c r="E20" s="82">
        <v>0.46335231880295691</v>
      </c>
      <c r="F20" s="82">
        <v>0</v>
      </c>
      <c r="G20" s="365">
        <f t="shared" si="0"/>
        <v>1</v>
      </c>
      <c r="H20" s="357"/>
    </row>
    <row r="21" spans="1:8" ht="15" customHeight="1" x14ac:dyDescent="0.25">
      <c r="A21" s="357"/>
      <c r="B21" s="1" t="s">
        <v>85</v>
      </c>
      <c r="C21" s="359" t="s">
        <v>86</v>
      </c>
      <c r="D21" s="82">
        <v>0.60589780124790038</v>
      </c>
      <c r="E21" s="82">
        <v>0.39410219875209967</v>
      </c>
      <c r="F21" s="82">
        <v>0</v>
      </c>
      <c r="G21" s="365">
        <f t="shared" si="0"/>
        <v>1</v>
      </c>
      <c r="H21" s="357"/>
    </row>
    <row r="22" spans="1:8" ht="15" customHeight="1" x14ac:dyDescent="0.25">
      <c r="A22" s="357"/>
      <c r="B22" s="1" t="s">
        <v>88</v>
      </c>
      <c r="C22" s="359" t="s">
        <v>89</v>
      </c>
      <c r="D22" s="82">
        <v>0.61287035399684431</v>
      </c>
      <c r="E22" s="82">
        <v>0.38712964600315575</v>
      </c>
      <c r="F22" s="82">
        <v>0</v>
      </c>
      <c r="G22" s="365">
        <f t="shared" si="0"/>
        <v>1</v>
      </c>
      <c r="H22" s="357"/>
    </row>
    <row r="23" spans="1:8" ht="15" customHeight="1" x14ac:dyDescent="0.25">
      <c r="A23" s="357"/>
      <c r="B23" s="1" t="s">
        <v>56</v>
      </c>
      <c r="C23" s="359" t="s">
        <v>57</v>
      </c>
      <c r="D23" s="82">
        <v>0.58095886842214961</v>
      </c>
      <c r="E23" s="82">
        <v>0.41904113157785045</v>
      </c>
      <c r="F23" s="82">
        <v>0</v>
      </c>
      <c r="G23" s="365">
        <f t="shared" si="0"/>
        <v>1</v>
      </c>
      <c r="H23" s="357"/>
    </row>
    <row r="24" spans="1:8" ht="15" customHeight="1" x14ac:dyDescent="0.25">
      <c r="A24" s="357"/>
      <c r="B24" s="1" t="s">
        <v>90</v>
      </c>
      <c r="C24" s="359" t="s">
        <v>1625</v>
      </c>
      <c r="D24" s="82">
        <v>0.49288144736659262</v>
      </c>
      <c r="E24" s="82">
        <v>0.50711855263340722</v>
      </c>
      <c r="F24" s="82">
        <v>0</v>
      </c>
      <c r="G24" s="365">
        <f t="shared" si="0"/>
        <v>0.99999999999999978</v>
      </c>
      <c r="H24" s="357"/>
    </row>
    <row r="25" spans="1:8" ht="15" customHeight="1" x14ac:dyDescent="0.25">
      <c r="A25" s="357"/>
      <c r="B25" s="1" t="s">
        <v>1626</v>
      </c>
      <c r="C25" s="359" t="s">
        <v>93</v>
      </c>
      <c r="D25" s="82">
        <v>0.53981037363910844</v>
      </c>
      <c r="E25" s="82">
        <v>0.46018962636089161</v>
      </c>
      <c r="F25" s="82">
        <v>0</v>
      </c>
      <c r="G25" s="365">
        <f t="shared" si="0"/>
        <v>1</v>
      </c>
      <c r="H25" s="357"/>
    </row>
    <row r="26" spans="1:8" ht="15" customHeight="1" x14ac:dyDescent="0.25">
      <c r="A26" s="357"/>
      <c r="B26" s="1" t="s">
        <v>94</v>
      </c>
      <c r="C26" s="359" t="s">
        <v>95</v>
      </c>
      <c r="D26" s="82">
        <v>0.50992319409086306</v>
      </c>
      <c r="E26" s="82">
        <v>0.49007680590913683</v>
      </c>
      <c r="F26" s="82">
        <v>0</v>
      </c>
      <c r="G26" s="365">
        <f t="shared" si="0"/>
        <v>0.99999999999999989</v>
      </c>
      <c r="H26" s="357"/>
    </row>
    <row r="27" spans="1:8" ht="15" customHeight="1" x14ac:dyDescent="0.25">
      <c r="A27" s="357"/>
      <c r="B27" s="1" t="s">
        <v>96</v>
      </c>
      <c r="C27" s="359" t="s">
        <v>97</v>
      </c>
      <c r="D27" s="82">
        <v>0.45521381041363412</v>
      </c>
      <c r="E27" s="82">
        <v>0.54478618958636593</v>
      </c>
      <c r="F27" s="82">
        <v>0</v>
      </c>
      <c r="G27" s="365">
        <f t="shared" si="0"/>
        <v>1</v>
      </c>
      <c r="H27" s="357"/>
    </row>
    <row r="28" spans="1:8" ht="15" customHeight="1" x14ac:dyDescent="0.25">
      <c r="A28" s="357"/>
      <c r="B28" s="1" t="s">
        <v>1627</v>
      </c>
      <c r="C28" s="359" t="s">
        <v>99</v>
      </c>
      <c r="D28" s="82">
        <v>0.55698464753757726</v>
      </c>
      <c r="E28" s="82">
        <v>0.4406400147160412</v>
      </c>
      <c r="F28" s="82">
        <v>2.3753377463814748E-3</v>
      </c>
      <c r="G28" s="365">
        <f t="shared" si="0"/>
        <v>0.99999999999999989</v>
      </c>
      <c r="H28" s="357"/>
    </row>
    <row r="29" spans="1:8" ht="15" customHeight="1" x14ac:dyDescent="0.25">
      <c r="A29" s="357"/>
      <c r="B29" s="366" t="s">
        <v>1628</v>
      </c>
      <c r="C29" s="367" t="s">
        <v>101</v>
      </c>
      <c r="D29" s="82">
        <v>0.57156023022644487</v>
      </c>
      <c r="E29" s="82">
        <v>0.42737649320071602</v>
      </c>
      <c r="F29" s="82">
        <v>1.063276572839109E-3</v>
      </c>
      <c r="G29" s="365">
        <f t="shared" si="0"/>
        <v>1</v>
      </c>
      <c r="H29" s="357"/>
    </row>
    <row r="30" spans="1:8" ht="15" customHeight="1" x14ac:dyDescent="0.25">
      <c r="A30" s="357"/>
      <c r="B30" s="131" t="s">
        <v>102</v>
      </c>
      <c r="C30" s="363" t="s">
        <v>103</v>
      </c>
      <c r="D30" s="85">
        <v>0.54439360559358962</v>
      </c>
      <c r="E30" s="85">
        <v>0.45560639440641049</v>
      </c>
      <c r="F30" s="85">
        <v>0</v>
      </c>
      <c r="G30" s="368">
        <f t="shared" si="0"/>
        <v>1</v>
      </c>
      <c r="H30" s="357"/>
    </row>
    <row r="31" spans="1:8" ht="15" customHeight="1" x14ac:dyDescent="0.25">
      <c r="A31" s="357"/>
      <c r="B31" s="1"/>
      <c r="C31" s="359"/>
      <c r="D31" s="369"/>
      <c r="E31" s="369"/>
      <c r="F31" s="369"/>
      <c r="G31" s="369"/>
      <c r="H31" s="357"/>
    </row>
    <row r="32" spans="1:8" ht="15" customHeight="1" x14ac:dyDescent="0.25">
      <c r="A32" s="357"/>
      <c r="B32" s="370" t="s">
        <v>172</v>
      </c>
      <c r="C32" s="359"/>
      <c r="D32" s="371">
        <f>AVERAGE(D10:D30)</f>
        <v>0.54985749588429567</v>
      </c>
      <c r="E32" s="371">
        <f>AVERAGE(E10:E30)</f>
        <v>0.44947372843418276</v>
      </c>
      <c r="F32" s="371">
        <f>AVERAGE(F10:F30)</f>
        <v>6.6877568152163994E-4</v>
      </c>
      <c r="G32" s="369"/>
      <c r="H32" s="357"/>
    </row>
    <row r="33" spans="1:8" ht="15" customHeight="1" x14ac:dyDescent="0.25">
      <c r="A33" s="357"/>
      <c r="B33" s="370" t="s">
        <v>14</v>
      </c>
      <c r="C33" s="359"/>
      <c r="D33" s="371">
        <f>MEDIAN(D10:D30)</f>
        <v>0.53981037363910844</v>
      </c>
      <c r="E33" s="371">
        <f>MEDIAN(E10:E30)</f>
        <v>0.46018962636089161</v>
      </c>
      <c r="F33" s="371">
        <f>MEDIAN(F10:F30)</f>
        <v>0</v>
      </c>
      <c r="G33" s="369"/>
      <c r="H33" s="357"/>
    </row>
    <row r="34" spans="1:8" ht="15" customHeight="1" x14ac:dyDescent="0.25">
      <c r="A34" s="357"/>
      <c r="B34" s="370" t="s">
        <v>1629</v>
      </c>
      <c r="C34" s="359"/>
      <c r="D34" s="371">
        <f>MAX(D10:D30)</f>
        <v>0.66207535132681461</v>
      </c>
      <c r="E34" s="371">
        <f>MAX(E10:E30)</f>
        <v>0.54478618958636593</v>
      </c>
      <c r="F34" s="371">
        <f>MAX(F10:F30)</f>
        <v>5.7208537375989391E-3</v>
      </c>
      <c r="G34" s="369"/>
      <c r="H34" s="357"/>
    </row>
    <row r="35" spans="1:8" ht="15" customHeight="1" x14ac:dyDescent="0.25">
      <c r="A35" s="357"/>
      <c r="B35" s="370" t="s">
        <v>1630</v>
      </c>
      <c r="C35" s="359"/>
      <c r="D35" s="371">
        <f>MIN(D10:D30)</f>
        <v>0.45521381041363412</v>
      </c>
      <c r="E35" s="371">
        <f>MIN(E10:E30)</f>
        <v>0.33792464867318545</v>
      </c>
      <c r="F35" s="371">
        <f>MIN(F10:F30)</f>
        <v>0</v>
      </c>
      <c r="G35" s="369"/>
      <c r="H35" s="357"/>
    </row>
    <row r="36" spans="1:8" ht="15" customHeight="1" x14ac:dyDescent="0.25">
      <c r="A36" s="357"/>
      <c r="B36" s="81"/>
      <c r="C36" s="359"/>
      <c r="D36" s="369"/>
      <c r="E36" s="369"/>
      <c r="F36" s="369"/>
      <c r="G36" s="369"/>
      <c r="H36" s="369"/>
    </row>
    <row r="37" spans="1:8" ht="15" customHeight="1" x14ac:dyDescent="0.25">
      <c r="A37" s="357"/>
      <c r="B37" s="372" t="s">
        <v>104</v>
      </c>
      <c r="C37" s="359"/>
      <c r="D37" s="369"/>
      <c r="E37" s="369"/>
      <c r="F37" s="369"/>
      <c r="G37" s="369"/>
      <c r="H37" s="369"/>
    </row>
    <row r="38" spans="1:8" ht="15" customHeight="1" x14ac:dyDescent="0.25">
      <c r="A38" s="357"/>
      <c r="B38" s="373" t="s">
        <v>1631</v>
      </c>
      <c r="C38" s="359"/>
      <c r="D38" s="369"/>
      <c r="E38" s="369"/>
      <c r="F38" s="369"/>
      <c r="G38" s="369"/>
      <c r="H38" s="369"/>
    </row>
    <row r="39" spans="1:8" ht="15" customHeight="1" x14ac:dyDescent="0.25">
      <c r="A39" s="357"/>
      <c r="B39" s="373" t="s">
        <v>1632</v>
      </c>
      <c r="C39" s="359"/>
      <c r="D39" s="369"/>
      <c r="E39" s="369"/>
      <c r="F39" s="369"/>
      <c r="G39" s="369"/>
      <c r="H39" s="369"/>
    </row>
    <row r="40" spans="1:8" ht="15" customHeight="1" x14ac:dyDescent="0.25">
      <c r="A40" s="357"/>
      <c r="B40" s="1"/>
      <c r="C40" s="359"/>
      <c r="D40" s="369"/>
      <c r="E40" s="369"/>
      <c r="F40" s="369"/>
      <c r="G40" s="369"/>
      <c r="H40" s="369"/>
    </row>
    <row r="41" spans="1:8" ht="15" customHeight="1" x14ac:dyDescent="0.25">
      <c r="A41" s="357"/>
      <c r="B41" s="1"/>
      <c r="C41" s="359"/>
      <c r="D41" s="369"/>
      <c r="E41" s="369"/>
      <c r="F41" s="369"/>
      <c r="G41" s="369"/>
      <c r="H41" s="369"/>
    </row>
  </sheetData>
  <mergeCells count="1">
    <mergeCell ref="B4:G4"/>
  </mergeCells>
  <printOptions horizontalCentered="1"/>
  <pageMargins left="0.7" right="0.7" top="0.75" bottom="0.75" header="0.3" footer="0.3"/>
  <pageSetup scale="86" orientation="landscape" useFirstPageNumber="1" horizontalDpi="1200" verticalDpi="1200" r:id="rId1"/>
  <headerFooter scaleWithDoc="0">
    <oddFooter>&amp;L&amp;"Times New Roman,Bold"&amp;12&amp;KC00000Draft- Privileged and Confidential&amp;R&amp;"Times New Roman,Regular"&amp;12Exhibit AEB-16
Page &amp;P of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V62"/>
  <sheetViews>
    <sheetView view="pageBreakPreview" zoomScaleNormal="90" zoomScaleSheetLayoutView="100" workbookViewId="0"/>
  </sheetViews>
  <sheetFormatPr defaultColWidth="9" defaultRowHeight="15.6" x14ac:dyDescent="0.3"/>
  <cols>
    <col min="1" max="1" width="36.44140625" style="35" customWidth="1"/>
    <col min="2" max="2" width="15.5546875" style="35" customWidth="1"/>
    <col min="3" max="3" width="18.6640625" style="35" customWidth="1"/>
    <col min="4" max="4" width="21.6640625" style="35" customWidth="1"/>
    <col min="5" max="5" width="17.5546875" style="35" customWidth="1"/>
    <col min="6" max="6" width="22.44140625" style="35" customWidth="1"/>
    <col min="7" max="7" width="17" style="35" customWidth="1"/>
    <col min="8" max="8" width="17.5546875" style="35" customWidth="1"/>
    <col min="9" max="10" width="15.5546875" style="35" customWidth="1"/>
    <col min="11" max="11" width="7.5546875" style="35" customWidth="1"/>
    <col min="12" max="12" width="6.109375" style="35" customWidth="1"/>
    <col min="13" max="16384" width="9" style="35"/>
  </cols>
  <sheetData>
    <row r="2" spans="1:13" x14ac:dyDescent="0.3">
      <c r="A2" s="382" t="s">
        <v>37</v>
      </c>
      <c r="B2" s="382"/>
      <c r="C2" s="382"/>
      <c r="D2" s="382"/>
      <c r="E2" s="382"/>
      <c r="F2" s="382"/>
      <c r="G2" s="382"/>
      <c r="H2" s="382"/>
      <c r="I2" s="382"/>
      <c r="J2" s="382"/>
    </row>
    <row r="4" spans="1:13" x14ac:dyDescent="0.3">
      <c r="A4" s="36"/>
      <c r="B4" s="36"/>
      <c r="C4" s="37" t="s">
        <v>38</v>
      </c>
      <c r="D4" s="37" t="s">
        <v>39</v>
      </c>
      <c r="E4" s="37" t="s">
        <v>40</v>
      </c>
      <c r="F4" s="37" t="s">
        <v>41</v>
      </c>
      <c r="G4" s="37" t="s">
        <v>42</v>
      </c>
      <c r="H4" s="37" t="s">
        <v>43</v>
      </c>
      <c r="I4" s="37" t="s">
        <v>44</v>
      </c>
      <c r="J4" s="37" t="s">
        <v>45</v>
      </c>
    </row>
    <row r="5" spans="1:13" ht="78" x14ac:dyDescent="0.3">
      <c r="A5" s="36" t="s">
        <v>46</v>
      </c>
      <c r="B5" s="37" t="s">
        <v>47</v>
      </c>
      <c r="C5" s="38" t="s">
        <v>48</v>
      </c>
      <c r="D5" s="39" t="s">
        <v>49</v>
      </c>
      <c r="E5" s="39" t="s">
        <v>50</v>
      </c>
      <c r="F5" s="39" t="s">
        <v>51</v>
      </c>
      <c r="G5" s="39" t="s">
        <v>52</v>
      </c>
      <c r="H5" s="39" t="s">
        <v>53</v>
      </c>
      <c r="I5" s="39" t="s">
        <v>54</v>
      </c>
      <c r="J5" s="39" t="s">
        <v>55</v>
      </c>
    </row>
    <row r="6" spans="1:13" x14ac:dyDescent="0.3">
      <c r="A6" s="40" t="s">
        <v>56</v>
      </c>
      <c r="B6" s="41" t="s">
        <v>57</v>
      </c>
      <c r="C6" s="42" t="s">
        <v>58</v>
      </c>
      <c r="D6" s="42" t="s">
        <v>59</v>
      </c>
      <c r="E6" s="42" t="s">
        <v>58</v>
      </c>
      <c r="F6" s="42" t="s">
        <v>58</v>
      </c>
      <c r="G6" s="42" t="s">
        <v>58</v>
      </c>
      <c r="H6" s="43">
        <v>0.46864989901068715</v>
      </c>
      <c r="I6" s="43">
        <v>1.001732114444998</v>
      </c>
      <c r="J6" s="42" t="s">
        <v>60</v>
      </c>
      <c r="K6" s="43"/>
      <c r="L6" s="44"/>
      <c r="M6" s="45"/>
    </row>
    <row r="7" spans="1:13" x14ac:dyDescent="0.3">
      <c r="A7" s="40" t="s">
        <v>61</v>
      </c>
      <c r="B7" s="41" t="s">
        <v>62</v>
      </c>
      <c r="C7" s="42" t="s">
        <v>58</v>
      </c>
      <c r="D7" s="42" t="s">
        <v>63</v>
      </c>
      <c r="E7" s="42" t="s">
        <v>58</v>
      </c>
      <c r="F7" s="42" t="s">
        <v>58</v>
      </c>
      <c r="G7" s="42" t="s">
        <v>58</v>
      </c>
      <c r="H7" s="43">
        <v>0.43270406472471029</v>
      </c>
      <c r="I7" s="43">
        <v>1.0283656799743348</v>
      </c>
      <c r="J7" s="42" t="s">
        <v>60</v>
      </c>
      <c r="K7" s="43"/>
      <c r="L7" s="44"/>
      <c r="M7" s="45"/>
    </row>
    <row r="8" spans="1:13" x14ac:dyDescent="0.3">
      <c r="A8" s="40" t="s">
        <v>64</v>
      </c>
      <c r="B8" s="41" t="s">
        <v>65</v>
      </c>
      <c r="C8" s="42" t="s">
        <v>58</v>
      </c>
      <c r="D8" s="42" t="s">
        <v>66</v>
      </c>
      <c r="E8" s="42" t="s">
        <v>58</v>
      </c>
      <c r="F8" s="42" t="s">
        <v>58</v>
      </c>
      <c r="G8" s="42" t="s">
        <v>58</v>
      </c>
      <c r="H8" s="43">
        <v>0.72745814382227314</v>
      </c>
      <c r="I8" s="43">
        <v>0.96960694021933447</v>
      </c>
      <c r="J8" s="42" t="s">
        <v>60</v>
      </c>
      <c r="K8" s="43"/>
      <c r="L8" s="44"/>
      <c r="M8" s="45"/>
    </row>
    <row r="9" spans="1:13" x14ac:dyDescent="0.3">
      <c r="A9" s="40" t="s">
        <v>67</v>
      </c>
      <c r="B9" s="41" t="s">
        <v>68</v>
      </c>
      <c r="C9" s="42" t="s">
        <v>58</v>
      </c>
      <c r="D9" s="42" t="s">
        <v>59</v>
      </c>
      <c r="E9" s="42" t="s">
        <v>58</v>
      </c>
      <c r="F9" s="42" t="s">
        <v>58</v>
      </c>
      <c r="G9" s="42" t="s">
        <v>58</v>
      </c>
      <c r="H9" s="43">
        <v>0.75337208920547827</v>
      </c>
      <c r="I9" s="43">
        <v>1</v>
      </c>
      <c r="J9" s="42" t="s">
        <v>60</v>
      </c>
      <c r="K9" s="43"/>
      <c r="L9" s="44"/>
      <c r="M9" s="45"/>
    </row>
    <row r="10" spans="1:13" x14ac:dyDescent="0.3">
      <c r="A10" s="40" t="s">
        <v>69</v>
      </c>
      <c r="B10" s="41" t="s">
        <v>70</v>
      </c>
      <c r="C10" s="42" t="s">
        <v>58</v>
      </c>
      <c r="D10" s="42" t="s">
        <v>66</v>
      </c>
      <c r="E10" s="42" t="s">
        <v>58</v>
      </c>
      <c r="F10" s="42" t="s">
        <v>58</v>
      </c>
      <c r="G10" s="42" t="s">
        <v>58</v>
      </c>
      <c r="H10" s="43">
        <v>0.51619594626190179</v>
      </c>
      <c r="I10" s="43">
        <v>0.97339374172652093</v>
      </c>
      <c r="J10" s="42" t="s">
        <v>60</v>
      </c>
      <c r="K10" s="43"/>
      <c r="L10" s="44"/>
      <c r="M10" s="45"/>
    </row>
    <row r="11" spans="1:13" x14ac:dyDescent="0.3">
      <c r="A11" s="40" t="s">
        <v>71</v>
      </c>
      <c r="B11" s="41" t="s">
        <v>72</v>
      </c>
      <c r="C11" s="42" t="s">
        <v>58</v>
      </c>
      <c r="D11" s="42" t="s">
        <v>63</v>
      </c>
      <c r="E11" s="42" t="s">
        <v>58</v>
      </c>
      <c r="F11" s="42" t="s">
        <v>58</v>
      </c>
      <c r="G11" s="42" t="s">
        <v>58</v>
      </c>
      <c r="H11" s="43">
        <v>0.59469071191637168</v>
      </c>
      <c r="I11" s="43">
        <v>1</v>
      </c>
      <c r="J11" s="42" t="s">
        <v>60</v>
      </c>
      <c r="K11" s="43"/>
      <c r="L11" s="44"/>
      <c r="M11" s="45"/>
    </row>
    <row r="12" spans="1:13" x14ac:dyDescent="0.3">
      <c r="A12" s="40" t="s">
        <v>73</v>
      </c>
      <c r="B12" s="41" t="s">
        <v>74</v>
      </c>
      <c r="C12" s="42" t="s">
        <v>58</v>
      </c>
      <c r="D12" s="42" t="s">
        <v>59</v>
      </c>
      <c r="E12" s="42" t="s">
        <v>58</v>
      </c>
      <c r="F12" s="42" t="s">
        <v>58</v>
      </c>
      <c r="G12" s="42" t="s">
        <v>58</v>
      </c>
      <c r="H12" s="43">
        <v>0.39723828725084021</v>
      </c>
      <c r="I12" s="43">
        <v>0.94704708103816493</v>
      </c>
      <c r="J12" s="42" t="s">
        <v>60</v>
      </c>
      <c r="K12" s="43"/>
      <c r="L12" s="44"/>
      <c r="M12" s="45"/>
    </row>
    <row r="13" spans="1:13" x14ac:dyDescent="0.3">
      <c r="A13" s="40" t="s">
        <v>75</v>
      </c>
      <c r="B13" s="41" t="s">
        <v>76</v>
      </c>
      <c r="C13" s="42" t="s">
        <v>58</v>
      </c>
      <c r="D13" s="42" t="s">
        <v>59</v>
      </c>
      <c r="E13" s="42" t="s">
        <v>58</v>
      </c>
      <c r="F13" s="42" t="s">
        <v>58</v>
      </c>
      <c r="G13" s="42" t="s">
        <v>58</v>
      </c>
      <c r="H13" s="43">
        <v>0.4250211952113267</v>
      </c>
      <c r="I13" s="43">
        <v>0.9970810145586243</v>
      </c>
      <c r="J13" s="42" t="s">
        <v>60</v>
      </c>
      <c r="K13" s="43"/>
      <c r="L13" s="44"/>
      <c r="M13" s="45"/>
    </row>
    <row r="14" spans="1:13" x14ac:dyDescent="0.3">
      <c r="A14" s="40" t="s">
        <v>77</v>
      </c>
      <c r="B14" s="41" t="s">
        <v>78</v>
      </c>
      <c r="C14" s="42" t="s">
        <v>58</v>
      </c>
      <c r="D14" s="42" t="s">
        <v>59</v>
      </c>
      <c r="E14" s="42" t="s">
        <v>58</v>
      </c>
      <c r="F14" s="42" t="s">
        <v>58</v>
      </c>
      <c r="G14" s="42" t="s">
        <v>58</v>
      </c>
      <c r="H14" s="43">
        <v>0.81528882646543155</v>
      </c>
      <c r="I14" s="43">
        <v>0.99655410062026195</v>
      </c>
      <c r="J14" s="42" t="s">
        <v>60</v>
      </c>
      <c r="K14" s="43"/>
      <c r="L14" s="44"/>
      <c r="M14" s="45"/>
    </row>
    <row r="15" spans="1:13" x14ac:dyDescent="0.3">
      <c r="A15" s="40" t="s">
        <v>79</v>
      </c>
      <c r="B15" s="41" t="s">
        <v>80</v>
      </c>
      <c r="C15" s="42" t="s">
        <v>58</v>
      </c>
      <c r="D15" s="42" t="s">
        <v>59</v>
      </c>
      <c r="E15" s="42" t="s">
        <v>58</v>
      </c>
      <c r="F15" s="42" t="s">
        <v>58</v>
      </c>
      <c r="G15" s="42" t="s">
        <v>58</v>
      </c>
      <c r="H15" s="43">
        <v>0.71429214075338932</v>
      </c>
      <c r="I15" s="43">
        <v>0.98738109598441426</v>
      </c>
      <c r="J15" s="42" t="s">
        <v>60</v>
      </c>
      <c r="K15" s="43"/>
      <c r="L15" s="44"/>
      <c r="M15" s="45"/>
    </row>
    <row r="16" spans="1:13" x14ac:dyDescent="0.3">
      <c r="A16" s="40" t="s">
        <v>81</v>
      </c>
      <c r="B16" s="41" t="s">
        <v>82</v>
      </c>
      <c r="C16" s="42" t="s">
        <v>58</v>
      </c>
      <c r="D16" s="42" t="s">
        <v>59</v>
      </c>
      <c r="E16" s="42" t="s">
        <v>58</v>
      </c>
      <c r="F16" s="42" t="s">
        <v>58</v>
      </c>
      <c r="G16" s="42" t="s">
        <v>58</v>
      </c>
      <c r="H16" s="43">
        <v>0.62144081122551409</v>
      </c>
      <c r="I16" s="43">
        <v>1</v>
      </c>
      <c r="J16" s="42" t="s">
        <v>60</v>
      </c>
      <c r="K16" s="43"/>
      <c r="L16" s="44"/>
      <c r="M16" s="45"/>
    </row>
    <row r="17" spans="1:13" x14ac:dyDescent="0.3">
      <c r="A17" s="40" t="s">
        <v>83</v>
      </c>
      <c r="B17" s="41" t="s">
        <v>84</v>
      </c>
      <c r="C17" s="42" t="s">
        <v>58</v>
      </c>
      <c r="D17" s="42" t="s">
        <v>63</v>
      </c>
      <c r="E17" s="42" t="s">
        <v>58</v>
      </c>
      <c r="F17" s="42" t="s">
        <v>58</v>
      </c>
      <c r="G17" s="42" t="s">
        <v>58</v>
      </c>
      <c r="H17" s="43">
        <v>0.6534976016142392</v>
      </c>
      <c r="I17" s="43">
        <v>0.99910991510613201</v>
      </c>
      <c r="J17" s="42" t="s">
        <v>60</v>
      </c>
      <c r="K17" s="43"/>
      <c r="L17" s="44"/>
      <c r="M17" s="45"/>
    </row>
    <row r="18" spans="1:13" x14ac:dyDescent="0.3">
      <c r="A18" s="40" t="s">
        <v>85</v>
      </c>
      <c r="B18" s="41" t="s">
        <v>86</v>
      </c>
      <c r="C18" s="42" t="s">
        <v>58</v>
      </c>
      <c r="D18" s="42" t="s">
        <v>87</v>
      </c>
      <c r="E18" s="42" t="s">
        <v>58</v>
      </c>
      <c r="F18" s="42" t="s">
        <v>58</v>
      </c>
      <c r="G18" s="42" t="s">
        <v>58</v>
      </c>
      <c r="H18" s="43">
        <v>0.68125335918410368</v>
      </c>
      <c r="I18" s="43">
        <v>0.7255042536845574</v>
      </c>
      <c r="J18" s="42" t="s">
        <v>60</v>
      </c>
      <c r="K18" s="43"/>
      <c r="L18" s="44"/>
      <c r="M18" s="45"/>
    </row>
    <row r="19" spans="1:13" x14ac:dyDescent="0.3">
      <c r="A19" s="40" t="s">
        <v>88</v>
      </c>
      <c r="B19" s="41" t="s">
        <v>89</v>
      </c>
      <c r="C19" s="42" t="s">
        <v>58</v>
      </c>
      <c r="D19" s="42" t="s">
        <v>66</v>
      </c>
      <c r="E19" s="42" t="s">
        <v>58</v>
      </c>
      <c r="F19" s="42" t="s">
        <v>58</v>
      </c>
      <c r="G19" s="42" t="s">
        <v>58</v>
      </c>
      <c r="H19" s="43">
        <v>0.96404501986355118</v>
      </c>
      <c r="I19" s="43">
        <v>0.921562192320315</v>
      </c>
      <c r="J19" s="42" t="s">
        <v>60</v>
      </c>
      <c r="K19" s="43"/>
      <c r="L19" s="44"/>
      <c r="M19" s="45"/>
    </row>
    <row r="20" spans="1:13" x14ac:dyDescent="0.3">
      <c r="A20" s="40" t="s">
        <v>90</v>
      </c>
      <c r="B20" s="41" t="s">
        <v>91</v>
      </c>
      <c r="C20" s="42" t="s">
        <v>58</v>
      </c>
      <c r="D20" s="42" t="s">
        <v>63</v>
      </c>
      <c r="E20" s="42" t="s">
        <v>58</v>
      </c>
      <c r="F20" s="42" t="s">
        <v>58</v>
      </c>
      <c r="G20" s="42" t="s">
        <v>58</v>
      </c>
      <c r="H20" s="43">
        <v>0.55824474698846172</v>
      </c>
      <c r="I20" s="43">
        <v>0.99748804705537031</v>
      </c>
      <c r="J20" s="42" t="s">
        <v>60</v>
      </c>
      <c r="K20" s="43"/>
      <c r="L20" s="44"/>
      <c r="M20" s="45"/>
    </row>
    <row r="21" spans="1:13" x14ac:dyDescent="0.3">
      <c r="A21" s="40" t="s">
        <v>92</v>
      </c>
      <c r="B21" s="41" t="s">
        <v>93</v>
      </c>
      <c r="C21" s="42" t="s">
        <v>58</v>
      </c>
      <c r="D21" s="42" t="s">
        <v>59</v>
      </c>
      <c r="E21" s="42" t="s">
        <v>58</v>
      </c>
      <c r="F21" s="42" t="s">
        <v>58</v>
      </c>
      <c r="G21" s="42" t="s">
        <v>58</v>
      </c>
      <c r="H21" s="43">
        <v>0.50648306692182499</v>
      </c>
      <c r="I21" s="43">
        <v>1</v>
      </c>
      <c r="J21" s="42" t="s">
        <v>60</v>
      </c>
      <c r="K21" s="43"/>
      <c r="L21" s="44"/>
      <c r="M21" s="45"/>
    </row>
    <row r="22" spans="1:13" x14ac:dyDescent="0.3">
      <c r="A22" s="40" t="s">
        <v>94</v>
      </c>
      <c r="B22" s="41" t="s">
        <v>95</v>
      </c>
      <c r="C22" s="42" t="s">
        <v>58</v>
      </c>
      <c r="D22" s="42" t="s">
        <v>59</v>
      </c>
      <c r="E22" s="42" t="s">
        <v>58</v>
      </c>
      <c r="F22" s="42" t="s">
        <v>58</v>
      </c>
      <c r="G22" s="42" t="s">
        <v>58</v>
      </c>
      <c r="H22" s="43">
        <v>0.76085588870733079</v>
      </c>
      <c r="I22" s="43">
        <v>1</v>
      </c>
      <c r="J22" s="42" t="s">
        <v>60</v>
      </c>
      <c r="K22" s="43"/>
      <c r="L22" s="44"/>
      <c r="M22" s="45"/>
    </row>
    <row r="23" spans="1:13" x14ac:dyDescent="0.3">
      <c r="A23" s="40" t="s">
        <v>96</v>
      </c>
      <c r="B23" s="41" t="s">
        <v>97</v>
      </c>
      <c r="C23" s="42" t="s">
        <v>58</v>
      </c>
      <c r="D23" s="42" t="s">
        <v>59</v>
      </c>
      <c r="E23" s="42" t="s">
        <v>58</v>
      </c>
      <c r="F23" s="42" t="s">
        <v>58</v>
      </c>
      <c r="G23" s="42" t="s">
        <v>58</v>
      </c>
      <c r="H23" s="43">
        <v>0.54877989706747543</v>
      </c>
      <c r="I23" s="43">
        <v>1</v>
      </c>
      <c r="J23" s="42" t="s">
        <v>60</v>
      </c>
      <c r="K23" s="43"/>
      <c r="L23" s="44"/>
      <c r="M23" s="45"/>
    </row>
    <row r="24" spans="1:13" x14ac:dyDescent="0.3">
      <c r="A24" s="40" t="s">
        <v>98</v>
      </c>
      <c r="B24" s="41" t="s">
        <v>99</v>
      </c>
      <c r="C24" s="42" t="s">
        <v>58</v>
      </c>
      <c r="D24" s="42" t="s">
        <v>59</v>
      </c>
      <c r="E24" s="42" t="s">
        <v>58</v>
      </c>
      <c r="F24" s="42" t="s">
        <v>58</v>
      </c>
      <c r="G24" s="42" t="s">
        <v>58</v>
      </c>
      <c r="H24" s="46">
        <v>0.7685406133743683</v>
      </c>
      <c r="I24" s="46">
        <v>0.94893351194162978</v>
      </c>
      <c r="J24" s="42" t="s">
        <v>60</v>
      </c>
      <c r="K24" s="46"/>
      <c r="L24" s="47"/>
      <c r="M24" s="45"/>
    </row>
    <row r="25" spans="1:13" x14ac:dyDescent="0.3">
      <c r="A25" s="40" t="s">
        <v>100</v>
      </c>
      <c r="B25" s="41" t="s">
        <v>101</v>
      </c>
      <c r="C25" s="42" t="s">
        <v>58</v>
      </c>
      <c r="D25" s="42" t="s">
        <v>66</v>
      </c>
      <c r="E25" s="42" t="s">
        <v>58</v>
      </c>
      <c r="F25" s="42" t="s">
        <v>58</v>
      </c>
      <c r="G25" s="42" t="s">
        <v>58</v>
      </c>
      <c r="H25" s="48">
        <v>0.65670110925375047</v>
      </c>
      <c r="I25" s="48">
        <v>0.99530569537922065</v>
      </c>
      <c r="J25" s="42" t="s">
        <v>60</v>
      </c>
      <c r="K25" s="43"/>
      <c r="L25" s="44"/>
      <c r="M25" s="45"/>
    </row>
    <row r="26" spans="1:13" x14ac:dyDescent="0.3">
      <c r="A26" s="49" t="s">
        <v>102</v>
      </c>
      <c r="B26" s="50" t="s">
        <v>103</v>
      </c>
      <c r="C26" s="37" t="s">
        <v>58</v>
      </c>
      <c r="D26" s="37" t="s">
        <v>66</v>
      </c>
      <c r="E26" s="37" t="s">
        <v>58</v>
      </c>
      <c r="F26" s="37" t="s">
        <v>58</v>
      </c>
      <c r="G26" s="37" t="s">
        <v>58</v>
      </c>
      <c r="H26" s="51">
        <v>0.57973548586400525</v>
      </c>
      <c r="I26" s="51">
        <v>1</v>
      </c>
      <c r="J26" s="37" t="s">
        <v>60</v>
      </c>
      <c r="K26" s="43"/>
      <c r="L26" s="44"/>
      <c r="M26" s="45"/>
    </row>
    <row r="27" spans="1:13" x14ac:dyDescent="0.3">
      <c r="K27" s="43"/>
    </row>
    <row r="28" spans="1:13" x14ac:dyDescent="0.3">
      <c r="K28" s="43"/>
    </row>
    <row r="29" spans="1:13" x14ac:dyDescent="0.3">
      <c r="A29" s="36" t="s">
        <v>104</v>
      </c>
    </row>
    <row r="30" spans="1:13" x14ac:dyDescent="0.3">
      <c r="A30" s="35" t="s">
        <v>105</v>
      </c>
    </row>
    <row r="31" spans="1:13" x14ac:dyDescent="0.3">
      <c r="A31" s="35" t="s">
        <v>106</v>
      </c>
    </row>
    <row r="32" spans="1:13" x14ac:dyDescent="0.3">
      <c r="A32" s="35" t="s">
        <v>107</v>
      </c>
    </row>
    <row r="33" spans="1:22" x14ac:dyDescent="0.3">
      <c r="A33" s="35" t="s">
        <v>108</v>
      </c>
    </row>
    <row r="34" spans="1:22" x14ac:dyDescent="0.3">
      <c r="A34" s="35" t="s">
        <v>109</v>
      </c>
    </row>
    <row r="35" spans="1:22" x14ac:dyDescent="0.3">
      <c r="A35" s="35" t="s">
        <v>110</v>
      </c>
    </row>
    <row r="36" spans="1:22" x14ac:dyDescent="0.3">
      <c r="A36" s="35" t="s">
        <v>111</v>
      </c>
    </row>
    <row r="37" spans="1:22" x14ac:dyDescent="0.3">
      <c r="A37" s="383"/>
      <c r="B37" s="383"/>
      <c r="C37" s="383"/>
      <c r="D37" s="383"/>
      <c r="E37" s="383"/>
      <c r="F37" s="383"/>
      <c r="G37" s="383"/>
      <c r="H37" s="383"/>
      <c r="I37" s="383"/>
      <c r="J37" s="383"/>
    </row>
    <row r="38" spans="1:22" x14ac:dyDescent="0.3">
      <c r="B38" s="52"/>
    </row>
    <row r="39" spans="1:22" x14ac:dyDescent="0.3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x14ac:dyDescent="0.3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x14ac:dyDescent="0.3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x14ac:dyDescent="0.3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x14ac:dyDescent="0.3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x14ac:dyDescent="0.3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x14ac:dyDescent="0.3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x14ac:dyDescent="0.3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x14ac:dyDescent="0.3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x14ac:dyDescent="0.3">
      <c r="A48" s="40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x14ac:dyDescent="0.3">
      <c r="A49" s="40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x14ac:dyDescent="0.3">
      <c r="A50" s="40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x14ac:dyDescent="0.3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x14ac:dyDescent="0.3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x14ac:dyDescent="0.3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x14ac:dyDescent="0.3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x14ac:dyDescent="0.3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x14ac:dyDescent="0.3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x14ac:dyDescent="0.3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x14ac:dyDescent="0.3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x14ac:dyDescent="0.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x14ac:dyDescent="0.3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x14ac:dyDescent="0.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x14ac:dyDescent="0.3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</sheetData>
  <mergeCells count="2">
    <mergeCell ref="A2:J2"/>
    <mergeCell ref="A37:J37"/>
  </mergeCells>
  <conditionalFormatting sqref="A48:A50">
    <cfRule type="expression" dxfId="21" priority="11">
      <formula>"(blank)"</formula>
    </cfRule>
    <cfRule type="expression" dxfId="20" priority="12">
      <formula>#REF!</formula>
    </cfRule>
  </conditionalFormatting>
  <conditionalFormatting sqref="A8:B26">
    <cfRule type="expression" dxfId="19" priority="19">
      <formula>"(blank)"</formula>
    </cfRule>
    <cfRule type="expression" dxfId="18" priority="20">
      <formula>#REF!</formula>
    </cfRule>
  </conditionalFormatting>
  <printOptions horizontalCentered="1"/>
  <pageMargins left="0.7" right="0.7" top="1.25" bottom="0.75" header="0.3" footer="0.3"/>
  <pageSetup scale="61" orientation="landscape" useFirstPageNumber="1" r:id="rId1"/>
  <headerFooter scaleWithDoc="0">
    <oddFooter>&amp;L&amp;"Times New Roman,Bold"&amp;12&amp;KFF0000Draft- Privileged and Confidential&amp;R&amp;"Times New Roman,Regular"&amp;12Exhibit AEB-4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P133"/>
  <sheetViews>
    <sheetView view="pageBreakPreview" topLeftCell="A5" zoomScaleNormal="90" zoomScaleSheetLayoutView="100" workbookViewId="0">
      <selection activeCell="C7" sqref="C7:C27"/>
    </sheetView>
  </sheetViews>
  <sheetFormatPr defaultColWidth="11.5546875" defaultRowHeight="13.2" x14ac:dyDescent="0.25"/>
  <cols>
    <col min="1" max="1" width="3.6640625" style="56" customWidth="1"/>
    <col min="2" max="2" width="42.5546875" style="56" customWidth="1"/>
    <col min="3" max="3" width="11.5546875" style="56" bestFit="1" customWidth="1"/>
    <col min="4" max="5" width="11.5546875" style="55" bestFit="1" customWidth="1"/>
    <col min="6" max="10" width="11.5546875" style="55" customWidth="1"/>
    <col min="11" max="11" width="11.5546875" style="55" bestFit="1" customWidth="1"/>
    <col min="12" max="12" width="11" style="55" customWidth="1"/>
    <col min="13" max="14" width="12" style="55" customWidth="1"/>
    <col min="15" max="16384" width="11.5546875" style="56"/>
  </cols>
  <sheetData>
    <row r="1" spans="2:16" x14ac:dyDescent="0.25">
      <c r="B1" s="53"/>
      <c r="C1" s="53"/>
      <c r="D1" s="54"/>
    </row>
    <row r="2" spans="2:16" x14ac:dyDescent="0.25">
      <c r="B2" s="384" t="s">
        <v>112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</row>
    <row r="4" spans="2:16" ht="13.8" thickBot="1" x14ac:dyDescent="0.3">
      <c r="D4" s="55" t="s">
        <v>38</v>
      </c>
      <c r="E4" s="55" t="s">
        <v>39</v>
      </c>
      <c r="F4" s="57" t="s">
        <v>40</v>
      </c>
      <c r="G4" s="57" t="s">
        <v>41</v>
      </c>
      <c r="H4" s="55" t="s">
        <v>42</v>
      </c>
      <c r="I4" s="55" t="s">
        <v>43</v>
      </c>
      <c r="J4" s="55" t="s">
        <v>44</v>
      </c>
      <c r="K4" s="55" t="s">
        <v>45</v>
      </c>
      <c r="L4" s="55" t="s">
        <v>113</v>
      </c>
      <c r="M4" s="55" t="s">
        <v>114</v>
      </c>
      <c r="N4" s="55" t="s">
        <v>115</v>
      </c>
    </row>
    <row r="5" spans="2:16" ht="42.9" customHeight="1" x14ac:dyDescent="0.25">
      <c r="B5" s="58" t="s">
        <v>46</v>
      </c>
      <c r="C5" s="59" t="s">
        <v>47</v>
      </c>
      <c r="D5" s="60" t="s">
        <v>116</v>
      </c>
      <c r="E5" s="60" t="s">
        <v>117</v>
      </c>
      <c r="F5" s="61" t="s">
        <v>118</v>
      </c>
      <c r="G5" s="61" t="s">
        <v>119</v>
      </c>
      <c r="H5" s="60" t="s">
        <v>120</v>
      </c>
      <c r="I5" s="60" t="s">
        <v>121</v>
      </c>
      <c r="J5" s="60" t="s">
        <v>122</v>
      </c>
      <c r="K5" s="60" t="s">
        <v>123</v>
      </c>
      <c r="L5" s="62" t="s">
        <v>124</v>
      </c>
      <c r="M5" s="61" t="s">
        <v>125</v>
      </c>
      <c r="N5" s="62" t="s">
        <v>126</v>
      </c>
    </row>
    <row r="6" spans="2:16" x14ac:dyDescent="0.25">
      <c r="B6" s="63"/>
      <c r="C6" s="63"/>
      <c r="F6" s="64"/>
      <c r="G6" s="64"/>
    </row>
    <row r="7" spans="2:16" x14ac:dyDescent="0.25">
      <c r="B7" s="63" t="str">
        <f>'AEB-4 Proxy Selection'!A6</f>
        <v>NiSource Inc.</v>
      </c>
      <c r="C7" s="65" t="s">
        <v>57</v>
      </c>
      <c r="D7" s="66">
        <v>1</v>
      </c>
      <c r="E7" s="66">
        <v>25.469369999999994</v>
      </c>
      <c r="F7" s="67">
        <f t="shared" ref="F7:F27" si="0">D7/E7</f>
        <v>3.9262847883555822E-2</v>
      </c>
      <c r="G7" s="67">
        <f>IFERROR(F7*(1+0.5*K7),"")</f>
        <v>4.0898799878703984E-2</v>
      </c>
      <c r="H7" s="32">
        <v>9.5000000000000001E-2</v>
      </c>
      <c r="I7" s="32">
        <v>8.3000000000000004E-2</v>
      </c>
      <c r="J7" s="32">
        <v>7.2000000000000008E-2</v>
      </c>
      <c r="K7" s="68">
        <f>AVERAGE(H7:J7)</f>
        <v>8.3333333333333329E-2</v>
      </c>
      <c r="L7" s="68">
        <f>$F7*(1+0.5*MIN($H7:$J7))+MIN($H7:$J7)</f>
        <v>0.11267631040736384</v>
      </c>
      <c r="M7" s="67">
        <f>G7+K7</f>
        <v>0.12423213321203731</v>
      </c>
      <c r="N7" s="30">
        <f t="shared" ref="N7:N27" si="1">$F7*(1+0.5*MAX($H7:$J7))+MAX($H7:$J7)</f>
        <v>0.13612783315802474</v>
      </c>
      <c r="P7" s="69"/>
    </row>
    <row r="8" spans="2:16" x14ac:dyDescent="0.25">
      <c r="B8" s="63" t="str">
        <f>'AEB-4 Proxy Selection'!A7</f>
        <v>ALLETE, Inc.</v>
      </c>
      <c r="C8" s="65" t="str">
        <f>'AEB-4 Proxy Selection'!B7</f>
        <v>ALE</v>
      </c>
      <c r="D8" s="66">
        <v>2.71</v>
      </c>
      <c r="E8" s="66">
        <v>54.18334333333334</v>
      </c>
      <c r="F8" s="67">
        <f t="shared" si="0"/>
        <v>5.0015370652346229E-2</v>
      </c>
      <c r="G8" s="67">
        <f t="shared" ref="G8:G27" si="2">IFERROR(F8*(1+0.5*K8),"")</f>
        <v>5.1865939366483038E-2</v>
      </c>
      <c r="H8" s="32">
        <v>0.06</v>
      </c>
      <c r="I8" s="32">
        <v>8.1000000000000003E-2</v>
      </c>
      <c r="J8" s="32">
        <v>8.1000000000000003E-2</v>
      </c>
      <c r="K8" s="68">
        <f t="shared" ref="K8:K27" si="3">AVERAGE(H8:J8)</f>
        <v>7.400000000000001E-2</v>
      </c>
      <c r="L8" s="68">
        <f t="shared" ref="L8:L27" si="4">$F8*(1+0.5*MIN($H8:$J8))+MIN($H8:$J8)</f>
        <v>0.11151583177191662</v>
      </c>
      <c r="M8" s="67">
        <f t="shared" ref="M8:M27" si="5">G8+K8</f>
        <v>0.12586593936648305</v>
      </c>
      <c r="N8" s="30">
        <f t="shared" si="1"/>
        <v>0.13304099316376625</v>
      </c>
      <c r="P8" s="69"/>
    </row>
    <row r="9" spans="2:16" x14ac:dyDescent="0.25">
      <c r="B9" s="63" t="str">
        <f>'AEB-4 Proxy Selection'!A8</f>
        <v>Alliant Energy Corporation</v>
      </c>
      <c r="C9" s="65" t="str">
        <f>'AEB-4 Proxy Selection'!B8</f>
        <v>LNT</v>
      </c>
      <c r="D9" s="66">
        <v>1.81</v>
      </c>
      <c r="E9" s="66">
        <v>49.316146666666675</v>
      </c>
      <c r="F9" s="67">
        <f t="shared" si="0"/>
        <v>3.6701975363849726E-2</v>
      </c>
      <c r="G9" s="67">
        <f t="shared" si="2"/>
        <v>3.7891731065227856E-2</v>
      </c>
      <c r="H9" s="32">
        <v>6.5000000000000002E-2</v>
      </c>
      <c r="I9" s="32">
        <v>6.6500000000000004E-2</v>
      </c>
      <c r="J9" s="32">
        <v>6.3E-2</v>
      </c>
      <c r="K9" s="68">
        <f t="shared" si="3"/>
        <v>6.483333333333334E-2</v>
      </c>
      <c r="L9" s="68">
        <f t="shared" si="4"/>
        <v>0.10085808758781099</v>
      </c>
      <c r="M9" s="67">
        <f t="shared" si="5"/>
        <v>0.10272506439856119</v>
      </c>
      <c r="N9" s="30">
        <f t="shared" si="1"/>
        <v>0.10442231604469773</v>
      </c>
      <c r="P9" s="69"/>
    </row>
    <row r="10" spans="2:16" x14ac:dyDescent="0.25">
      <c r="B10" s="63" t="str">
        <f>'AEB-4 Proxy Selection'!A9</f>
        <v>Ameren Corporation</v>
      </c>
      <c r="C10" s="65" t="str">
        <f>'AEB-4 Proxy Selection'!B9</f>
        <v>AEE</v>
      </c>
      <c r="D10" s="66">
        <v>2.52</v>
      </c>
      <c r="E10" s="66">
        <v>76.881666666666646</v>
      </c>
      <c r="F10" s="67">
        <f t="shared" si="0"/>
        <v>3.2777645299052666E-2</v>
      </c>
      <c r="G10" s="67">
        <f t="shared" si="2"/>
        <v>3.383199288950553E-2</v>
      </c>
      <c r="H10" s="32">
        <v>6.5000000000000002E-2</v>
      </c>
      <c r="I10" s="32">
        <v>6.2E-2</v>
      </c>
      <c r="J10" s="32">
        <v>6.6000000000000003E-2</v>
      </c>
      <c r="K10" s="68">
        <f t="shared" si="3"/>
        <v>6.433333333333334E-2</v>
      </c>
      <c r="L10" s="68">
        <f t="shared" si="4"/>
        <v>9.5793752303323293E-2</v>
      </c>
      <c r="M10" s="67">
        <f t="shared" si="5"/>
        <v>9.816532622283887E-2</v>
      </c>
      <c r="N10" s="30">
        <f t="shared" si="1"/>
        <v>9.9859307593921406E-2</v>
      </c>
      <c r="P10" s="69"/>
    </row>
    <row r="11" spans="2:16" x14ac:dyDescent="0.25">
      <c r="B11" s="63" t="str">
        <f>'AEB-4 Proxy Selection'!A10</f>
        <v>American Electric Power Company, Inc.</v>
      </c>
      <c r="C11" s="65" t="str">
        <f>'AEB-4 Proxy Selection'!B10</f>
        <v>AEP</v>
      </c>
      <c r="D11" s="66">
        <v>3.52</v>
      </c>
      <c r="E11" s="66">
        <v>76.645903333333322</v>
      </c>
      <c r="F11" s="67">
        <f t="shared" si="0"/>
        <v>4.592548129665204E-2</v>
      </c>
      <c r="G11" s="67">
        <f t="shared" si="2"/>
        <v>4.707361832906834E-2</v>
      </c>
      <c r="H11" s="32">
        <v>6.5000000000000002E-2</v>
      </c>
      <c r="I11" s="32">
        <v>3.7000000000000005E-2</v>
      </c>
      <c r="J11" s="32">
        <v>4.8000000000000001E-2</v>
      </c>
      <c r="K11" s="68">
        <f t="shared" si="3"/>
        <v>5.000000000000001E-2</v>
      </c>
      <c r="L11" s="68">
        <f t="shared" si="4"/>
        <v>8.3775102700640106E-2</v>
      </c>
      <c r="M11" s="67">
        <f t="shared" si="5"/>
        <v>9.7073618329068356E-2</v>
      </c>
      <c r="N11" s="30">
        <f t="shared" si="1"/>
        <v>0.11241805943879324</v>
      </c>
      <c r="P11" s="69"/>
    </row>
    <row r="12" spans="2:16" x14ac:dyDescent="0.25">
      <c r="B12" s="63" t="str">
        <f>'AEB-4 Proxy Selection'!A11</f>
        <v>Avista Corporation</v>
      </c>
      <c r="C12" s="65" t="str">
        <f>'AEB-4 Proxy Selection'!B11</f>
        <v>AVA</v>
      </c>
      <c r="D12" s="66">
        <v>1.84</v>
      </c>
      <c r="E12" s="66">
        <v>33.317270000000008</v>
      </c>
      <c r="F12" s="67">
        <f t="shared" si="0"/>
        <v>5.5226613705144499E-2</v>
      </c>
      <c r="G12" s="67">
        <f t="shared" si="2"/>
        <v>5.6865003245063786E-2</v>
      </c>
      <c r="H12" s="32">
        <v>0.06</v>
      </c>
      <c r="I12" s="32">
        <v>5.9000000000000004E-2</v>
      </c>
      <c r="J12" s="32">
        <v>5.9000000000000004E-2</v>
      </c>
      <c r="K12" s="68">
        <f t="shared" si="3"/>
        <v>5.9333333333333328E-2</v>
      </c>
      <c r="L12" s="68">
        <f t="shared" si="4"/>
        <v>0.11585579880944627</v>
      </c>
      <c r="M12" s="67">
        <f t="shared" si="5"/>
        <v>0.11619833657839712</v>
      </c>
      <c r="N12" s="30">
        <f t="shared" si="1"/>
        <v>0.11688341211629882</v>
      </c>
      <c r="P12" s="69"/>
    </row>
    <row r="13" spans="2:16" x14ac:dyDescent="0.25">
      <c r="B13" s="63" t="str">
        <f>'AEB-4 Proxy Selection'!A12</f>
        <v>Black Hills Corporation</v>
      </c>
      <c r="C13" s="65" t="str">
        <f>'AEB-4 Proxy Selection'!B12</f>
        <v>BKH</v>
      </c>
      <c r="D13" s="66">
        <v>2.5</v>
      </c>
      <c r="E13" s="66">
        <v>49.654013333333332</v>
      </c>
      <c r="F13" s="67">
        <f t="shared" si="0"/>
        <v>5.0348397484352395E-2</v>
      </c>
      <c r="G13" s="67">
        <f t="shared" si="2"/>
        <v>5.1002926651648968E-2</v>
      </c>
      <c r="H13" s="32">
        <v>0.03</v>
      </c>
      <c r="I13" s="32" t="s">
        <v>127</v>
      </c>
      <c r="J13" s="32">
        <v>2.2000000000000002E-2</v>
      </c>
      <c r="K13" s="68">
        <f t="shared" si="3"/>
        <v>2.6000000000000002E-2</v>
      </c>
      <c r="L13" s="68">
        <f t="shared" si="4"/>
        <v>7.2902229856680267E-2</v>
      </c>
      <c r="M13" s="67">
        <f t="shared" si="5"/>
        <v>7.700292665164897E-2</v>
      </c>
      <c r="N13" s="30">
        <f t="shared" si="1"/>
        <v>8.1103623446617673E-2</v>
      </c>
      <c r="P13" s="69"/>
    </row>
    <row r="14" spans="2:16" x14ac:dyDescent="0.25">
      <c r="B14" s="63" t="str">
        <f>'AEB-4 Proxy Selection'!A13</f>
        <v>CMS Energy Corporation</v>
      </c>
      <c r="C14" s="65" t="str">
        <f>'AEB-4 Proxy Selection'!B13</f>
        <v>CMS</v>
      </c>
      <c r="D14" s="66">
        <v>1.95</v>
      </c>
      <c r="E14" s="66">
        <v>55.456416666666655</v>
      </c>
      <c r="F14" s="67">
        <f t="shared" si="0"/>
        <v>3.5162747923669795E-2</v>
      </c>
      <c r="G14" s="67">
        <f t="shared" si="2"/>
        <v>3.6434467306909184E-2</v>
      </c>
      <c r="H14" s="32">
        <v>6.5000000000000002E-2</v>
      </c>
      <c r="I14" s="32">
        <v>7.6999999999999999E-2</v>
      </c>
      <c r="J14" s="32">
        <v>7.4999999999999997E-2</v>
      </c>
      <c r="K14" s="68">
        <f t="shared" si="3"/>
        <v>7.2333333333333347E-2</v>
      </c>
      <c r="L14" s="68">
        <f t="shared" si="4"/>
        <v>0.10130553723118907</v>
      </c>
      <c r="M14" s="67">
        <f t="shared" si="5"/>
        <v>0.10876780064024252</v>
      </c>
      <c r="N14" s="30">
        <f t="shared" si="1"/>
        <v>0.11351651371873109</v>
      </c>
      <c r="P14" s="69"/>
    </row>
    <row r="15" spans="2:16" x14ac:dyDescent="0.25">
      <c r="B15" s="63" t="str">
        <f>'AEB-4 Proxy Selection'!A14</f>
        <v>Duke Energy Corporation</v>
      </c>
      <c r="C15" s="65" t="str">
        <f>'AEB-4 Proxy Selection'!B14</f>
        <v>DUK</v>
      </c>
      <c r="D15" s="66">
        <v>4.0999999999999996</v>
      </c>
      <c r="E15" s="66">
        <v>88.520689999999988</v>
      </c>
      <c r="F15" s="67">
        <f t="shared" si="0"/>
        <v>4.6316855415383683E-2</v>
      </c>
      <c r="G15" s="67">
        <f t="shared" si="2"/>
        <v>4.7679342912186222E-2</v>
      </c>
      <c r="H15" s="32">
        <v>0.05</v>
      </c>
      <c r="I15" s="32">
        <v>6.5500000000000003E-2</v>
      </c>
      <c r="J15" s="32">
        <v>6.0999999999999999E-2</v>
      </c>
      <c r="K15" s="68">
        <f t="shared" si="3"/>
        <v>5.8833333333333328E-2</v>
      </c>
      <c r="L15" s="68">
        <f t="shared" si="4"/>
        <v>9.747477680076827E-2</v>
      </c>
      <c r="M15" s="67">
        <f t="shared" si="5"/>
        <v>0.10651267624551955</v>
      </c>
      <c r="N15" s="30">
        <f t="shared" si="1"/>
        <v>0.1133337324302375</v>
      </c>
      <c r="P15" s="69"/>
    </row>
    <row r="16" spans="2:16" x14ac:dyDescent="0.25">
      <c r="B16" s="63" t="str">
        <f>'AEB-4 Proxy Selection'!A15</f>
        <v>Entergy Corporation</v>
      </c>
      <c r="C16" s="65" t="str">
        <f>'AEB-4 Proxy Selection'!B15</f>
        <v>ETR</v>
      </c>
      <c r="D16" s="66">
        <v>4.5199999999999996</v>
      </c>
      <c r="E16" s="66">
        <v>96.530526666666688</v>
      </c>
      <c r="F16" s="67">
        <f t="shared" si="0"/>
        <v>4.6824565824738401E-2</v>
      </c>
      <c r="G16" s="67">
        <f t="shared" si="2"/>
        <v>4.8221498705176433E-2</v>
      </c>
      <c r="H16" s="32">
        <v>5.0000000000000001E-3</v>
      </c>
      <c r="I16" s="32">
        <v>0.11</v>
      </c>
      <c r="J16" s="32">
        <v>6.4000000000000001E-2</v>
      </c>
      <c r="K16" s="68">
        <f t="shared" si="3"/>
        <v>5.9666666666666666E-2</v>
      </c>
      <c r="L16" s="68">
        <f t="shared" si="4"/>
        <v>5.1941627239300243E-2</v>
      </c>
      <c r="M16" s="67">
        <f t="shared" si="5"/>
        <v>0.10788816537184309</v>
      </c>
      <c r="N16" s="30">
        <f t="shared" si="1"/>
        <v>0.159399916945099</v>
      </c>
      <c r="P16" s="69"/>
    </row>
    <row r="17" spans="2:16" x14ac:dyDescent="0.25">
      <c r="B17" s="63" t="str">
        <f>'AEB-4 Proxy Selection'!A16</f>
        <v>Evergy, Inc.</v>
      </c>
      <c r="C17" s="65" t="str">
        <f>'AEB-4 Proxy Selection'!B16</f>
        <v>EVRG</v>
      </c>
      <c r="D17" s="66">
        <v>2.57</v>
      </c>
      <c r="E17" s="66">
        <v>49.33224666666667</v>
      </c>
      <c r="F17" s="67">
        <f t="shared" si="0"/>
        <v>5.2095742108914017E-2</v>
      </c>
      <c r="G17" s="67">
        <f t="shared" si="2"/>
        <v>5.3337357295843137E-2</v>
      </c>
      <c r="H17" s="32">
        <v>7.4999999999999997E-2</v>
      </c>
      <c r="I17" s="32">
        <v>2.5000000000000001E-2</v>
      </c>
      <c r="J17" s="32">
        <v>4.2999999999999997E-2</v>
      </c>
      <c r="K17" s="68">
        <f t="shared" si="3"/>
        <v>4.766666666666667E-2</v>
      </c>
      <c r="L17" s="68">
        <f t="shared" si="4"/>
        <v>7.7746938885275452E-2</v>
      </c>
      <c r="M17" s="67">
        <f t="shared" si="5"/>
        <v>0.10100402396250981</v>
      </c>
      <c r="N17" s="30">
        <f t="shared" si="1"/>
        <v>0.12904933243799829</v>
      </c>
      <c r="P17" s="69"/>
    </row>
    <row r="18" spans="2:16" x14ac:dyDescent="0.25">
      <c r="B18" s="63" t="str">
        <f>'AEB-4 Proxy Selection'!A17</f>
        <v>IDACORP, Inc.</v>
      </c>
      <c r="C18" s="65" t="str">
        <f>'AEB-4 Proxy Selection'!B17</f>
        <v>IDA</v>
      </c>
      <c r="D18" s="66">
        <v>3.32</v>
      </c>
      <c r="E18" s="66">
        <v>96.121683333333308</v>
      </c>
      <c r="F18" s="67">
        <f t="shared" si="0"/>
        <v>3.4539553250298546E-2</v>
      </c>
      <c r="G18" s="67">
        <f t="shared" si="2"/>
        <v>3.5218831130887751E-2</v>
      </c>
      <c r="H18" s="32">
        <v>0.04</v>
      </c>
      <c r="I18" s="32">
        <v>3.7000000000000005E-2</v>
      </c>
      <c r="J18" s="32">
        <v>4.0999999999999995E-2</v>
      </c>
      <c r="K18" s="68">
        <f t="shared" si="3"/>
        <v>3.9333333333333338E-2</v>
      </c>
      <c r="L18" s="68">
        <f t="shared" si="4"/>
        <v>7.2178534985429074E-2</v>
      </c>
      <c r="M18" s="67">
        <f t="shared" si="5"/>
        <v>7.4552164464221082E-2</v>
      </c>
      <c r="N18" s="30">
        <f t="shared" si="1"/>
        <v>7.6247614091929664E-2</v>
      </c>
      <c r="P18" s="69"/>
    </row>
    <row r="19" spans="2:16" x14ac:dyDescent="0.25">
      <c r="B19" s="63" t="str">
        <f>'AEB-4 Proxy Selection'!A18</f>
        <v>MGE Energy, Inc.</v>
      </c>
      <c r="C19" s="65" t="str">
        <f>'AEB-4 Proxy Selection'!B18</f>
        <v>MGEE</v>
      </c>
      <c r="D19" s="66">
        <v>1.71</v>
      </c>
      <c r="E19" s="66">
        <v>72.338343333333313</v>
      </c>
      <c r="F19" s="67">
        <f t="shared" si="0"/>
        <v>2.3638915700907911E-2</v>
      </c>
      <c r="G19" s="67">
        <f t="shared" si="2"/>
        <v>2.431656461766727E-2</v>
      </c>
      <c r="H19" s="32">
        <v>6.5000000000000002E-2</v>
      </c>
      <c r="I19" s="32">
        <v>5.4000000000000006E-2</v>
      </c>
      <c r="J19" s="32">
        <v>5.2999999999999999E-2</v>
      </c>
      <c r="K19" s="68">
        <f t="shared" si="3"/>
        <v>5.733333333333334E-2</v>
      </c>
      <c r="L19" s="68">
        <f t="shared" si="4"/>
        <v>7.7265346966981965E-2</v>
      </c>
      <c r="M19" s="67">
        <f t="shared" si="5"/>
        <v>8.1649897951000611E-2</v>
      </c>
      <c r="N19" s="30">
        <f t="shared" si="1"/>
        <v>8.9407180461187424E-2</v>
      </c>
      <c r="P19" s="69"/>
    </row>
    <row r="20" spans="2:16" x14ac:dyDescent="0.25">
      <c r="B20" s="63" t="str">
        <f>'AEB-4 Proxy Selection'!A19</f>
        <v>NextEra Energy, Inc.</v>
      </c>
      <c r="C20" s="65" t="str">
        <f>'AEB-4 Proxy Selection'!B19</f>
        <v>NEE</v>
      </c>
      <c r="D20" s="66">
        <v>1.87</v>
      </c>
      <c r="E20" s="66">
        <v>56.478766666666658</v>
      </c>
      <c r="F20" s="67">
        <f t="shared" si="0"/>
        <v>3.3109788162276922E-2</v>
      </c>
      <c r="G20" s="67">
        <f t="shared" si="2"/>
        <v>3.4536268202268357E-2</v>
      </c>
      <c r="H20" s="32">
        <v>9.5000000000000001E-2</v>
      </c>
      <c r="I20" s="32">
        <v>8.1500000000000003E-2</v>
      </c>
      <c r="J20" s="32">
        <v>8.199999999999999E-2</v>
      </c>
      <c r="K20" s="68">
        <f t="shared" si="3"/>
        <v>8.6166666666666655E-2</v>
      </c>
      <c r="L20" s="68">
        <f t="shared" si="4"/>
        <v>0.1159590120298897</v>
      </c>
      <c r="M20" s="67">
        <f t="shared" si="5"/>
        <v>0.12070293486893502</v>
      </c>
      <c r="N20" s="30">
        <f t="shared" si="1"/>
        <v>0.12968250309998508</v>
      </c>
      <c r="P20" s="69"/>
    </row>
    <row r="21" spans="2:16" x14ac:dyDescent="0.25">
      <c r="B21" s="63" t="str">
        <f>'AEB-4 Proxy Selection'!A20</f>
        <v>NorthWestern Corporation</v>
      </c>
      <c r="C21" s="65" t="str">
        <f>'AEB-4 Proxy Selection'!B20</f>
        <v>NWE</v>
      </c>
      <c r="D21" s="66">
        <v>2.56</v>
      </c>
      <c r="E21" s="66">
        <v>49.458333333333329</v>
      </c>
      <c r="F21" s="67">
        <f t="shared" si="0"/>
        <v>5.176074136478518E-2</v>
      </c>
      <c r="G21" s="67">
        <f t="shared" si="2"/>
        <v>5.286324515585511E-2</v>
      </c>
      <c r="H21" s="32">
        <v>3.5000000000000003E-2</v>
      </c>
      <c r="I21" s="32">
        <v>4.0800000000000003E-2</v>
      </c>
      <c r="J21" s="32">
        <v>5.2000000000000005E-2</v>
      </c>
      <c r="K21" s="68">
        <f t="shared" si="3"/>
        <v>4.2600000000000006E-2</v>
      </c>
      <c r="L21" s="68">
        <f t="shared" si="4"/>
        <v>8.7666554338668934E-2</v>
      </c>
      <c r="M21" s="67">
        <f t="shared" si="5"/>
        <v>9.5463245155855109E-2</v>
      </c>
      <c r="N21" s="30">
        <f t="shared" si="1"/>
        <v>0.1051065206402696</v>
      </c>
      <c r="P21" s="69"/>
    </row>
    <row r="22" spans="2:16" x14ac:dyDescent="0.25">
      <c r="B22" s="63" t="str">
        <f>'AEB-4 Proxy Selection'!A21</f>
        <v>OGE Energy Corporation</v>
      </c>
      <c r="C22" s="65" t="str">
        <f>'AEB-4 Proxy Selection'!B21</f>
        <v>OGE</v>
      </c>
      <c r="D22" s="66">
        <v>1.6728000000000001</v>
      </c>
      <c r="E22" s="66">
        <v>34.426000000000009</v>
      </c>
      <c r="F22" s="67">
        <f t="shared" si="0"/>
        <v>4.8591181084064357E-2</v>
      </c>
      <c r="G22" s="67">
        <f t="shared" si="2"/>
        <v>4.9830256201708001E-2</v>
      </c>
      <c r="H22" s="32">
        <v>6.5000000000000002E-2</v>
      </c>
      <c r="I22" s="32" t="s">
        <v>127</v>
      </c>
      <c r="J22" s="32">
        <v>3.7000000000000005E-2</v>
      </c>
      <c r="K22" s="68">
        <f t="shared" si="3"/>
        <v>5.1000000000000004E-2</v>
      </c>
      <c r="L22" s="68">
        <f t="shared" si="4"/>
        <v>8.6490117934119551E-2</v>
      </c>
      <c r="M22" s="67">
        <f t="shared" si="5"/>
        <v>0.100830256201708</v>
      </c>
      <c r="N22" s="30">
        <f t="shared" si="1"/>
        <v>0.11517039446929644</v>
      </c>
      <c r="P22" s="69"/>
    </row>
    <row r="23" spans="2:16" x14ac:dyDescent="0.25">
      <c r="B23" s="63" t="str">
        <f>'AEB-4 Proxy Selection'!A22</f>
        <v>Pinnacle West Capital Corporation</v>
      </c>
      <c r="C23" s="65" t="str">
        <f>'AEB-4 Proxy Selection'!B22</f>
        <v>PNW</v>
      </c>
      <c r="D23" s="66">
        <v>3.52</v>
      </c>
      <c r="E23" s="66">
        <v>72.982436666666658</v>
      </c>
      <c r="F23" s="67">
        <f t="shared" si="0"/>
        <v>4.823078210004042E-2</v>
      </c>
      <c r="G23" s="67">
        <f t="shared" si="2"/>
        <v>4.9380282406758055E-2</v>
      </c>
      <c r="H23" s="32">
        <v>2.5000000000000001E-2</v>
      </c>
      <c r="I23" s="32">
        <v>5.9000000000000004E-2</v>
      </c>
      <c r="J23" s="32">
        <v>5.9000000000000004E-2</v>
      </c>
      <c r="K23" s="68">
        <f t="shared" si="3"/>
        <v>4.766666666666667E-2</v>
      </c>
      <c r="L23" s="68">
        <f t="shared" si="4"/>
        <v>7.3833666876290921E-2</v>
      </c>
      <c r="M23" s="67">
        <f t="shared" si="5"/>
        <v>9.7046949073424732E-2</v>
      </c>
      <c r="N23" s="30">
        <f t="shared" si="1"/>
        <v>0.10865359017199162</v>
      </c>
      <c r="P23" s="69"/>
    </row>
    <row r="24" spans="2:16" x14ac:dyDescent="0.25">
      <c r="B24" s="63" t="str">
        <f>'AEB-4 Proxy Selection'!A23</f>
        <v>Portland General Electric Company</v>
      </c>
      <c r="C24" s="65" t="str">
        <f>'AEB-4 Proxy Selection'!B23</f>
        <v>POR</v>
      </c>
      <c r="D24" s="66">
        <v>1.9</v>
      </c>
      <c r="E24" s="66">
        <v>40.734666666666655</v>
      </c>
      <c r="F24" s="67">
        <f t="shared" si="0"/>
        <v>4.6643317731007182E-2</v>
      </c>
      <c r="G24" s="67">
        <f t="shared" si="2"/>
        <v>4.7856043992013368E-2</v>
      </c>
      <c r="H24" s="32">
        <v>0.05</v>
      </c>
      <c r="I24" s="32">
        <v>4.5999999999999999E-2</v>
      </c>
      <c r="J24" s="32">
        <v>0.06</v>
      </c>
      <c r="K24" s="68">
        <f t="shared" si="3"/>
        <v>5.1999999999999998E-2</v>
      </c>
      <c r="L24" s="68">
        <f t="shared" si="4"/>
        <v>9.3716114038820339E-2</v>
      </c>
      <c r="M24" s="67">
        <f t="shared" si="5"/>
        <v>9.9856043992013366E-2</v>
      </c>
      <c r="N24" s="30">
        <f t="shared" si="1"/>
        <v>0.1080426172629374</v>
      </c>
      <c r="P24" s="69"/>
    </row>
    <row r="25" spans="2:16" x14ac:dyDescent="0.25">
      <c r="B25" s="63" t="str">
        <f>'AEB-4 Proxy Selection'!A24</f>
        <v>Southern Company</v>
      </c>
      <c r="C25" s="65" t="str">
        <f>'AEB-4 Proxy Selection'!B24</f>
        <v>SO</v>
      </c>
      <c r="D25" s="66">
        <v>2.8</v>
      </c>
      <c r="E25" s="66">
        <v>68.049253333333326</v>
      </c>
      <c r="F25" s="67">
        <f t="shared" si="0"/>
        <v>4.1146667492212505E-2</v>
      </c>
      <c r="G25" s="67">
        <f t="shared" si="2"/>
        <v>4.2353636405317412E-2</v>
      </c>
      <c r="H25" s="32">
        <v>6.5000000000000002E-2</v>
      </c>
      <c r="I25" s="32">
        <v>7.0999999999999994E-2</v>
      </c>
      <c r="J25" s="32">
        <v>0.04</v>
      </c>
      <c r="K25" s="68">
        <f t="shared" si="3"/>
        <v>5.8666666666666673E-2</v>
      </c>
      <c r="L25" s="68">
        <f t="shared" si="4"/>
        <v>8.1969600842056761E-2</v>
      </c>
      <c r="M25" s="67">
        <f t="shared" si="5"/>
        <v>0.10102030307198409</v>
      </c>
      <c r="N25" s="30">
        <f t="shared" si="1"/>
        <v>0.11360737418818605</v>
      </c>
      <c r="P25" s="69"/>
    </row>
    <row r="26" spans="2:16" x14ac:dyDescent="0.25">
      <c r="B26" s="63" t="str">
        <f>'AEB-4 Proxy Selection'!A25</f>
        <v>Wisconsin Energy Corporation</v>
      </c>
      <c r="C26" s="65" t="str">
        <f>'AEB-4 Proxy Selection'!B25</f>
        <v>WEC</v>
      </c>
      <c r="D26" s="66">
        <v>3.12</v>
      </c>
      <c r="E26" s="66">
        <v>81.409329999999983</v>
      </c>
      <c r="F26" s="67">
        <f t="shared" si="0"/>
        <v>3.8324845567455239E-2</v>
      </c>
      <c r="G26" s="67">
        <f t="shared" si="2"/>
        <v>3.9455428511695173E-2</v>
      </c>
      <c r="H26" s="32">
        <v>0.06</v>
      </c>
      <c r="I26" s="32">
        <v>5.7999999999999996E-2</v>
      </c>
      <c r="J26" s="32">
        <v>5.9000000000000004E-2</v>
      </c>
      <c r="K26" s="68">
        <f t="shared" si="3"/>
        <v>5.8999999999999997E-2</v>
      </c>
      <c r="L26" s="68">
        <f t="shared" si="4"/>
        <v>9.7436266088911427E-2</v>
      </c>
      <c r="M26" s="67">
        <f t="shared" si="5"/>
        <v>9.845542851169517E-2</v>
      </c>
      <c r="N26" s="30">
        <f t="shared" si="1"/>
        <v>9.9474590934478885E-2</v>
      </c>
      <c r="P26" s="69"/>
    </row>
    <row r="27" spans="2:16" x14ac:dyDescent="0.25">
      <c r="B27" s="63" t="str">
        <f>'AEB-4 Proxy Selection'!A26</f>
        <v>Xcel Energy Inc.</v>
      </c>
      <c r="C27" s="65" t="str">
        <f>'AEB-4 Proxy Selection'!B26</f>
        <v>XEL</v>
      </c>
      <c r="D27" s="66">
        <v>2.08</v>
      </c>
      <c r="E27" s="66">
        <v>59.768666666666654</v>
      </c>
      <c r="F27" s="67">
        <f t="shared" si="0"/>
        <v>3.4800843251201863E-2</v>
      </c>
      <c r="G27" s="67">
        <f t="shared" si="2"/>
        <v>3.5897069813614728E-2</v>
      </c>
      <c r="H27" s="32">
        <v>0.06</v>
      </c>
      <c r="I27" s="32">
        <v>6.8000000000000005E-2</v>
      </c>
      <c r="J27" s="32">
        <v>6.0999999999999999E-2</v>
      </c>
      <c r="K27" s="68">
        <f t="shared" si="3"/>
        <v>6.3E-2</v>
      </c>
      <c r="L27" s="68">
        <f t="shared" si="4"/>
        <v>9.5844868548737916E-2</v>
      </c>
      <c r="M27" s="67">
        <f t="shared" si="5"/>
        <v>9.8897069813614735E-2</v>
      </c>
      <c r="N27" s="30">
        <f t="shared" si="1"/>
        <v>0.10398407192174274</v>
      </c>
      <c r="P27" s="69"/>
    </row>
    <row r="28" spans="2:16" x14ac:dyDescent="0.25">
      <c r="B28" s="63"/>
      <c r="C28" s="65"/>
      <c r="D28" s="70"/>
      <c r="E28" s="70"/>
      <c r="F28" s="70"/>
      <c r="G28" s="70"/>
      <c r="H28" s="34"/>
      <c r="I28" s="34"/>
      <c r="J28" s="34"/>
      <c r="K28" s="71"/>
      <c r="L28" s="72"/>
      <c r="M28" s="72"/>
      <c r="N28" s="72"/>
    </row>
    <row r="29" spans="2:16" x14ac:dyDescent="0.25">
      <c r="B29" s="73" t="s">
        <v>5</v>
      </c>
      <c r="C29" s="74"/>
      <c r="D29" s="75"/>
      <c r="E29" s="75"/>
      <c r="F29" s="76">
        <f t="shared" ref="F29:N29" si="6">AVERAGE(F7:F27)</f>
        <v>4.2449756126757589E-2</v>
      </c>
      <c r="G29" s="76">
        <f t="shared" si="6"/>
        <v>4.3657633527790562E-2</v>
      </c>
      <c r="H29" s="76">
        <f t="shared" si="6"/>
        <v>5.6904761904761916E-2</v>
      </c>
      <c r="I29" s="76">
        <f t="shared" si="6"/>
        <v>6.2173684210526339E-2</v>
      </c>
      <c r="J29" s="76">
        <f t="shared" si="6"/>
        <v>5.7047619047619055E-2</v>
      </c>
      <c r="K29" s="76">
        <f t="shared" si="6"/>
        <v>5.7957142857142853E-2</v>
      </c>
      <c r="L29" s="76">
        <f t="shared" si="6"/>
        <v>9.0676479821124811E-2</v>
      </c>
      <c r="M29" s="76">
        <f t="shared" si="6"/>
        <v>0.10161477638493341</v>
      </c>
      <c r="N29" s="76">
        <f t="shared" si="6"/>
        <v>0.11183483322553289</v>
      </c>
    </row>
    <row r="30" spans="2:16" x14ac:dyDescent="0.25">
      <c r="B30" s="63" t="s">
        <v>14</v>
      </c>
      <c r="F30" s="77">
        <f t="shared" ref="F30:N30" si="7">MEDIAN(F7:F27)</f>
        <v>4.592548129665204E-2</v>
      </c>
      <c r="G30" s="77">
        <f t="shared" si="7"/>
        <v>4.707361832906834E-2</v>
      </c>
      <c r="H30" s="77">
        <f t="shared" si="7"/>
        <v>0.06</v>
      </c>
      <c r="I30" s="77">
        <f t="shared" si="7"/>
        <v>6.2E-2</v>
      </c>
      <c r="J30" s="77">
        <f t="shared" si="7"/>
        <v>5.9000000000000004E-2</v>
      </c>
      <c r="K30" s="77">
        <f t="shared" si="7"/>
        <v>5.8833333333333328E-2</v>
      </c>
      <c r="L30" s="77">
        <f t="shared" si="7"/>
        <v>9.3716114038820339E-2</v>
      </c>
      <c r="M30" s="77">
        <f t="shared" si="7"/>
        <v>0.100830256201708</v>
      </c>
      <c r="N30" s="77">
        <f t="shared" si="7"/>
        <v>0.11241805943879324</v>
      </c>
    </row>
    <row r="32" spans="2:16" x14ac:dyDescent="0.25">
      <c r="B32" s="78" t="s">
        <v>104</v>
      </c>
    </row>
    <row r="33" spans="2:14" x14ac:dyDescent="0.25">
      <c r="B33" s="79" t="s">
        <v>105</v>
      </c>
    </row>
    <row r="34" spans="2:14" x14ac:dyDescent="0.25">
      <c r="B34" s="79" t="s">
        <v>128</v>
      </c>
    </row>
    <row r="35" spans="2:14" x14ac:dyDescent="0.25">
      <c r="B35" s="64" t="s">
        <v>129</v>
      </c>
      <c r="L35" s="80"/>
    </row>
    <row r="36" spans="2:14" x14ac:dyDescent="0.25">
      <c r="B36" s="64" t="s">
        <v>130</v>
      </c>
      <c r="L36" s="80"/>
    </row>
    <row r="37" spans="2:14" x14ac:dyDescent="0.25">
      <c r="B37" s="64" t="s">
        <v>131</v>
      </c>
    </row>
    <row r="38" spans="2:14" x14ac:dyDescent="0.25">
      <c r="B38" s="64" t="s">
        <v>132</v>
      </c>
    </row>
    <row r="39" spans="2:14" x14ac:dyDescent="0.25">
      <c r="B39" s="64" t="s">
        <v>133</v>
      </c>
    </row>
    <row r="40" spans="2:14" x14ac:dyDescent="0.25">
      <c r="B40" s="1" t="s">
        <v>134</v>
      </c>
    </row>
    <row r="41" spans="2:14" x14ac:dyDescent="0.25">
      <c r="B41" s="1" t="s">
        <v>135</v>
      </c>
    </row>
    <row r="42" spans="2:14" x14ac:dyDescent="0.25">
      <c r="B42" s="81" t="s">
        <v>136</v>
      </c>
    </row>
    <row r="43" spans="2:14" x14ac:dyDescent="0.25">
      <c r="B43" s="1" t="s">
        <v>137</v>
      </c>
    </row>
    <row r="44" spans="2:14" x14ac:dyDescent="0.25">
      <c r="B44" s="79"/>
    </row>
    <row r="45" spans="2:14" x14ac:dyDescent="0.25">
      <c r="B45" s="79"/>
    </row>
    <row r="46" spans="2:14" x14ac:dyDescent="0.25">
      <c r="B46" s="384" t="s">
        <v>138</v>
      </c>
      <c r="C46" s="384"/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</row>
    <row r="48" spans="2:14" ht="13.8" thickBot="1" x14ac:dyDescent="0.3">
      <c r="D48" s="55" t="s">
        <v>38</v>
      </c>
      <c r="E48" s="55" t="s">
        <v>39</v>
      </c>
      <c r="F48" s="57" t="s">
        <v>40</v>
      </c>
      <c r="G48" s="57" t="s">
        <v>41</v>
      </c>
      <c r="H48" s="55" t="s">
        <v>42</v>
      </c>
      <c r="I48" s="55" t="s">
        <v>43</v>
      </c>
      <c r="J48" s="55" t="s">
        <v>44</v>
      </c>
      <c r="K48" s="55" t="s">
        <v>45</v>
      </c>
      <c r="L48" s="55" t="s">
        <v>113</v>
      </c>
      <c r="M48" s="55" t="s">
        <v>114</v>
      </c>
      <c r="N48" s="55" t="s">
        <v>115</v>
      </c>
    </row>
    <row r="49" spans="2:16" ht="42.9" customHeight="1" x14ac:dyDescent="0.25">
      <c r="B49" s="58" t="s">
        <v>46</v>
      </c>
      <c r="C49" s="59" t="s">
        <v>47</v>
      </c>
      <c r="D49" s="60" t="s">
        <v>116</v>
      </c>
      <c r="E49" s="60" t="s">
        <v>117</v>
      </c>
      <c r="F49" s="61" t="s">
        <v>118</v>
      </c>
      <c r="G49" s="61" t="s">
        <v>119</v>
      </c>
      <c r="H49" s="60" t="s">
        <v>120</v>
      </c>
      <c r="I49" s="60" t="s">
        <v>121</v>
      </c>
      <c r="J49" s="60" t="s">
        <v>122</v>
      </c>
      <c r="K49" s="60" t="s">
        <v>123</v>
      </c>
      <c r="L49" s="62" t="s">
        <v>124</v>
      </c>
      <c r="M49" s="61" t="s">
        <v>125</v>
      </c>
      <c r="N49" s="62" t="s">
        <v>126</v>
      </c>
    </row>
    <row r="50" spans="2:16" x14ac:dyDescent="0.25">
      <c r="B50" s="63"/>
      <c r="C50" s="63"/>
    </row>
    <row r="51" spans="2:16" x14ac:dyDescent="0.25">
      <c r="B51" s="63" t="str">
        <f>B7</f>
        <v>NiSource Inc.</v>
      </c>
      <c r="C51" s="65" t="str">
        <f>C7</f>
        <v>NI</v>
      </c>
      <c r="D51" s="66">
        <f>D7</f>
        <v>1</v>
      </c>
      <c r="E51" s="66">
        <v>25.907984444444445</v>
      </c>
      <c r="F51" s="67">
        <f>D51/E51</f>
        <v>3.8598139586826646E-2</v>
      </c>
      <c r="G51" s="67">
        <f>IFERROR(F51*(1+0.5*K51),"")</f>
        <v>4.0206395402944427E-2</v>
      </c>
      <c r="H51" s="32">
        <f>H7</f>
        <v>9.5000000000000001E-2</v>
      </c>
      <c r="I51" s="32">
        <f>I7</f>
        <v>8.3000000000000004E-2</v>
      </c>
      <c r="J51" s="32">
        <f>J7</f>
        <v>7.2000000000000008E-2</v>
      </c>
      <c r="K51" s="68">
        <f>AVERAGE(H51:J51)</f>
        <v>8.3333333333333329E-2</v>
      </c>
      <c r="L51" s="82">
        <f>$F51*(1+0.5*MIN($H51:$J51))+MIN($H51:$J51)</f>
        <v>0.11198767261195242</v>
      </c>
      <c r="M51" s="67">
        <f t="shared" ref="M51" si="8">G51+K51</f>
        <v>0.12353972873627775</v>
      </c>
      <c r="N51" s="30">
        <f>$F51*(1+0.5*MAX($H51:$J51))+MAX($H51:$J51)</f>
        <v>0.13543155121720091</v>
      </c>
      <c r="P51" s="69"/>
    </row>
    <row r="52" spans="2:16" x14ac:dyDescent="0.25">
      <c r="B52" s="63" t="str">
        <f t="shared" ref="B52:D52" si="9">B8</f>
        <v>ALLETE, Inc.</v>
      </c>
      <c r="C52" s="65" t="str">
        <f t="shared" si="9"/>
        <v>ALE</v>
      </c>
      <c r="D52" s="66">
        <f t="shared" si="9"/>
        <v>2.71</v>
      </c>
      <c r="E52" s="66">
        <v>54.272352222222203</v>
      </c>
      <c r="F52" s="67">
        <f t="shared" ref="F52:F71" si="10">D52/E52</f>
        <v>4.9933343388244948E-2</v>
      </c>
      <c r="G52" s="67">
        <f t="shared" ref="G52:G65" si="11">IFERROR(F52*(1+0.5*K52),"")</f>
        <v>5.1780877093610005E-2</v>
      </c>
      <c r="H52" s="32">
        <f t="shared" ref="H52:J52" si="12">H8</f>
        <v>0.06</v>
      </c>
      <c r="I52" s="32">
        <f t="shared" si="12"/>
        <v>8.1000000000000003E-2</v>
      </c>
      <c r="J52" s="32">
        <f t="shared" si="12"/>
        <v>8.1000000000000003E-2</v>
      </c>
      <c r="K52" s="68">
        <f t="shared" ref="K52:K65" si="13">AVERAGE(H52:J52)</f>
        <v>7.400000000000001E-2</v>
      </c>
      <c r="L52" s="82">
        <f t="shared" ref="L52:L71" si="14">$F52*(1+0.5*MIN($H52:$J52))+MIN($H52:$J52)</f>
        <v>0.1114313436898923</v>
      </c>
      <c r="M52" s="67">
        <f t="shared" ref="M52:M66" si="15">G52+K52</f>
        <v>0.12578087709361002</v>
      </c>
      <c r="N52" s="30">
        <f t="shared" ref="N52:N71" si="16">$F52*(1+0.5*MAX($H52:$J52))+MAX($H52:$J52)</f>
        <v>0.13295564379546887</v>
      </c>
      <c r="P52" s="69"/>
    </row>
    <row r="53" spans="2:16" x14ac:dyDescent="0.25">
      <c r="B53" s="63" t="str">
        <f t="shared" ref="B53:D53" si="17">B9</f>
        <v>Alliant Energy Corporation</v>
      </c>
      <c r="C53" s="65" t="str">
        <f t="shared" si="17"/>
        <v>LNT</v>
      </c>
      <c r="D53" s="66">
        <f t="shared" si="17"/>
        <v>1.81</v>
      </c>
      <c r="E53" s="66">
        <v>49.858270000000005</v>
      </c>
      <c r="F53" s="67">
        <f t="shared" si="10"/>
        <v>3.6302904212280128E-2</v>
      </c>
      <c r="G53" s="67">
        <f t="shared" si="11"/>
        <v>3.7479723357161543E-2</v>
      </c>
      <c r="H53" s="32">
        <f t="shared" ref="H53:J53" si="18">H9</f>
        <v>6.5000000000000002E-2</v>
      </c>
      <c r="I53" s="32">
        <f t="shared" si="18"/>
        <v>6.6500000000000004E-2</v>
      </c>
      <c r="J53" s="32">
        <f t="shared" si="18"/>
        <v>6.3E-2</v>
      </c>
      <c r="K53" s="68">
        <f t="shared" si="13"/>
        <v>6.483333333333334E-2</v>
      </c>
      <c r="L53" s="82">
        <f t="shared" si="14"/>
        <v>0.10044644569496695</v>
      </c>
      <c r="M53" s="67">
        <f t="shared" si="15"/>
        <v>0.10231305669049488</v>
      </c>
      <c r="N53" s="30">
        <f t="shared" si="16"/>
        <v>0.10400997577733845</v>
      </c>
      <c r="P53" s="69"/>
    </row>
    <row r="54" spans="2:16" x14ac:dyDescent="0.25">
      <c r="B54" s="63" t="str">
        <f t="shared" ref="B54:D54" si="19">B10</f>
        <v>Ameren Corporation</v>
      </c>
      <c r="C54" s="65" t="str">
        <f t="shared" si="19"/>
        <v>AEE</v>
      </c>
      <c r="D54" s="66">
        <f t="shared" si="19"/>
        <v>2.52</v>
      </c>
      <c r="E54" s="66">
        <v>78.294913333333326</v>
      </c>
      <c r="F54" s="67">
        <f t="shared" si="10"/>
        <v>3.218599897124011E-2</v>
      </c>
      <c r="G54" s="67">
        <f t="shared" si="11"/>
        <v>3.3221315271481665E-2</v>
      </c>
      <c r="H54" s="32">
        <f t="shared" ref="H54:J54" si="20">H10</f>
        <v>6.5000000000000002E-2</v>
      </c>
      <c r="I54" s="32">
        <f t="shared" si="20"/>
        <v>6.2E-2</v>
      </c>
      <c r="J54" s="32">
        <f t="shared" si="20"/>
        <v>6.6000000000000003E-2</v>
      </c>
      <c r="K54" s="68">
        <f t="shared" si="13"/>
        <v>6.433333333333334E-2</v>
      </c>
      <c r="L54" s="82">
        <f t="shared" si="14"/>
        <v>9.5183764939348547E-2</v>
      </c>
      <c r="M54" s="67">
        <f t="shared" si="15"/>
        <v>9.7554648604814997E-2</v>
      </c>
      <c r="N54" s="30">
        <f t="shared" si="16"/>
        <v>9.9248136937291037E-2</v>
      </c>
      <c r="P54" s="69"/>
    </row>
    <row r="55" spans="2:16" x14ac:dyDescent="0.25">
      <c r="B55" s="63" t="str">
        <f t="shared" ref="B55:D55" si="21">B11</f>
        <v>American Electric Power Company, Inc.</v>
      </c>
      <c r="C55" s="65" t="str">
        <f t="shared" si="21"/>
        <v>AEP</v>
      </c>
      <c r="D55" s="66">
        <f t="shared" si="21"/>
        <v>3.52</v>
      </c>
      <c r="E55" s="66">
        <v>77.171176666666682</v>
      </c>
      <c r="F55" s="67">
        <f t="shared" si="10"/>
        <v>4.5612884914328758E-2</v>
      </c>
      <c r="G55" s="67">
        <f t="shared" si="11"/>
        <v>4.6753207037186974E-2</v>
      </c>
      <c r="H55" s="32">
        <f t="shared" ref="H55:J55" si="22">H11</f>
        <v>6.5000000000000002E-2</v>
      </c>
      <c r="I55" s="32">
        <f t="shared" si="22"/>
        <v>3.7000000000000005E-2</v>
      </c>
      <c r="J55" s="32">
        <f t="shared" si="22"/>
        <v>4.8000000000000001E-2</v>
      </c>
      <c r="K55" s="68">
        <f t="shared" si="13"/>
        <v>5.000000000000001E-2</v>
      </c>
      <c r="L55" s="82">
        <f t="shared" si="14"/>
        <v>8.3456723285243839E-2</v>
      </c>
      <c r="M55" s="67">
        <f t="shared" si="15"/>
        <v>9.6753207037186983E-2</v>
      </c>
      <c r="N55" s="30">
        <f t="shared" si="16"/>
        <v>0.11209530367404444</v>
      </c>
      <c r="P55" s="69"/>
    </row>
    <row r="56" spans="2:16" x14ac:dyDescent="0.25">
      <c r="B56" s="63" t="str">
        <f t="shared" ref="B56:D56" si="23">B12</f>
        <v>Avista Corporation</v>
      </c>
      <c r="C56" s="65" t="str">
        <f t="shared" si="23"/>
        <v>AVA</v>
      </c>
      <c r="D56" s="66">
        <f t="shared" si="23"/>
        <v>1.84</v>
      </c>
      <c r="E56" s="66">
        <v>33.499138888888893</v>
      </c>
      <c r="F56" s="67">
        <f t="shared" si="10"/>
        <v>5.4926785016861955E-2</v>
      </c>
      <c r="G56" s="67">
        <f t="shared" si="11"/>
        <v>5.6556279639028866E-2</v>
      </c>
      <c r="H56" s="32">
        <f t="shared" ref="H56:J56" si="24">H12</f>
        <v>0.06</v>
      </c>
      <c r="I56" s="32">
        <f t="shared" si="24"/>
        <v>5.9000000000000004E-2</v>
      </c>
      <c r="J56" s="32">
        <f t="shared" si="24"/>
        <v>5.9000000000000004E-2</v>
      </c>
      <c r="K56" s="68">
        <f t="shared" si="13"/>
        <v>5.9333333333333328E-2</v>
      </c>
      <c r="L56" s="82">
        <f t="shared" si="14"/>
        <v>0.11554712517485939</v>
      </c>
      <c r="M56" s="67">
        <f t="shared" si="15"/>
        <v>0.11588961297236219</v>
      </c>
      <c r="N56" s="30">
        <f t="shared" si="16"/>
        <v>0.11657458856736781</v>
      </c>
      <c r="P56" s="69"/>
    </row>
    <row r="57" spans="2:16" x14ac:dyDescent="0.25">
      <c r="B57" s="63" t="str">
        <f t="shared" ref="B57:D57" si="25">B13</f>
        <v>Black Hills Corporation</v>
      </c>
      <c r="C57" s="65" t="str">
        <f t="shared" si="25"/>
        <v>BKH</v>
      </c>
      <c r="D57" s="66">
        <f t="shared" si="25"/>
        <v>2.5</v>
      </c>
      <c r="E57" s="66">
        <v>52.292522222222203</v>
      </c>
      <c r="F57" s="67">
        <f t="shared" si="10"/>
        <v>4.7807982743230566E-2</v>
      </c>
      <c r="G57" s="67">
        <f t="shared" si="11"/>
        <v>4.8429486518892562E-2</v>
      </c>
      <c r="H57" s="32">
        <f t="shared" ref="H57:J57" si="26">H13</f>
        <v>0.03</v>
      </c>
      <c r="I57" s="32" t="str">
        <f t="shared" si="26"/>
        <v>negative</v>
      </c>
      <c r="J57" s="32">
        <f t="shared" si="26"/>
        <v>2.2000000000000002E-2</v>
      </c>
      <c r="K57" s="68">
        <f t="shared" si="13"/>
        <v>2.6000000000000002E-2</v>
      </c>
      <c r="L57" s="82">
        <f t="shared" si="14"/>
        <v>7.0333870553406105E-2</v>
      </c>
      <c r="M57" s="67">
        <f t="shared" si="15"/>
        <v>7.4429486518892557E-2</v>
      </c>
      <c r="N57" s="30">
        <f t="shared" si="16"/>
        <v>7.8525102484379022E-2</v>
      </c>
      <c r="P57" s="69"/>
    </row>
    <row r="58" spans="2:16" x14ac:dyDescent="0.25">
      <c r="B58" s="63" t="str">
        <f t="shared" ref="B58:D58" si="27">B14</f>
        <v>CMS Energy Corporation</v>
      </c>
      <c r="C58" s="65" t="str">
        <f t="shared" si="27"/>
        <v>CMS</v>
      </c>
      <c r="D58" s="66">
        <f t="shared" si="27"/>
        <v>1.95</v>
      </c>
      <c r="E58" s="66">
        <v>55.551083333333345</v>
      </c>
      <c r="F58" s="67">
        <f t="shared" si="10"/>
        <v>3.5102825777475082E-2</v>
      </c>
      <c r="G58" s="67">
        <f t="shared" si="11"/>
        <v>3.6372377976427096E-2</v>
      </c>
      <c r="H58" s="32">
        <f t="shared" ref="H58:J58" si="28">H14</f>
        <v>6.5000000000000002E-2</v>
      </c>
      <c r="I58" s="32">
        <f t="shared" si="28"/>
        <v>7.6999999999999999E-2</v>
      </c>
      <c r="J58" s="32">
        <f t="shared" si="28"/>
        <v>7.4999999999999997E-2</v>
      </c>
      <c r="K58" s="68">
        <f t="shared" si="13"/>
        <v>7.2333333333333347E-2</v>
      </c>
      <c r="L58" s="82">
        <f t="shared" si="14"/>
        <v>0.10124366761524303</v>
      </c>
      <c r="M58" s="67">
        <f t="shared" si="15"/>
        <v>0.10870571130976045</v>
      </c>
      <c r="N58" s="30">
        <f t="shared" si="16"/>
        <v>0.11345428456990787</v>
      </c>
      <c r="P58" s="69"/>
    </row>
    <row r="59" spans="2:16" x14ac:dyDescent="0.25">
      <c r="B59" s="63" t="str">
        <f t="shared" ref="B59:D59" si="29">B15</f>
        <v>Duke Energy Corporation</v>
      </c>
      <c r="C59" s="65" t="str">
        <f t="shared" si="29"/>
        <v>DUK</v>
      </c>
      <c r="D59" s="66">
        <f t="shared" si="29"/>
        <v>4.0999999999999996</v>
      </c>
      <c r="E59" s="66">
        <v>89.102367777777786</v>
      </c>
      <c r="F59" s="67">
        <f t="shared" si="10"/>
        <v>4.6014489875571447E-2</v>
      </c>
      <c r="G59" s="67">
        <f t="shared" si="11"/>
        <v>4.7368082786077841E-2</v>
      </c>
      <c r="H59" s="32">
        <f t="shared" ref="H59:J59" si="30">H15</f>
        <v>0.05</v>
      </c>
      <c r="I59" s="32">
        <f t="shared" si="30"/>
        <v>6.5500000000000003E-2</v>
      </c>
      <c r="J59" s="32">
        <f t="shared" si="30"/>
        <v>6.0999999999999999E-2</v>
      </c>
      <c r="K59" s="68">
        <f t="shared" si="13"/>
        <v>5.8833333333333328E-2</v>
      </c>
      <c r="L59" s="82">
        <f t="shared" si="14"/>
        <v>9.7164852122460732E-2</v>
      </c>
      <c r="M59" s="67">
        <f t="shared" si="15"/>
        <v>0.10620141611941117</v>
      </c>
      <c r="N59" s="30">
        <f t="shared" si="16"/>
        <v>0.11302146441899641</v>
      </c>
      <c r="P59" s="69"/>
    </row>
    <row r="60" spans="2:16" x14ac:dyDescent="0.25">
      <c r="B60" s="63" t="str">
        <f t="shared" ref="B60:D60" si="31">B16</f>
        <v>Entergy Corporation</v>
      </c>
      <c r="C60" s="65" t="str">
        <f t="shared" si="31"/>
        <v>ETR</v>
      </c>
      <c r="D60" s="66">
        <f t="shared" si="31"/>
        <v>4.5199999999999996</v>
      </c>
      <c r="E60" s="66">
        <v>95.218331111111141</v>
      </c>
      <c r="F60" s="67">
        <f t="shared" si="10"/>
        <v>4.7469851101733448E-2</v>
      </c>
      <c r="G60" s="67">
        <f t="shared" si="11"/>
        <v>4.8886034992935166E-2</v>
      </c>
      <c r="H60" s="32">
        <f t="shared" ref="H60:J60" si="32">H16</f>
        <v>5.0000000000000001E-3</v>
      </c>
      <c r="I60" s="32">
        <f t="shared" si="32"/>
        <v>0.11</v>
      </c>
      <c r="J60" s="32">
        <f t="shared" si="32"/>
        <v>6.4000000000000001E-2</v>
      </c>
      <c r="K60" s="68">
        <f t="shared" si="13"/>
        <v>5.9666666666666666E-2</v>
      </c>
      <c r="L60" s="82">
        <f t="shared" si="14"/>
        <v>5.258852572948778E-2</v>
      </c>
      <c r="M60" s="67">
        <f t="shared" si="15"/>
        <v>0.10855270165960183</v>
      </c>
      <c r="N60" s="30">
        <f t="shared" si="16"/>
        <v>0.16008069291232879</v>
      </c>
      <c r="P60" s="69"/>
    </row>
    <row r="61" spans="2:16" x14ac:dyDescent="0.25">
      <c r="B61" s="63" t="str">
        <f t="shared" ref="B61:D61" si="33">B17</f>
        <v>Evergy, Inc.</v>
      </c>
      <c r="C61" s="65" t="str">
        <f t="shared" si="33"/>
        <v>EVRG</v>
      </c>
      <c r="D61" s="66">
        <f t="shared" si="33"/>
        <v>2.57</v>
      </c>
      <c r="E61" s="66">
        <v>52.095137777777772</v>
      </c>
      <c r="F61" s="67">
        <f t="shared" si="10"/>
        <v>4.933281894680553E-2</v>
      </c>
      <c r="G61" s="67">
        <f t="shared" si="11"/>
        <v>5.0508584465037733E-2</v>
      </c>
      <c r="H61" s="32">
        <f t="shared" ref="H61:J61" si="34">H17</f>
        <v>7.4999999999999997E-2</v>
      </c>
      <c r="I61" s="32">
        <f t="shared" si="34"/>
        <v>2.5000000000000001E-2</v>
      </c>
      <c r="J61" s="32">
        <f t="shared" si="34"/>
        <v>4.2999999999999997E-2</v>
      </c>
      <c r="K61" s="68">
        <f t="shared" si="13"/>
        <v>4.766666666666667E-2</v>
      </c>
      <c r="L61" s="82">
        <f t="shared" si="14"/>
        <v>7.4949479183640588E-2</v>
      </c>
      <c r="M61" s="67">
        <f t="shared" si="15"/>
        <v>9.8175251131704402E-2</v>
      </c>
      <c r="N61" s="30">
        <f t="shared" si="16"/>
        <v>0.12618279965731075</v>
      </c>
      <c r="P61" s="69"/>
    </row>
    <row r="62" spans="2:16" x14ac:dyDescent="0.25">
      <c r="B62" s="63" t="str">
        <f t="shared" ref="B62:D62" si="35">B18</f>
        <v>IDACORP, Inc.</v>
      </c>
      <c r="C62" s="65" t="str">
        <f t="shared" si="35"/>
        <v>IDA</v>
      </c>
      <c r="D62" s="66">
        <f t="shared" si="35"/>
        <v>3.32</v>
      </c>
      <c r="E62" s="66">
        <v>95.862449999999967</v>
      </c>
      <c r="F62" s="67">
        <f t="shared" si="10"/>
        <v>3.4632955865409251E-2</v>
      </c>
      <c r="G62" s="67">
        <f t="shared" si="11"/>
        <v>3.5314070664095636E-2</v>
      </c>
      <c r="H62" s="32">
        <f t="shared" ref="H62:J62" si="36">H18</f>
        <v>0.04</v>
      </c>
      <c r="I62" s="32">
        <f t="shared" si="36"/>
        <v>3.7000000000000005E-2</v>
      </c>
      <c r="J62" s="32">
        <f t="shared" si="36"/>
        <v>4.0999999999999995E-2</v>
      </c>
      <c r="K62" s="68">
        <f t="shared" si="13"/>
        <v>3.9333333333333338E-2</v>
      </c>
      <c r="L62" s="82">
        <f t="shared" si="14"/>
        <v>7.2273665548919327E-2</v>
      </c>
      <c r="M62" s="67">
        <f t="shared" si="15"/>
        <v>7.4647403997428974E-2</v>
      </c>
      <c r="N62" s="30">
        <f t="shared" si="16"/>
        <v>7.6342931460650132E-2</v>
      </c>
      <c r="P62" s="69"/>
    </row>
    <row r="63" spans="2:16" x14ac:dyDescent="0.25">
      <c r="B63" s="63" t="str">
        <f t="shared" ref="B63:D63" si="37">B19</f>
        <v>MGE Energy, Inc.</v>
      </c>
      <c r="C63" s="65" t="str">
        <f t="shared" si="37"/>
        <v>MGEE</v>
      </c>
      <c r="D63" s="66">
        <f t="shared" si="37"/>
        <v>1.71</v>
      </c>
      <c r="E63" s="66">
        <v>72.894814444444435</v>
      </c>
      <c r="F63" s="67">
        <f t="shared" si="10"/>
        <v>2.3458458781087203E-2</v>
      </c>
      <c r="G63" s="67">
        <f t="shared" si="11"/>
        <v>2.4130934599478369E-2</v>
      </c>
      <c r="H63" s="32">
        <f t="shared" ref="H63:J63" si="38">H19</f>
        <v>6.5000000000000002E-2</v>
      </c>
      <c r="I63" s="32">
        <f t="shared" si="38"/>
        <v>5.4000000000000006E-2</v>
      </c>
      <c r="J63" s="32">
        <f t="shared" si="38"/>
        <v>5.2999999999999999E-2</v>
      </c>
      <c r="K63" s="68">
        <f t="shared" si="13"/>
        <v>5.733333333333334E-2</v>
      </c>
      <c r="L63" s="82">
        <f t="shared" si="14"/>
        <v>7.7080107938786016E-2</v>
      </c>
      <c r="M63" s="67">
        <f t="shared" si="15"/>
        <v>8.146426793281171E-2</v>
      </c>
      <c r="N63" s="30">
        <f t="shared" si="16"/>
        <v>8.9220858691472532E-2</v>
      </c>
      <c r="P63" s="69"/>
    </row>
    <row r="64" spans="2:16" x14ac:dyDescent="0.25">
      <c r="B64" s="63" t="str">
        <f t="shared" ref="B64:D64" si="39">B20</f>
        <v>NextEra Energy, Inc.</v>
      </c>
      <c r="C64" s="65" t="str">
        <f t="shared" si="39"/>
        <v>NEE</v>
      </c>
      <c r="D64" s="66">
        <f t="shared" si="39"/>
        <v>1.87</v>
      </c>
      <c r="E64" s="66">
        <v>61.285738888888886</v>
      </c>
      <c r="F64" s="67">
        <f t="shared" si="10"/>
        <v>3.0512808263441389E-2</v>
      </c>
      <c r="G64" s="67">
        <f t="shared" si="11"/>
        <v>3.1827401752791321E-2</v>
      </c>
      <c r="H64" s="32">
        <f t="shared" ref="H64:J64" si="40">H20</f>
        <v>9.5000000000000001E-2</v>
      </c>
      <c r="I64" s="32">
        <f t="shared" si="40"/>
        <v>8.1500000000000003E-2</v>
      </c>
      <c r="J64" s="32">
        <f t="shared" si="40"/>
        <v>8.199999999999999E-2</v>
      </c>
      <c r="K64" s="68">
        <f t="shared" si="13"/>
        <v>8.6166666666666655E-2</v>
      </c>
      <c r="L64" s="82">
        <f t="shared" si="14"/>
        <v>0.11325620520017662</v>
      </c>
      <c r="M64" s="67">
        <f t="shared" si="15"/>
        <v>0.11799406841945798</v>
      </c>
      <c r="N64" s="30">
        <f t="shared" si="16"/>
        <v>0.12696216665595486</v>
      </c>
      <c r="P64" s="69"/>
    </row>
    <row r="65" spans="2:16" x14ac:dyDescent="0.25">
      <c r="B65" s="63" t="str">
        <f t="shared" ref="B65:D65" si="41">B21</f>
        <v>NorthWestern Corporation</v>
      </c>
      <c r="C65" s="65" t="str">
        <f t="shared" si="41"/>
        <v>NWE</v>
      </c>
      <c r="D65" s="66">
        <f t="shared" si="41"/>
        <v>2.56</v>
      </c>
      <c r="E65" s="66">
        <v>50.422272222222219</v>
      </c>
      <c r="F65" s="67">
        <f t="shared" si="10"/>
        <v>5.0771214528324074E-2</v>
      </c>
      <c r="G65" s="67">
        <f t="shared" si="11"/>
        <v>5.1852641397777378E-2</v>
      </c>
      <c r="H65" s="32">
        <f t="shared" ref="H65:J65" si="42">H21</f>
        <v>3.5000000000000003E-2</v>
      </c>
      <c r="I65" s="32">
        <f t="shared" si="42"/>
        <v>4.0800000000000003E-2</v>
      </c>
      <c r="J65" s="32">
        <f t="shared" si="42"/>
        <v>5.2000000000000005E-2</v>
      </c>
      <c r="K65" s="68">
        <f t="shared" si="13"/>
        <v>4.2600000000000006E-2</v>
      </c>
      <c r="L65" s="82">
        <f t="shared" si="14"/>
        <v>8.665971078256976E-2</v>
      </c>
      <c r="M65" s="67">
        <f t="shared" si="15"/>
        <v>9.4452641397777384E-2</v>
      </c>
      <c r="N65" s="30">
        <f t="shared" si="16"/>
        <v>0.10409126610606051</v>
      </c>
      <c r="P65" s="69"/>
    </row>
    <row r="66" spans="2:16" x14ac:dyDescent="0.25">
      <c r="B66" s="63" t="str">
        <f t="shared" ref="B66:D66" si="43">B22</f>
        <v>OGE Energy Corporation</v>
      </c>
      <c r="C66" s="65" t="str">
        <f t="shared" si="43"/>
        <v>OGE</v>
      </c>
      <c r="D66" s="66">
        <f t="shared" si="43"/>
        <v>1.6728000000000001</v>
      </c>
      <c r="E66" s="66">
        <v>34.135325555555561</v>
      </c>
      <c r="F66" s="67">
        <f t="shared" si="10"/>
        <v>4.9004952282570222E-2</v>
      </c>
      <c r="G66" s="67">
        <f>IFERROR(F66*(1+0.5*K66),"")</f>
        <v>5.0254578565775768E-2</v>
      </c>
      <c r="H66" s="32">
        <f>H22</f>
        <v>6.5000000000000002E-2</v>
      </c>
      <c r="I66" s="32" t="str">
        <f>I22</f>
        <v>negative</v>
      </c>
      <c r="J66" s="32">
        <f>J22</f>
        <v>3.7000000000000005E-2</v>
      </c>
      <c r="K66" s="68">
        <f>AVERAGE(H66:J66)</f>
        <v>5.1000000000000004E-2</v>
      </c>
      <c r="L66" s="82">
        <f>$F66*(1+0.5*MIN($H66:$J66))+MIN($H66:$J66)</f>
        <v>8.6911543899797772E-2</v>
      </c>
      <c r="M66" s="67">
        <f t="shared" si="15"/>
        <v>0.10125457856577577</v>
      </c>
      <c r="N66" s="30">
        <f>$F66*(1+0.5*MAX($H66:$J66))+MAX($H66:$J66)</f>
        <v>0.11559761323175376</v>
      </c>
      <c r="P66" s="69"/>
    </row>
    <row r="67" spans="2:16" x14ac:dyDescent="0.25">
      <c r="B67" s="63" t="str">
        <f t="shared" ref="B67:D67" si="44">B23</f>
        <v>Pinnacle West Capital Corporation</v>
      </c>
      <c r="C67" s="65" t="str">
        <f t="shared" si="44"/>
        <v>PNW</v>
      </c>
      <c r="D67" s="66">
        <f t="shared" si="44"/>
        <v>3.52</v>
      </c>
      <c r="E67" s="66">
        <v>75.14944222222222</v>
      </c>
      <c r="F67" s="67">
        <f t="shared" si="10"/>
        <v>4.6840001680799055E-2</v>
      </c>
      <c r="G67" s="67">
        <f t="shared" ref="G67:G71" si="45">IFERROR(F67*(1+0.5*K67),"")</f>
        <v>4.7956355054191435E-2</v>
      </c>
      <c r="H67" s="32">
        <f t="shared" ref="H67:J67" si="46">H23</f>
        <v>2.5000000000000001E-2</v>
      </c>
      <c r="I67" s="32">
        <f t="shared" si="46"/>
        <v>5.9000000000000004E-2</v>
      </c>
      <c r="J67" s="32">
        <f t="shared" si="46"/>
        <v>5.9000000000000004E-2</v>
      </c>
      <c r="K67" s="68">
        <f t="shared" ref="K67:K71" si="47">AVERAGE(H67:J67)</f>
        <v>4.766666666666667E-2</v>
      </c>
      <c r="L67" s="82">
        <f t="shared" si="14"/>
        <v>7.2425501701809045E-2</v>
      </c>
      <c r="M67" s="67">
        <f t="shared" ref="M67:M71" si="48">G67+K67</f>
        <v>9.5623021720858098E-2</v>
      </c>
      <c r="N67" s="30">
        <f t="shared" si="16"/>
        <v>0.10722178173038263</v>
      </c>
      <c r="P67" s="69"/>
    </row>
    <row r="68" spans="2:16" x14ac:dyDescent="0.25">
      <c r="B68" s="63" t="str">
        <f t="shared" ref="B68:D68" si="49">B24</f>
        <v>Portland General Electric Company</v>
      </c>
      <c r="C68" s="65" t="str">
        <f t="shared" si="49"/>
        <v>POR</v>
      </c>
      <c r="D68" s="66">
        <f t="shared" si="49"/>
        <v>1.9</v>
      </c>
      <c r="E68" s="66">
        <v>42.557076666666681</v>
      </c>
      <c r="F68" s="67">
        <f t="shared" si="10"/>
        <v>4.4645923752751483E-2</v>
      </c>
      <c r="G68" s="67">
        <f t="shared" si="45"/>
        <v>4.5806717770323024E-2</v>
      </c>
      <c r="H68" s="32">
        <f t="shared" ref="H68:J68" si="50">H24</f>
        <v>0.05</v>
      </c>
      <c r="I68" s="32">
        <f t="shared" si="50"/>
        <v>4.5999999999999999E-2</v>
      </c>
      <c r="J68" s="32">
        <f t="shared" si="50"/>
        <v>0.06</v>
      </c>
      <c r="K68" s="68">
        <f t="shared" si="47"/>
        <v>5.1999999999999998E-2</v>
      </c>
      <c r="L68" s="82">
        <f t="shared" si="14"/>
        <v>9.1672779999064757E-2</v>
      </c>
      <c r="M68" s="67">
        <f t="shared" si="48"/>
        <v>9.7806717770323015E-2</v>
      </c>
      <c r="N68" s="30">
        <f t="shared" si="16"/>
        <v>0.10598530146533403</v>
      </c>
      <c r="P68" s="69"/>
    </row>
    <row r="69" spans="2:16" x14ac:dyDescent="0.25">
      <c r="B69" s="63" t="str">
        <f t="shared" ref="B69:D69" si="51">B25</f>
        <v>Southern Company</v>
      </c>
      <c r="C69" s="65" t="str">
        <f t="shared" si="51"/>
        <v>SO</v>
      </c>
      <c r="D69" s="66">
        <f t="shared" si="51"/>
        <v>2.8</v>
      </c>
      <c r="E69" s="66">
        <v>67.519306666666651</v>
      </c>
      <c r="F69" s="67">
        <f t="shared" si="10"/>
        <v>4.1469620146178443E-2</v>
      </c>
      <c r="G69" s="67">
        <f t="shared" si="45"/>
        <v>4.2686062337133013E-2</v>
      </c>
      <c r="H69" s="32">
        <f t="shared" ref="H69:J69" si="52">H25</f>
        <v>6.5000000000000002E-2</v>
      </c>
      <c r="I69" s="32">
        <f t="shared" si="52"/>
        <v>7.0999999999999994E-2</v>
      </c>
      <c r="J69" s="32">
        <f t="shared" si="52"/>
        <v>0.04</v>
      </c>
      <c r="K69" s="68">
        <f t="shared" si="47"/>
        <v>5.8666666666666673E-2</v>
      </c>
      <c r="L69" s="82">
        <f t="shared" si="14"/>
        <v>8.2299012549102019E-2</v>
      </c>
      <c r="M69" s="67">
        <f t="shared" si="48"/>
        <v>0.10135272900379969</v>
      </c>
      <c r="N69" s="30">
        <f t="shared" si="16"/>
        <v>0.11394179166136778</v>
      </c>
      <c r="P69" s="69"/>
    </row>
    <row r="70" spans="2:16" x14ac:dyDescent="0.25">
      <c r="B70" s="63" t="str">
        <f t="shared" ref="B70:D70" si="53">B26</f>
        <v>Wisconsin Energy Corporation</v>
      </c>
      <c r="C70" s="65" t="str">
        <f t="shared" si="53"/>
        <v>WEC</v>
      </c>
      <c r="D70" s="66">
        <f t="shared" si="53"/>
        <v>3.12</v>
      </c>
      <c r="E70" s="66">
        <v>82.961625555555557</v>
      </c>
      <c r="F70" s="67">
        <f t="shared" si="10"/>
        <v>3.7607749114205585E-2</v>
      </c>
      <c r="G70" s="67">
        <f t="shared" si="45"/>
        <v>3.8717177713074653E-2</v>
      </c>
      <c r="H70" s="32">
        <f t="shared" ref="H70:J70" si="54">H26</f>
        <v>0.06</v>
      </c>
      <c r="I70" s="32">
        <f t="shared" si="54"/>
        <v>5.7999999999999996E-2</v>
      </c>
      <c r="J70" s="32">
        <f t="shared" si="54"/>
        <v>5.9000000000000004E-2</v>
      </c>
      <c r="K70" s="68">
        <f t="shared" si="47"/>
        <v>5.8999999999999997E-2</v>
      </c>
      <c r="L70" s="82">
        <f t="shared" si="14"/>
        <v>9.6698373838517537E-2</v>
      </c>
      <c r="M70" s="67">
        <f t="shared" si="48"/>
        <v>9.7717177713074643E-2</v>
      </c>
      <c r="N70" s="30">
        <f t="shared" si="16"/>
        <v>9.8735981587631749E-2</v>
      </c>
      <c r="P70" s="69"/>
    </row>
    <row r="71" spans="2:16" x14ac:dyDescent="0.25">
      <c r="B71" s="63" t="str">
        <f t="shared" ref="B71:D71" si="55">B27</f>
        <v>Xcel Energy Inc.</v>
      </c>
      <c r="C71" s="65" t="str">
        <f t="shared" si="55"/>
        <v>XEL</v>
      </c>
      <c r="D71" s="66">
        <f t="shared" si="55"/>
        <v>2.08</v>
      </c>
      <c r="E71" s="66">
        <v>58.794653333333322</v>
      </c>
      <c r="F71" s="67">
        <f t="shared" si="10"/>
        <v>3.537736651337231E-2</v>
      </c>
      <c r="G71" s="67">
        <f t="shared" si="45"/>
        <v>3.649175355854354E-2</v>
      </c>
      <c r="H71" s="32">
        <f t="shared" ref="H71:J71" si="56">H27</f>
        <v>0.06</v>
      </c>
      <c r="I71" s="32">
        <f t="shared" si="56"/>
        <v>6.8000000000000005E-2</v>
      </c>
      <c r="J71" s="32">
        <f t="shared" si="56"/>
        <v>6.0999999999999999E-2</v>
      </c>
      <c r="K71" s="68">
        <f t="shared" si="47"/>
        <v>6.3E-2</v>
      </c>
      <c r="L71" s="82">
        <f t="shared" si="14"/>
        <v>9.6438687508773477E-2</v>
      </c>
      <c r="M71" s="67">
        <f t="shared" si="48"/>
        <v>9.9491753558543533E-2</v>
      </c>
      <c r="N71" s="30">
        <f t="shared" si="16"/>
        <v>0.10458019697482698</v>
      </c>
      <c r="P71" s="69"/>
    </row>
    <row r="72" spans="2:16" x14ac:dyDescent="0.25">
      <c r="B72" s="83"/>
      <c r="C72" s="84"/>
      <c r="D72" s="70"/>
      <c r="E72" s="70"/>
      <c r="F72" s="70"/>
      <c r="G72" s="70"/>
      <c r="H72" s="85"/>
      <c r="I72" s="85"/>
      <c r="J72" s="85"/>
      <c r="K72" s="71"/>
      <c r="L72" s="72"/>
      <c r="M72" s="72"/>
      <c r="N72" s="72"/>
    </row>
    <row r="73" spans="2:16" x14ac:dyDescent="0.25">
      <c r="B73" s="73" t="s">
        <v>5</v>
      </c>
      <c r="C73" s="74"/>
      <c r="D73" s="75"/>
      <c r="E73" s="75"/>
      <c r="F73" s="76">
        <f>AVERAGE(F51:F71)</f>
        <v>4.1790908355368458E-2</v>
      </c>
      <c r="G73" s="76">
        <f t="shared" ref="G73:N73" si="57">AVERAGE(G51:G71)</f>
        <v>4.2980955140665141E-2</v>
      </c>
      <c r="H73" s="76">
        <f t="shared" si="57"/>
        <v>5.6904761904761916E-2</v>
      </c>
      <c r="I73" s="76">
        <f t="shared" si="57"/>
        <v>6.2173684210526339E-2</v>
      </c>
      <c r="J73" s="76">
        <f t="shared" si="57"/>
        <v>5.7047619047619055E-2</v>
      </c>
      <c r="K73" s="76">
        <f t="shared" si="57"/>
        <v>5.7957142857142853E-2</v>
      </c>
      <c r="L73" s="76">
        <f t="shared" si="57"/>
        <v>9.000233616990562E-2</v>
      </c>
      <c r="M73" s="76">
        <f t="shared" si="57"/>
        <v>0.10093809799780799</v>
      </c>
      <c r="N73" s="76">
        <f t="shared" si="57"/>
        <v>0.11115521112271756</v>
      </c>
    </row>
    <row r="74" spans="2:16" x14ac:dyDescent="0.25">
      <c r="B74" s="63" t="s">
        <v>14</v>
      </c>
      <c r="F74" s="77">
        <f>MEDIAN(F51:F71)</f>
        <v>4.4645923752751483E-2</v>
      </c>
      <c r="G74" s="77">
        <f t="shared" ref="G74:N74" si="58">MEDIAN(G51:G71)</f>
        <v>4.5806717770323024E-2</v>
      </c>
      <c r="H74" s="77">
        <f t="shared" si="58"/>
        <v>0.06</v>
      </c>
      <c r="I74" s="77">
        <f t="shared" si="58"/>
        <v>6.2E-2</v>
      </c>
      <c r="J74" s="77">
        <f t="shared" si="58"/>
        <v>5.9000000000000004E-2</v>
      </c>
      <c r="K74" s="77">
        <f t="shared" si="58"/>
        <v>5.8833333333333328E-2</v>
      </c>
      <c r="L74" s="77">
        <f t="shared" si="58"/>
        <v>9.1672779999064757E-2</v>
      </c>
      <c r="M74" s="77">
        <f t="shared" si="58"/>
        <v>9.9491753558543533E-2</v>
      </c>
      <c r="N74" s="77">
        <f t="shared" si="58"/>
        <v>0.11209530367404444</v>
      </c>
    </row>
    <row r="75" spans="2:16" x14ac:dyDescent="0.25">
      <c r="B75" s="63"/>
      <c r="L75" s="77"/>
      <c r="M75" s="77"/>
      <c r="N75" s="77"/>
    </row>
    <row r="76" spans="2:16" x14ac:dyDescent="0.25">
      <c r="B76" s="78" t="s">
        <v>104</v>
      </c>
      <c r="L76" s="77"/>
      <c r="M76" s="77"/>
      <c r="N76" s="77"/>
    </row>
    <row r="77" spans="2:16" x14ac:dyDescent="0.25">
      <c r="B77" s="79" t="s">
        <v>105</v>
      </c>
      <c r="L77" s="77"/>
      <c r="M77" s="77"/>
      <c r="N77" s="77"/>
    </row>
    <row r="78" spans="2:16" x14ac:dyDescent="0.25">
      <c r="B78" s="79" t="s">
        <v>139</v>
      </c>
      <c r="L78" s="77"/>
      <c r="M78" s="77"/>
      <c r="N78" s="77"/>
    </row>
    <row r="79" spans="2:16" x14ac:dyDescent="0.25">
      <c r="B79" s="64" t="s">
        <v>129</v>
      </c>
      <c r="L79" s="77"/>
      <c r="M79" s="77"/>
      <c r="N79" s="77"/>
    </row>
    <row r="80" spans="2:16" x14ac:dyDescent="0.25">
      <c r="B80" s="64" t="s">
        <v>130</v>
      </c>
      <c r="L80" s="77"/>
      <c r="M80" s="77"/>
      <c r="N80" s="77"/>
    </row>
    <row r="81" spans="2:16" x14ac:dyDescent="0.25">
      <c r="B81" s="64" t="s">
        <v>131</v>
      </c>
      <c r="L81" s="77"/>
      <c r="M81" s="77"/>
      <c r="N81" s="77"/>
    </row>
    <row r="82" spans="2:16" x14ac:dyDescent="0.25">
      <c r="B82" s="64" t="s">
        <v>132</v>
      </c>
      <c r="L82" s="77"/>
      <c r="M82" s="77"/>
      <c r="N82" s="77"/>
    </row>
    <row r="83" spans="2:16" x14ac:dyDescent="0.25">
      <c r="B83" s="64" t="s">
        <v>133</v>
      </c>
    </row>
    <row r="84" spans="2:16" x14ac:dyDescent="0.25">
      <c r="B84" s="1" t="s">
        <v>134</v>
      </c>
    </row>
    <row r="85" spans="2:16" x14ac:dyDescent="0.25">
      <c r="B85" s="1" t="s">
        <v>135</v>
      </c>
    </row>
    <row r="86" spans="2:16" x14ac:dyDescent="0.25">
      <c r="B86" s="81" t="s">
        <v>136</v>
      </c>
    </row>
    <row r="87" spans="2:16" x14ac:dyDescent="0.25">
      <c r="B87" s="1" t="s">
        <v>137</v>
      </c>
    </row>
    <row r="88" spans="2:16" x14ac:dyDescent="0.25">
      <c r="B88" s="79"/>
    </row>
    <row r="90" spans="2:16" x14ac:dyDescent="0.25">
      <c r="B90" s="384" t="s">
        <v>140</v>
      </c>
      <c r="C90" s="384"/>
      <c r="D90" s="384"/>
      <c r="E90" s="384"/>
      <c r="F90" s="384"/>
      <c r="G90" s="384"/>
      <c r="H90" s="384"/>
      <c r="I90" s="384"/>
      <c r="J90" s="384"/>
      <c r="K90" s="384"/>
      <c r="L90" s="384"/>
      <c r="M90" s="384"/>
      <c r="N90" s="384"/>
    </row>
    <row r="92" spans="2:16" ht="13.8" thickBot="1" x14ac:dyDescent="0.3">
      <c r="D92" s="55" t="s">
        <v>38</v>
      </c>
      <c r="E92" s="55" t="s">
        <v>39</v>
      </c>
      <c r="F92" s="57" t="s">
        <v>40</v>
      </c>
      <c r="G92" s="57" t="s">
        <v>41</v>
      </c>
      <c r="H92" s="55" t="s">
        <v>42</v>
      </c>
      <c r="I92" s="55" t="s">
        <v>43</v>
      </c>
      <c r="J92" s="55" t="s">
        <v>44</v>
      </c>
      <c r="K92" s="55" t="s">
        <v>45</v>
      </c>
      <c r="L92" s="55" t="s">
        <v>113</v>
      </c>
      <c r="M92" s="55" t="s">
        <v>114</v>
      </c>
      <c r="N92" s="55" t="s">
        <v>115</v>
      </c>
    </row>
    <row r="93" spans="2:16" ht="39.6" x14ac:dyDescent="0.25">
      <c r="B93" s="58" t="s">
        <v>46</v>
      </c>
      <c r="C93" s="59" t="s">
        <v>47</v>
      </c>
      <c r="D93" s="60" t="s">
        <v>116</v>
      </c>
      <c r="E93" s="60" t="s">
        <v>117</v>
      </c>
      <c r="F93" s="61" t="s">
        <v>118</v>
      </c>
      <c r="G93" s="61" t="s">
        <v>119</v>
      </c>
      <c r="H93" s="60" t="s">
        <v>120</v>
      </c>
      <c r="I93" s="60" t="s">
        <v>121</v>
      </c>
      <c r="J93" s="60" t="s">
        <v>122</v>
      </c>
      <c r="K93" s="60" t="s">
        <v>123</v>
      </c>
      <c r="L93" s="62" t="s">
        <v>124</v>
      </c>
      <c r="M93" s="61" t="s">
        <v>125</v>
      </c>
      <c r="N93" s="62" t="s">
        <v>126</v>
      </c>
    </row>
    <row r="94" spans="2:16" x14ac:dyDescent="0.25">
      <c r="B94" s="73"/>
      <c r="C94" s="73"/>
    </row>
    <row r="95" spans="2:16" x14ac:dyDescent="0.25">
      <c r="B95" s="63" t="str">
        <f>B51</f>
        <v>NiSource Inc.</v>
      </c>
      <c r="C95" s="65" t="str">
        <f>C51</f>
        <v>NI</v>
      </c>
      <c r="D95" s="66">
        <f>D51</f>
        <v>1</v>
      </c>
      <c r="E95" s="66">
        <v>26.49993499999999</v>
      </c>
      <c r="F95" s="67">
        <f>D95/E95</f>
        <v>3.7735941616460586E-2</v>
      </c>
      <c r="G95" s="67">
        <f>IFERROR(F95*(1+0.5*K95),"")</f>
        <v>3.9308272517146449E-2</v>
      </c>
      <c r="H95" s="32">
        <f>H51</f>
        <v>9.5000000000000001E-2</v>
      </c>
      <c r="I95" s="32">
        <f>I51</f>
        <v>8.3000000000000004E-2</v>
      </c>
      <c r="J95" s="32">
        <f>J51</f>
        <v>7.2000000000000008E-2</v>
      </c>
      <c r="K95" s="68">
        <f>AVERAGE(H95:J95)</f>
        <v>8.3333333333333329E-2</v>
      </c>
      <c r="L95" s="82">
        <f>$F95*(1+0.5*MIN($H95:$J95))+MIN($H95:$J95)</f>
        <v>0.11109443551465317</v>
      </c>
      <c r="M95" s="67">
        <f t="shared" ref="M95" si="59">G95+K95</f>
        <v>0.12264160585047978</v>
      </c>
      <c r="N95" s="30">
        <f>$F95*(1+0.5*MAX($H95:$J95))+MAX($H95:$J95)</f>
        <v>0.13452839884324247</v>
      </c>
      <c r="P95" s="69"/>
    </row>
    <row r="96" spans="2:16" x14ac:dyDescent="0.25">
      <c r="B96" s="63" t="str">
        <f t="shared" ref="B96:D96" si="60">B52</f>
        <v>ALLETE, Inc.</v>
      </c>
      <c r="C96" s="65" t="str">
        <f t="shared" si="60"/>
        <v>ALE</v>
      </c>
      <c r="D96" s="66">
        <f t="shared" si="60"/>
        <v>2.71</v>
      </c>
      <c r="E96" s="66">
        <v>56.880767777777741</v>
      </c>
      <c r="F96" s="67">
        <f t="shared" ref="F96:F115" si="61">D96/E96</f>
        <v>4.7643520048594463E-2</v>
      </c>
      <c r="G96" s="67">
        <f t="shared" ref="G96:G115" si="62">IFERROR(F96*(1+0.5*K96),"")</f>
        <v>4.9406330290392458E-2</v>
      </c>
      <c r="H96" s="32">
        <f t="shared" ref="H96:J96" si="63">H52</f>
        <v>0.06</v>
      </c>
      <c r="I96" s="32">
        <f t="shared" si="63"/>
        <v>8.1000000000000003E-2</v>
      </c>
      <c r="J96" s="32">
        <f t="shared" si="63"/>
        <v>8.1000000000000003E-2</v>
      </c>
      <c r="K96" s="68">
        <f t="shared" ref="K96:K115" si="64">AVERAGE(H96:J96)</f>
        <v>7.400000000000001E-2</v>
      </c>
      <c r="L96" s="82">
        <f t="shared" ref="L96:L115" si="65">$F96*(1+0.5*MIN($H96:$J96))+MIN($H96:$J96)</f>
        <v>0.1090728256500523</v>
      </c>
      <c r="M96" s="67">
        <f t="shared" ref="M96:M115" si="66">G96+K96</f>
        <v>0.12340633029039247</v>
      </c>
      <c r="N96" s="30">
        <f t="shared" ref="N96:N115" si="67">$F96*(1+0.5*MAX($H96:$J96))+MAX($H96:$J96)</f>
        <v>0.13057308261056255</v>
      </c>
      <c r="P96" s="69"/>
    </row>
    <row r="97" spans="2:16" x14ac:dyDescent="0.25">
      <c r="B97" s="63" t="str">
        <f t="shared" ref="B97:D97" si="68">B53</f>
        <v>Alliant Energy Corporation</v>
      </c>
      <c r="C97" s="65" t="str">
        <f t="shared" si="68"/>
        <v>LNT</v>
      </c>
      <c r="D97" s="66">
        <f t="shared" si="68"/>
        <v>1.81</v>
      </c>
      <c r="E97" s="66">
        <v>51.121121111111115</v>
      </c>
      <c r="F97" s="67">
        <f t="shared" si="61"/>
        <v>3.540610926873039E-2</v>
      </c>
      <c r="G97" s="67">
        <f t="shared" si="62"/>
        <v>3.6553857310858404E-2</v>
      </c>
      <c r="H97" s="32">
        <f t="shared" ref="H97:J97" si="69">H53</f>
        <v>6.5000000000000002E-2</v>
      </c>
      <c r="I97" s="32">
        <f t="shared" si="69"/>
        <v>6.6500000000000004E-2</v>
      </c>
      <c r="J97" s="32">
        <f t="shared" si="69"/>
        <v>6.3E-2</v>
      </c>
      <c r="K97" s="68">
        <f t="shared" si="64"/>
        <v>6.483333333333334E-2</v>
      </c>
      <c r="L97" s="82">
        <f t="shared" si="65"/>
        <v>9.9521401710695401E-2</v>
      </c>
      <c r="M97" s="67">
        <f t="shared" si="66"/>
        <v>0.10138719064419174</v>
      </c>
      <c r="N97" s="30">
        <f t="shared" si="67"/>
        <v>0.10308336240191568</v>
      </c>
      <c r="P97" s="69"/>
    </row>
    <row r="98" spans="2:16" x14ac:dyDescent="0.25">
      <c r="B98" s="63" t="str">
        <f t="shared" ref="B98:D98" si="70">B54</f>
        <v>Ameren Corporation</v>
      </c>
      <c r="C98" s="65" t="str">
        <f t="shared" si="70"/>
        <v>AEE</v>
      </c>
      <c r="D98" s="66">
        <f t="shared" si="70"/>
        <v>2.52</v>
      </c>
      <c r="E98" s="66">
        <v>81.269436111111119</v>
      </c>
      <c r="F98" s="67">
        <f t="shared" si="61"/>
        <v>3.1007967085617157E-2</v>
      </c>
      <c r="G98" s="67">
        <f t="shared" si="62"/>
        <v>3.2005390026871174E-2</v>
      </c>
      <c r="H98" s="32">
        <f t="shared" ref="H98:J98" si="71">H54</f>
        <v>6.5000000000000002E-2</v>
      </c>
      <c r="I98" s="32">
        <f t="shared" si="71"/>
        <v>6.2E-2</v>
      </c>
      <c r="J98" s="32">
        <f t="shared" si="71"/>
        <v>6.6000000000000003E-2</v>
      </c>
      <c r="K98" s="68">
        <f t="shared" si="64"/>
        <v>6.433333333333334E-2</v>
      </c>
      <c r="L98" s="82">
        <f t="shared" si="65"/>
        <v>9.3969214065271284E-2</v>
      </c>
      <c r="M98" s="67">
        <f t="shared" si="66"/>
        <v>9.633872336020452E-2</v>
      </c>
      <c r="N98" s="30">
        <f t="shared" si="67"/>
        <v>9.8031229999442526E-2</v>
      </c>
      <c r="P98" s="69"/>
    </row>
    <row r="99" spans="2:16" x14ac:dyDescent="0.25">
      <c r="B99" s="63" t="str">
        <f t="shared" ref="B99:D99" si="72">B55</f>
        <v>American Electric Power Company, Inc.</v>
      </c>
      <c r="C99" s="65" t="str">
        <f t="shared" si="72"/>
        <v>AEP</v>
      </c>
      <c r="D99" s="66">
        <f t="shared" si="72"/>
        <v>3.52</v>
      </c>
      <c r="E99" s="66">
        <v>81.521087777777822</v>
      </c>
      <c r="F99" s="67">
        <f t="shared" si="61"/>
        <v>4.3179011663771388E-2</v>
      </c>
      <c r="G99" s="67">
        <f t="shared" si="62"/>
        <v>4.4258486955365668E-2</v>
      </c>
      <c r="H99" s="32">
        <f t="shared" ref="H99:J99" si="73">H55</f>
        <v>6.5000000000000002E-2</v>
      </c>
      <c r="I99" s="32">
        <f t="shared" si="73"/>
        <v>3.7000000000000005E-2</v>
      </c>
      <c r="J99" s="32">
        <f t="shared" si="73"/>
        <v>4.8000000000000001E-2</v>
      </c>
      <c r="K99" s="68">
        <f t="shared" si="64"/>
        <v>5.000000000000001E-2</v>
      </c>
      <c r="L99" s="82">
        <f t="shared" si="65"/>
        <v>8.0977823379551173E-2</v>
      </c>
      <c r="M99" s="67">
        <f t="shared" si="66"/>
        <v>9.4258486955365678E-2</v>
      </c>
      <c r="N99" s="30">
        <f t="shared" si="67"/>
        <v>0.10958232954284396</v>
      </c>
      <c r="P99" s="69"/>
    </row>
    <row r="100" spans="2:16" x14ac:dyDescent="0.25">
      <c r="B100" s="63" t="str">
        <f t="shared" ref="B100:D100" si="74">B56</f>
        <v>Avista Corporation</v>
      </c>
      <c r="C100" s="65" t="str">
        <f t="shared" si="74"/>
        <v>AVA</v>
      </c>
      <c r="D100" s="66">
        <f t="shared" si="74"/>
        <v>1.84</v>
      </c>
      <c r="E100" s="66">
        <v>36.886974444444448</v>
      </c>
      <c r="F100" s="67">
        <f t="shared" si="61"/>
        <v>4.9882106833435962E-2</v>
      </c>
      <c r="G100" s="67">
        <f t="shared" si="62"/>
        <v>5.1361942669494565E-2</v>
      </c>
      <c r="H100" s="32">
        <f t="shared" ref="H100:J100" si="75">H56</f>
        <v>0.06</v>
      </c>
      <c r="I100" s="32">
        <f t="shared" si="75"/>
        <v>5.9000000000000004E-2</v>
      </c>
      <c r="J100" s="32">
        <f t="shared" si="75"/>
        <v>5.9000000000000004E-2</v>
      </c>
      <c r="K100" s="68">
        <f t="shared" si="64"/>
        <v>5.9333333333333328E-2</v>
      </c>
      <c r="L100" s="82">
        <f t="shared" si="65"/>
        <v>0.11035362898502232</v>
      </c>
      <c r="M100" s="67">
        <f t="shared" si="66"/>
        <v>0.11069527600282789</v>
      </c>
      <c r="N100" s="30">
        <f t="shared" si="67"/>
        <v>0.11137857003843904</v>
      </c>
      <c r="P100" s="69"/>
    </row>
    <row r="101" spans="2:16" x14ac:dyDescent="0.25">
      <c r="B101" s="63" t="str">
        <f t="shared" ref="B101:D101" si="76">B57</f>
        <v>Black Hills Corporation</v>
      </c>
      <c r="C101" s="65" t="str">
        <f t="shared" si="76"/>
        <v>BKH</v>
      </c>
      <c r="D101" s="66">
        <f t="shared" si="76"/>
        <v>2.5</v>
      </c>
      <c r="E101" s="66">
        <v>56.538277222222234</v>
      </c>
      <c r="F101" s="67">
        <f t="shared" si="61"/>
        <v>4.4217831225628168E-2</v>
      </c>
      <c r="G101" s="67">
        <f t="shared" si="62"/>
        <v>4.4792663031561326E-2</v>
      </c>
      <c r="H101" s="32">
        <f t="shared" ref="H101:J101" si="77">H57</f>
        <v>0.03</v>
      </c>
      <c r="I101" s="32" t="str">
        <f t="shared" si="77"/>
        <v>negative</v>
      </c>
      <c r="J101" s="32">
        <f t="shared" si="77"/>
        <v>2.2000000000000002E-2</v>
      </c>
      <c r="K101" s="68">
        <f t="shared" si="64"/>
        <v>2.6000000000000002E-2</v>
      </c>
      <c r="L101" s="82">
        <f t="shared" si="65"/>
        <v>6.6704227369110081E-2</v>
      </c>
      <c r="M101" s="67">
        <f t="shared" si="66"/>
        <v>7.0792663031561329E-2</v>
      </c>
      <c r="N101" s="30">
        <f t="shared" si="67"/>
        <v>7.4881098694012577E-2</v>
      </c>
      <c r="P101" s="69"/>
    </row>
    <row r="102" spans="2:16" x14ac:dyDescent="0.25">
      <c r="B102" s="63" t="str">
        <f t="shared" ref="B102:D102" si="78">B58</f>
        <v>CMS Energy Corporation</v>
      </c>
      <c r="C102" s="65" t="str">
        <f t="shared" si="78"/>
        <v>CMS</v>
      </c>
      <c r="D102" s="66">
        <f t="shared" si="78"/>
        <v>1.95</v>
      </c>
      <c r="E102" s="66">
        <v>57.379075555555509</v>
      </c>
      <c r="F102" s="67">
        <f t="shared" si="61"/>
        <v>3.3984514060565039E-2</v>
      </c>
      <c r="G102" s="67">
        <f t="shared" si="62"/>
        <v>3.5213620652422145E-2</v>
      </c>
      <c r="H102" s="32">
        <f t="shared" ref="H102:J102" si="79">H58</f>
        <v>6.5000000000000002E-2</v>
      </c>
      <c r="I102" s="32">
        <f t="shared" si="79"/>
        <v>7.6999999999999999E-2</v>
      </c>
      <c r="J102" s="32">
        <f t="shared" si="79"/>
        <v>7.4999999999999997E-2</v>
      </c>
      <c r="K102" s="68">
        <f t="shared" si="64"/>
        <v>7.2333333333333347E-2</v>
      </c>
      <c r="L102" s="82">
        <f t="shared" si="65"/>
        <v>0.1000890107675334</v>
      </c>
      <c r="M102" s="67">
        <f t="shared" si="66"/>
        <v>0.10754695398575549</v>
      </c>
      <c r="N102" s="30">
        <f t="shared" si="67"/>
        <v>0.1122929178518968</v>
      </c>
      <c r="P102" s="69"/>
    </row>
    <row r="103" spans="2:16" x14ac:dyDescent="0.25">
      <c r="B103" s="63" t="str">
        <f t="shared" ref="B103:D103" si="80">B59</f>
        <v>Duke Energy Corporation</v>
      </c>
      <c r="C103" s="65" t="str">
        <f t="shared" si="80"/>
        <v>DUK</v>
      </c>
      <c r="D103" s="66">
        <f t="shared" si="80"/>
        <v>4.0999999999999996</v>
      </c>
      <c r="E103" s="66">
        <v>90.32946333333328</v>
      </c>
      <c r="F103" s="67">
        <f t="shared" si="61"/>
        <v>4.538939841666282E-2</v>
      </c>
      <c r="G103" s="67">
        <f t="shared" si="62"/>
        <v>4.6724603220086314E-2</v>
      </c>
      <c r="H103" s="32">
        <f t="shared" ref="H103:J103" si="81">H59</f>
        <v>0.05</v>
      </c>
      <c r="I103" s="32">
        <f t="shared" si="81"/>
        <v>6.5500000000000003E-2</v>
      </c>
      <c r="J103" s="32">
        <f t="shared" si="81"/>
        <v>6.0999999999999999E-2</v>
      </c>
      <c r="K103" s="68">
        <f t="shared" si="64"/>
        <v>5.8833333333333328E-2</v>
      </c>
      <c r="L103" s="82">
        <f t="shared" si="65"/>
        <v>9.652413337707938E-2</v>
      </c>
      <c r="M103" s="67">
        <f t="shared" si="66"/>
        <v>0.10555793655341963</v>
      </c>
      <c r="N103" s="30">
        <f t="shared" si="67"/>
        <v>0.11237590121480853</v>
      </c>
      <c r="P103" s="69"/>
    </row>
    <row r="104" spans="2:16" x14ac:dyDescent="0.25">
      <c r="B104" s="63" t="str">
        <f t="shared" ref="B104:D104" si="82">B60</f>
        <v>Entergy Corporation</v>
      </c>
      <c r="C104" s="65" t="str">
        <f t="shared" si="82"/>
        <v>ETR</v>
      </c>
      <c r="D104" s="66">
        <f t="shared" si="82"/>
        <v>4.5199999999999996</v>
      </c>
      <c r="E104" s="66">
        <v>97.807494444444458</v>
      </c>
      <c r="F104" s="67">
        <f t="shared" si="61"/>
        <v>4.6213227582139943E-2</v>
      </c>
      <c r="G104" s="67">
        <f t="shared" si="62"/>
        <v>4.7591922205007117E-2</v>
      </c>
      <c r="H104" s="32">
        <f t="shared" ref="H104:J104" si="83">H60</f>
        <v>5.0000000000000001E-3</v>
      </c>
      <c r="I104" s="32">
        <f t="shared" si="83"/>
        <v>0.11</v>
      </c>
      <c r="J104" s="32">
        <f t="shared" si="83"/>
        <v>6.4000000000000001E-2</v>
      </c>
      <c r="K104" s="68">
        <f t="shared" si="64"/>
        <v>5.9666666666666666E-2</v>
      </c>
      <c r="L104" s="82">
        <f t="shared" si="65"/>
        <v>5.132876065109529E-2</v>
      </c>
      <c r="M104" s="67">
        <f t="shared" si="66"/>
        <v>0.10725858887167378</v>
      </c>
      <c r="N104" s="30">
        <f t="shared" si="67"/>
        <v>0.15875495509915763</v>
      </c>
      <c r="P104" s="69"/>
    </row>
    <row r="105" spans="2:16" x14ac:dyDescent="0.25">
      <c r="B105" s="63" t="str">
        <f t="shared" ref="B105:D105" si="84">B61</f>
        <v>Evergy, Inc.</v>
      </c>
      <c r="C105" s="65" t="str">
        <f t="shared" si="84"/>
        <v>EVRG</v>
      </c>
      <c r="D105" s="66">
        <f t="shared" si="84"/>
        <v>2.57</v>
      </c>
      <c r="E105" s="66">
        <v>55.279643333333304</v>
      </c>
      <c r="F105" s="67">
        <f t="shared" si="61"/>
        <v>4.6490893302314505E-2</v>
      </c>
      <c r="G105" s="67">
        <f t="shared" si="62"/>
        <v>4.7598926259353004E-2</v>
      </c>
      <c r="H105" s="32">
        <f t="shared" ref="H105:J105" si="85">H61</f>
        <v>7.4999999999999997E-2</v>
      </c>
      <c r="I105" s="32">
        <f t="shared" si="85"/>
        <v>2.5000000000000001E-2</v>
      </c>
      <c r="J105" s="32">
        <f t="shared" si="85"/>
        <v>4.2999999999999997E-2</v>
      </c>
      <c r="K105" s="68">
        <f t="shared" si="64"/>
        <v>4.766666666666667E-2</v>
      </c>
      <c r="L105" s="82">
        <f t="shared" si="65"/>
        <v>7.2072029468593438E-2</v>
      </c>
      <c r="M105" s="67">
        <f t="shared" si="66"/>
        <v>9.5265592926019674E-2</v>
      </c>
      <c r="N105" s="30">
        <f t="shared" si="67"/>
        <v>0.1232343018011513</v>
      </c>
      <c r="P105" s="69"/>
    </row>
    <row r="106" spans="2:16" x14ac:dyDescent="0.25">
      <c r="B106" s="63" t="str">
        <f t="shared" ref="B106:D106" si="86">B62</f>
        <v>IDACORP, Inc.</v>
      </c>
      <c r="C106" s="65" t="str">
        <f t="shared" si="86"/>
        <v>IDA</v>
      </c>
      <c r="D106" s="66">
        <f t="shared" si="86"/>
        <v>3.32</v>
      </c>
      <c r="E106" s="66">
        <v>100.2456105555556</v>
      </c>
      <c r="F106" s="67">
        <f t="shared" si="61"/>
        <v>3.3118657082347493E-2</v>
      </c>
      <c r="G106" s="67">
        <f t="shared" si="62"/>
        <v>3.3769990671633665E-2</v>
      </c>
      <c r="H106" s="32">
        <f t="shared" ref="H106:J106" si="87">H62</f>
        <v>0.04</v>
      </c>
      <c r="I106" s="32">
        <f t="shared" si="87"/>
        <v>3.7000000000000005E-2</v>
      </c>
      <c r="J106" s="32">
        <f t="shared" si="87"/>
        <v>4.0999999999999995E-2</v>
      </c>
      <c r="K106" s="68">
        <f t="shared" si="64"/>
        <v>3.9333333333333338E-2</v>
      </c>
      <c r="L106" s="82">
        <f t="shared" si="65"/>
        <v>7.0731352238370931E-2</v>
      </c>
      <c r="M106" s="67">
        <f t="shared" si="66"/>
        <v>7.3103324004966996E-2</v>
      </c>
      <c r="N106" s="30">
        <f t="shared" si="67"/>
        <v>7.4797589552535612E-2</v>
      </c>
      <c r="P106" s="69"/>
    </row>
    <row r="107" spans="2:16" x14ac:dyDescent="0.25">
      <c r="B107" s="63" t="str">
        <f t="shared" ref="B107:D107" si="88">B63</f>
        <v>MGE Energy, Inc.</v>
      </c>
      <c r="C107" s="65" t="str">
        <f t="shared" si="88"/>
        <v>MGEE</v>
      </c>
      <c r="D107" s="66">
        <f t="shared" si="88"/>
        <v>1.71</v>
      </c>
      <c r="E107" s="66">
        <v>74.467776111111093</v>
      </c>
      <c r="F107" s="67">
        <f t="shared" si="61"/>
        <v>2.2962952424530059E-2</v>
      </c>
      <c r="G107" s="67">
        <f t="shared" si="62"/>
        <v>2.3621223727366587E-2</v>
      </c>
      <c r="H107" s="32">
        <f t="shared" ref="H107:J107" si="89">H63</f>
        <v>6.5000000000000002E-2</v>
      </c>
      <c r="I107" s="32">
        <f t="shared" si="89"/>
        <v>5.4000000000000006E-2</v>
      </c>
      <c r="J107" s="32">
        <f t="shared" si="89"/>
        <v>5.2999999999999999E-2</v>
      </c>
      <c r="K107" s="68">
        <f t="shared" si="64"/>
        <v>5.733333333333334E-2</v>
      </c>
      <c r="L107" s="82">
        <f t="shared" si="65"/>
        <v>7.6571470663780103E-2</v>
      </c>
      <c r="M107" s="67">
        <f t="shared" si="66"/>
        <v>8.0954557060699928E-2</v>
      </c>
      <c r="N107" s="30">
        <f t="shared" si="67"/>
        <v>8.8709248378327291E-2</v>
      </c>
      <c r="P107" s="69"/>
    </row>
    <row r="108" spans="2:16" x14ac:dyDescent="0.25">
      <c r="B108" s="63" t="str">
        <f t="shared" ref="B108:D108" si="90">B64</f>
        <v>NextEra Energy, Inc.</v>
      </c>
      <c r="C108" s="65" t="str">
        <f t="shared" si="90"/>
        <v>NEE</v>
      </c>
      <c r="D108" s="66">
        <f t="shared" si="90"/>
        <v>1.87</v>
      </c>
      <c r="E108" s="66">
        <v>67.602638333333346</v>
      </c>
      <c r="F108" s="67">
        <f t="shared" si="61"/>
        <v>2.7661642298329427E-2</v>
      </c>
      <c r="G108" s="67">
        <f t="shared" si="62"/>
        <v>2.8853398054015787E-2</v>
      </c>
      <c r="H108" s="32">
        <f t="shared" ref="H108:J108" si="91">H64</f>
        <v>9.5000000000000001E-2</v>
      </c>
      <c r="I108" s="32">
        <f t="shared" si="91"/>
        <v>8.1500000000000003E-2</v>
      </c>
      <c r="J108" s="32">
        <f t="shared" si="91"/>
        <v>8.199999999999999E-2</v>
      </c>
      <c r="K108" s="68">
        <f t="shared" si="64"/>
        <v>8.6166666666666655E-2</v>
      </c>
      <c r="L108" s="82">
        <f t="shared" si="65"/>
        <v>0.11028885422198635</v>
      </c>
      <c r="M108" s="67">
        <f t="shared" si="66"/>
        <v>0.11502006472068244</v>
      </c>
      <c r="N108" s="30">
        <f t="shared" si="67"/>
        <v>0.12397557030750007</v>
      </c>
      <c r="P108" s="69"/>
    </row>
    <row r="109" spans="2:16" x14ac:dyDescent="0.25">
      <c r="B109" s="63" t="str">
        <f t="shared" ref="B109:D109" si="92">B65</f>
        <v>NorthWestern Corporation</v>
      </c>
      <c r="C109" s="65" t="str">
        <f t="shared" si="92"/>
        <v>NWE</v>
      </c>
      <c r="D109" s="66">
        <f t="shared" si="92"/>
        <v>2.56</v>
      </c>
      <c r="E109" s="66">
        <v>53.588117777777775</v>
      </c>
      <c r="F109" s="67">
        <f t="shared" si="61"/>
        <v>4.7771784234257902E-2</v>
      </c>
      <c r="G109" s="67">
        <f t="shared" si="62"/>
        <v>4.8789323238447597E-2</v>
      </c>
      <c r="H109" s="32">
        <f t="shared" ref="H109:J109" si="93">H65</f>
        <v>3.5000000000000003E-2</v>
      </c>
      <c r="I109" s="32">
        <f t="shared" si="93"/>
        <v>4.0800000000000003E-2</v>
      </c>
      <c r="J109" s="32">
        <f t="shared" si="93"/>
        <v>5.2000000000000005E-2</v>
      </c>
      <c r="K109" s="68">
        <f t="shared" si="64"/>
        <v>4.2600000000000006E-2</v>
      </c>
      <c r="L109" s="82">
        <f t="shared" si="65"/>
        <v>8.3607790458357423E-2</v>
      </c>
      <c r="M109" s="67">
        <f t="shared" si="66"/>
        <v>9.1389323238447603E-2</v>
      </c>
      <c r="N109" s="30">
        <f t="shared" si="67"/>
        <v>0.10101385062434862</v>
      </c>
      <c r="P109" s="69"/>
    </row>
    <row r="110" spans="2:16" x14ac:dyDescent="0.25">
      <c r="B110" s="63" t="str">
        <f t="shared" ref="B110:D110" si="94">B66</f>
        <v>OGE Energy Corporation</v>
      </c>
      <c r="C110" s="65" t="str">
        <f t="shared" si="94"/>
        <v>OGE</v>
      </c>
      <c r="D110" s="66">
        <f t="shared" si="94"/>
        <v>1.6728000000000001</v>
      </c>
      <c r="E110" s="66">
        <v>34.931777777777782</v>
      </c>
      <c r="F110" s="67">
        <f t="shared" si="61"/>
        <v>4.788762858397002E-2</v>
      </c>
      <c r="G110" s="67">
        <f t="shared" si="62"/>
        <v>4.9108763112861262E-2</v>
      </c>
      <c r="H110" s="32">
        <f t="shared" ref="H110:J110" si="95">H66</f>
        <v>6.5000000000000002E-2</v>
      </c>
      <c r="I110" s="32" t="str">
        <f t="shared" si="95"/>
        <v>negative</v>
      </c>
      <c r="J110" s="32">
        <f t="shared" si="95"/>
        <v>3.7000000000000005E-2</v>
      </c>
      <c r="K110" s="68">
        <f t="shared" si="64"/>
        <v>5.1000000000000004E-2</v>
      </c>
      <c r="L110" s="82">
        <f t="shared" si="65"/>
        <v>8.577354971277347E-2</v>
      </c>
      <c r="M110" s="67">
        <f t="shared" si="66"/>
        <v>0.10010876311286127</v>
      </c>
      <c r="N110" s="30">
        <f t="shared" si="67"/>
        <v>0.11444397651294905</v>
      </c>
      <c r="P110" s="69"/>
    </row>
    <row r="111" spans="2:16" x14ac:dyDescent="0.25">
      <c r="B111" s="63" t="str">
        <f t="shared" ref="B111:D111" si="96">B67</f>
        <v>Pinnacle West Capital Corporation</v>
      </c>
      <c r="C111" s="65" t="str">
        <f t="shared" si="96"/>
        <v>PNW</v>
      </c>
      <c r="D111" s="66">
        <f t="shared" si="96"/>
        <v>3.52</v>
      </c>
      <c r="E111" s="66">
        <v>76.587066666666658</v>
      </c>
      <c r="F111" s="67">
        <f t="shared" si="61"/>
        <v>4.5960762739748924E-2</v>
      </c>
      <c r="G111" s="67">
        <f t="shared" si="62"/>
        <v>4.7056160918379608E-2</v>
      </c>
      <c r="H111" s="32">
        <f t="shared" ref="H111:J111" si="97">H67</f>
        <v>2.5000000000000001E-2</v>
      </c>
      <c r="I111" s="32">
        <f t="shared" si="97"/>
        <v>5.9000000000000004E-2</v>
      </c>
      <c r="J111" s="32">
        <f t="shared" si="97"/>
        <v>5.9000000000000004E-2</v>
      </c>
      <c r="K111" s="68">
        <f t="shared" si="64"/>
        <v>4.766666666666667E-2</v>
      </c>
      <c r="L111" s="82">
        <f t="shared" si="65"/>
        <v>7.1535272273995781E-2</v>
      </c>
      <c r="M111" s="67">
        <f t="shared" si="66"/>
        <v>9.4722827585046271E-2</v>
      </c>
      <c r="N111" s="30">
        <f t="shared" si="67"/>
        <v>0.10631660524057152</v>
      </c>
      <c r="P111" s="69"/>
    </row>
    <row r="112" spans="2:16" x14ac:dyDescent="0.25">
      <c r="B112" s="63" t="str">
        <f t="shared" ref="B112:D112" si="98">B68</f>
        <v>Portland General Electric Company</v>
      </c>
      <c r="C112" s="65" t="str">
        <f t="shared" si="98"/>
        <v>POR</v>
      </c>
      <c r="D112" s="66">
        <f t="shared" si="98"/>
        <v>1.9</v>
      </c>
      <c r="E112" s="66">
        <v>45.24905833333333</v>
      </c>
      <c r="F112" s="67">
        <f t="shared" si="61"/>
        <v>4.1989824097628553E-2</v>
      </c>
      <c r="G112" s="67">
        <f t="shared" si="62"/>
        <v>4.3081559524166896E-2</v>
      </c>
      <c r="H112" s="32">
        <f t="shared" ref="H112:J112" si="99">H68</f>
        <v>0.05</v>
      </c>
      <c r="I112" s="32">
        <f t="shared" si="99"/>
        <v>4.5999999999999999E-2</v>
      </c>
      <c r="J112" s="32">
        <f t="shared" si="99"/>
        <v>0.06</v>
      </c>
      <c r="K112" s="68">
        <f t="shared" si="64"/>
        <v>5.1999999999999998E-2</v>
      </c>
      <c r="L112" s="82">
        <f t="shared" si="65"/>
        <v>8.8955590051874006E-2</v>
      </c>
      <c r="M112" s="67">
        <f t="shared" si="66"/>
        <v>9.5081559524166886E-2</v>
      </c>
      <c r="N112" s="30">
        <f t="shared" si="67"/>
        <v>0.10324951882055741</v>
      </c>
      <c r="P112" s="69"/>
    </row>
    <row r="113" spans="2:16" x14ac:dyDescent="0.25">
      <c r="B113" s="63" t="str">
        <f t="shared" ref="B113:D113" si="100">B69</f>
        <v>Southern Company</v>
      </c>
      <c r="C113" s="65" t="str">
        <f t="shared" si="100"/>
        <v>SO</v>
      </c>
      <c r="D113" s="66">
        <f t="shared" si="100"/>
        <v>2.8</v>
      </c>
      <c r="E113" s="66">
        <v>68.467431111111111</v>
      </c>
      <c r="F113" s="67">
        <f t="shared" si="61"/>
        <v>4.0895356442628483E-2</v>
      </c>
      <c r="G113" s="67">
        <f t="shared" si="62"/>
        <v>4.2094953564945588E-2</v>
      </c>
      <c r="H113" s="32">
        <f t="shared" ref="H113:J113" si="101">H69</f>
        <v>6.5000000000000002E-2</v>
      </c>
      <c r="I113" s="32">
        <f t="shared" si="101"/>
        <v>7.0999999999999994E-2</v>
      </c>
      <c r="J113" s="32">
        <f t="shared" si="101"/>
        <v>0.04</v>
      </c>
      <c r="K113" s="68">
        <f t="shared" si="64"/>
        <v>5.8666666666666673E-2</v>
      </c>
      <c r="L113" s="82">
        <f t="shared" si="65"/>
        <v>8.1713263571481051E-2</v>
      </c>
      <c r="M113" s="67">
        <f t="shared" si="66"/>
        <v>0.10076162023161225</v>
      </c>
      <c r="N113" s="30">
        <f t="shared" si="67"/>
        <v>0.11334714159634179</v>
      </c>
      <c r="P113" s="69"/>
    </row>
    <row r="114" spans="2:16" x14ac:dyDescent="0.25">
      <c r="B114" s="63" t="str">
        <f t="shared" ref="B114:D114" si="102">B70</f>
        <v>Wisconsin Energy Corporation</v>
      </c>
      <c r="C114" s="65" t="str">
        <f t="shared" si="102"/>
        <v>WEC</v>
      </c>
      <c r="D114" s="66">
        <f t="shared" si="102"/>
        <v>3.12</v>
      </c>
      <c r="E114" s="66">
        <v>86.532306111111168</v>
      </c>
      <c r="F114" s="67">
        <f t="shared" si="61"/>
        <v>3.6055897967098981E-2</v>
      </c>
      <c r="G114" s="67">
        <f t="shared" si="62"/>
        <v>3.7119546957128401E-2</v>
      </c>
      <c r="H114" s="32">
        <f t="shared" ref="H114:J114" si="103">H70</f>
        <v>0.06</v>
      </c>
      <c r="I114" s="32">
        <f t="shared" si="103"/>
        <v>5.7999999999999996E-2</v>
      </c>
      <c r="J114" s="32">
        <f t="shared" si="103"/>
        <v>5.9000000000000004E-2</v>
      </c>
      <c r="K114" s="68">
        <f t="shared" si="64"/>
        <v>5.8999999999999997E-2</v>
      </c>
      <c r="L114" s="82">
        <f t="shared" si="65"/>
        <v>9.5101519008144841E-2</v>
      </c>
      <c r="M114" s="67">
        <f t="shared" si="66"/>
        <v>9.6119546957128404E-2</v>
      </c>
      <c r="N114" s="30">
        <f t="shared" si="67"/>
        <v>9.713757490611194E-2</v>
      </c>
      <c r="P114" s="69"/>
    </row>
    <row r="115" spans="2:16" x14ac:dyDescent="0.25">
      <c r="B115" s="63" t="str">
        <f t="shared" ref="B115:D115" si="104">B71</f>
        <v>Xcel Energy Inc.</v>
      </c>
      <c r="C115" s="65" t="str">
        <f t="shared" si="104"/>
        <v>XEL</v>
      </c>
      <c r="D115" s="66">
        <f t="shared" si="104"/>
        <v>2.08</v>
      </c>
      <c r="E115" s="66">
        <v>61.977681666666662</v>
      </c>
      <c r="F115" s="67">
        <f t="shared" si="61"/>
        <v>3.3560467963077788E-2</v>
      </c>
      <c r="G115" s="67">
        <f t="shared" si="62"/>
        <v>3.461762270391474E-2</v>
      </c>
      <c r="H115" s="32">
        <f t="shared" ref="H115:J115" si="105">H71</f>
        <v>0.06</v>
      </c>
      <c r="I115" s="32">
        <f t="shared" si="105"/>
        <v>6.8000000000000005E-2</v>
      </c>
      <c r="J115" s="32">
        <f t="shared" si="105"/>
        <v>6.0999999999999999E-2</v>
      </c>
      <c r="K115" s="68">
        <f t="shared" si="64"/>
        <v>6.3E-2</v>
      </c>
      <c r="L115" s="82">
        <f t="shared" si="65"/>
        <v>9.4567282001970121E-2</v>
      </c>
      <c r="M115" s="67">
        <f t="shared" si="66"/>
        <v>9.7617622703914747E-2</v>
      </c>
      <c r="N115" s="30">
        <f t="shared" si="67"/>
        <v>0.10270152387382245</v>
      </c>
      <c r="P115" s="69"/>
    </row>
    <row r="116" spans="2:16" x14ac:dyDescent="0.25">
      <c r="B116" s="83"/>
      <c r="C116" s="84"/>
      <c r="D116" s="70"/>
      <c r="E116" s="70"/>
      <c r="F116" s="70"/>
      <c r="G116" s="70"/>
      <c r="H116" s="85"/>
      <c r="I116" s="85"/>
      <c r="J116" s="85"/>
      <c r="K116" s="71"/>
      <c r="L116" s="72"/>
      <c r="M116" s="72"/>
      <c r="N116" s="72"/>
    </row>
    <row r="117" spans="2:16" x14ac:dyDescent="0.25">
      <c r="B117" s="73" t="s">
        <v>5</v>
      </c>
      <c r="C117" s="74"/>
      <c r="D117" s="75"/>
      <c r="E117" s="75"/>
      <c r="F117" s="76">
        <f>AVERAGE(F95:F115)</f>
        <v>3.9953118806549427E-2</v>
      </c>
      <c r="G117" s="76">
        <f t="shared" ref="G117:N117" si="106">AVERAGE(G95:G115)</f>
        <v>4.1091836076734237E-2</v>
      </c>
      <c r="H117" s="76">
        <f t="shared" si="106"/>
        <v>5.6904761904761916E-2</v>
      </c>
      <c r="I117" s="76">
        <f t="shared" si="106"/>
        <v>6.2173684210526339E-2</v>
      </c>
      <c r="J117" s="76">
        <f t="shared" si="106"/>
        <v>5.7047619047619055E-2</v>
      </c>
      <c r="K117" s="76">
        <f t="shared" si="106"/>
        <v>5.7957142857142853E-2</v>
      </c>
      <c r="L117" s="76">
        <f t="shared" si="106"/>
        <v>8.8121592149590047E-2</v>
      </c>
      <c r="M117" s="76">
        <f t="shared" si="106"/>
        <v>9.9048978933877083E-2</v>
      </c>
      <c r="N117" s="76">
        <f t="shared" si="106"/>
        <v>0.10925755942431137</v>
      </c>
    </row>
    <row r="118" spans="2:16" x14ac:dyDescent="0.25">
      <c r="B118" s="63" t="s">
        <v>14</v>
      </c>
      <c r="F118" s="77">
        <f>MEDIAN(F95:F115)</f>
        <v>4.1989824097628553E-2</v>
      </c>
      <c r="G118" s="77">
        <f t="shared" ref="G118:N118" si="107">MEDIAN(G95:G115)</f>
        <v>4.3081559524166896E-2</v>
      </c>
      <c r="H118" s="77">
        <f t="shared" si="107"/>
        <v>0.06</v>
      </c>
      <c r="I118" s="77">
        <f t="shared" si="107"/>
        <v>6.2E-2</v>
      </c>
      <c r="J118" s="77">
        <f t="shared" si="107"/>
        <v>5.9000000000000004E-2</v>
      </c>
      <c r="K118" s="77">
        <f t="shared" si="107"/>
        <v>5.8833333333333328E-2</v>
      </c>
      <c r="L118" s="77">
        <f t="shared" si="107"/>
        <v>8.8955590051874006E-2</v>
      </c>
      <c r="M118" s="77">
        <f t="shared" si="107"/>
        <v>9.7617622703914747E-2</v>
      </c>
      <c r="N118" s="77">
        <f t="shared" si="107"/>
        <v>0.10958232954284396</v>
      </c>
    </row>
    <row r="120" spans="2:16" x14ac:dyDescent="0.25">
      <c r="B120" s="78" t="s">
        <v>104</v>
      </c>
    </row>
    <row r="121" spans="2:16" x14ac:dyDescent="0.25">
      <c r="B121" s="79" t="s">
        <v>105</v>
      </c>
    </row>
    <row r="122" spans="2:16" x14ac:dyDescent="0.25">
      <c r="B122" s="79" t="s">
        <v>141</v>
      </c>
    </row>
    <row r="123" spans="2:16" x14ac:dyDescent="0.25">
      <c r="B123" s="64" t="s">
        <v>129</v>
      </c>
    </row>
    <row r="124" spans="2:16" x14ac:dyDescent="0.25">
      <c r="B124" s="64" t="s">
        <v>130</v>
      </c>
    </row>
    <row r="125" spans="2:16" x14ac:dyDescent="0.25">
      <c r="B125" s="64" t="s">
        <v>131</v>
      </c>
    </row>
    <row r="126" spans="2:16" x14ac:dyDescent="0.25">
      <c r="B126" s="64" t="s">
        <v>132</v>
      </c>
    </row>
    <row r="127" spans="2:16" x14ac:dyDescent="0.25">
      <c r="B127" s="64" t="s">
        <v>133</v>
      </c>
    </row>
    <row r="128" spans="2:16" x14ac:dyDescent="0.25">
      <c r="B128" s="1" t="s">
        <v>134</v>
      </c>
    </row>
    <row r="129" spans="2:2" x14ac:dyDescent="0.25">
      <c r="B129" s="1" t="s">
        <v>135</v>
      </c>
    </row>
    <row r="130" spans="2:2" x14ac:dyDescent="0.25">
      <c r="B130" s="81" t="s">
        <v>136</v>
      </c>
    </row>
    <row r="131" spans="2:2" x14ac:dyDescent="0.25">
      <c r="B131" s="1" t="s">
        <v>137</v>
      </c>
    </row>
    <row r="132" spans="2:2" x14ac:dyDescent="0.25">
      <c r="B132" s="79"/>
    </row>
    <row r="133" spans="2:2" x14ac:dyDescent="0.25">
      <c r="B133" s="79"/>
    </row>
  </sheetData>
  <mergeCells count="3">
    <mergeCell ref="B2:N2"/>
    <mergeCell ref="B46:N46"/>
    <mergeCell ref="B90:N90"/>
  </mergeCells>
  <pageMargins left="0.7" right="0.7" top="1.25" bottom="0.75" header="0.3" footer="0.3"/>
  <pageSetup scale="63" orientation="landscape" useFirstPageNumber="1" horizontalDpi="300" verticalDpi="300" r:id="rId1"/>
  <headerFooter scaleWithDoc="0">
    <oddFooter>&amp;L&amp;"Times New Roman,Bold"&amp;12&amp;KFF0000Draft- Privileged and Confidential&amp;R&amp;"Times New Roman,Regular"&amp;12Exhibit AEB-5
Page &amp;P of &amp;N</oddFooter>
  </headerFooter>
  <rowBreaks count="2" manualBreakCount="2">
    <brk id="44" min="1" max="13" man="1"/>
    <brk id="88" min="1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K359"/>
  <sheetViews>
    <sheetView view="pageBreakPreview" zoomScaleNormal="90" zoomScaleSheetLayoutView="100" zoomScalePageLayoutView="90" workbookViewId="0"/>
  </sheetViews>
  <sheetFormatPr defaultColWidth="9" defaultRowHeight="13.2" x14ac:dyDescent="0.25"/>
  <cols>
    <col min="1" max="1" width="36" style="86" customWidth="1"/>
    <col min="2" max="2" width="9" style="87"/>
    <col min="3" max="3" width="20.44140625" style="87" customWidth="1"/>
    <col min="4" max="4" width="9.109375" style="86" bestFit="1" customWidth="1"/>
    <col min="5" max="5" width="9" style="86"/>
    <col min="6" max="6" width="9.44140625" style="86" customWidth="1"/>
    <col min="7" max="10" width="9" style="86"/>
    <col min="11" max="11" width="15.6640625" style="86" customWidth="1"/>
    <col min="12" max="16384" width="9" style="86"/>
  </cols>
  <sheetData>
    <row r="2" spans="1:11" ht="13.5" customHeight="1" x14ac:dyDescent="0.25">
      <c r="A2" s="385" t="s">
        <v>142</v>
      </c>
      <c r="B2" s="385"/>
      <c r="C2" s="385"/>
      <c r="D2" s="385"/>
      <c r="E2" s="385"/>
      <c r="F2" s="385"/>
      <c r="G2" s="385"/>
      <c r="H2" s="385"/>
    </row>
    <row r="4" spans="1:11" x14ac:dyDescent="0.25">
      <c r="A4" s="385" t="s">
        <v>143</v>
      </c>
      <c r="B4" s="385"/>
      <c r="C4" s="385"/>
      <c r="D4" s="385"/>
      <c r="E4" s="385"/>
      <c r="F4" s="385"/>
      <c r="G4" s="385"/>
      <c r="H4" s="385"/>
    </row>
    <row r="5" spans="1:11" x14ac:dyDescent="0.25">
      <c r="A5" s="385" t="s">
        <v>144</v>
      </c>
      <c r="B5" s="385"/>
      <c r="C5" s="385"/>
      <c r="D5" s="385"/>
      <c r="E5" s="385"/>
      <c r="F5" s="385"/>
      <c r="G5" s="385"/>
      <c r="H5" s="385"/>
    </row>
    <row r="7" spans="1:11" ht="13.8" thickBot="1" x14ac:dyDescent="0.3">
      <c r="C7" s="87" t="s">
        <v>38</v>
      </c>
      <c r="D7" s="87" t="s">
        <v>39</v>
      </c>
      <c r="E7" s="87" t="s">
        <v>40</v>
      </c>
      <c r="F7" s="87" t="s">
        <v>41</v>
      </c>
      <c r="G7" s="87" t="s">
        <v>42</v>
      </c>
      <c r="H7" s="87" t="s">
        <v>43</v>
      </c>
    </row>
    <row r="8" spans="1:11" ht="52.8" x14ac:dyDescent="0.25">
      <c r="A8" s="88" t="s">
        <v>46</v>
      </c>
      <c r="B8" s="89" t="s">
        <v>47</v>
      </c>
      <c r="C8" s="90" t="s">
        <v>145</v>
      </c>
      <c r="D8" s="90" t="s">
        <v>146</v>
      </c>
      <c r="E8" s="90" t="s">
        <v>147</v>
      </c>
      <c r="F8" s="90" t="s">
        <v>148</v>
      </c>
      <c r="G8" s="91" t="s">
        <v>149</v>
      </c>
      <c r="H8" s="91" t="s">
        <v>150</v>
      </c>
    </row>
    <row r="9" spans="1:11" x14ac:dyDescent="0.25">
      <c r="A9" s="92" t="str">
        <f>'AEB-4 Proxy Selection'!A6</f>
        <v>NiSource Inc.</v>
      </c>
      <c r="B9" s="87" t="str">
        <f>'AEB-4 Proxy Selection'!B6</f>
        <v>NI</v>
      </c>
      <c r="C9" s="93">
        <f>'AEB-9 Risk Premium (Electric)'!$I$47</f>
        <v>4.7746666666666673E-2</v>
      </c>
      <c r="D9" s="94">
        <v>0.9</v>
      </c>
      <c r="E9" s="95">
        <f>'AEB-8 Market Return'!$C$9</f>
        <v>0.12556998267980807</v>
      </c>
      <c r="F9" s="96">
        <f>E9-C9</f>
        <v>7.7823316013141394E-2</v>
      </c>
      <c r="G9" s="96">
        <f>IFERROR(F9*D9+C9, "")</f>
        <v>0.11778765107849393</v>
      </c>
      <c r="H9" s="96">
        <f>IFERROR((0.25*F9)+(0.75*D9*F9)+C9, "")</f>
        <v>0.11973323397882246</v>
      </c>
      <c r="K9" s="69"/>
    </row>
    <row r="10" spans="1:11" x14ac:dyDescent="0.25">
      <c r="A10" s="92" t="str">
        <f>'AEB-4 Proxy Selection'!A7</f>
        <v>ALLETE, Inc.</v>
      </c>
      <c r="B10" s="87" t="str">
        <f>'AEB-4 Proxy Selection'!B7</f>
        <v>ALE</v>
      </c>
      <c r="C10" s="93">
        <f>'AEB-9 Risk Premium (Electric)'!$I$47</f>
        <v>4.7746666666666673E-2</v>
      </c>
      <c r="D10" s="97">
        <v>0.9</v>
      </c>
      <c r="E10" s="95">
        <f>'AEB-8 Market Return'!$C$9</f>
        <v>0.12556998267980807</v>
      </c>
      <c r="F10" s="96">
        <f t="shared" ref="F10:F29" si="0">E10-C10</f>
        <v>7.7823316013141394E-2</v>
      </c>
      <c r="G10" s="96">
        <f t="shared" ref="G10:G29" si="1">IFERROR(F10*D10+C10, "")</f>
        <v>0.11778765107849393</v>
      </c>
      <c r="H10" s="96">
        <f t="shared" ref="H10:H29" si="2">IFERROR((0.25*F10)+(0.75*D10*F10)+C10, "")</f>
        <v>0.11973323397882246</v>
      </c>
      <c r="K10" s="69"/>
    </row>
    <row r="11" spans="1:11" x14ac:dyDescent="0.25">
      <c r="A11" s="92" t="str">
        <f>'AEB-4 Proxy Selection'!A8</f>
        <v>Alliant Energy Corporation</v>
      </c>
      <c r="B11" s="87" t="str">
        <f>'AEB-4 Proxy Selection'!B8</f>
        <v>LNT</v>
      </c>
      <c r="C11" s="93">
        <f>'AEB-9 Risk Premium (Electric)'!$I$47</f>
        <v>4.7746666666666673E-2</v>
      </c>
      <c r="D11" s="97">
        <v>0.85</v>
      </c>
      <c r="E11" s="95">
        <f>'AEB-8 Market Return'!$C$9</f>
        <v>0.12556998267980807</v>
      </c>
      <c r="F11" s="96">
        <f t="shared" si="0"/>
        <v>7.7823316013141394E-2</v>
      </c>
      <c r="G11" s="96">
        <f t="shared" si="1"/>
        <v>0.11389648527783686</v>
      </c>
      <c r="H11" s="96">
        <f t="shared" si="2"/>
        <v>0.11681485962832966</v>
      </c>
      <c r="K11" s="69"/>
    </row>
    <row r="12" spans="1:11" ht="14.4" x14ac:dyDescent="0.3">
      <c r="A12" s="92" t="str">
        <f>'AEB-4 Proxy Selection'!A9</f>
        <v>Ameren Corporation</v>
      </c>
      <c r="B12" s="87" t="str">
        <f>'AEB-4 Proxy Selection'!B9</f>
        <v>AEE</v>
      </c>
      <c r="C12" s="93">
        <f>'AEB-9 Risk Premium (Electric)'!$I$47</f>
        <v>4.7746666666666673E-2</v>
      </c>
      <c r="D12" s="97">
        <v>0.85</v>
      </c>
      <c r="E12" s="95">
        <f>'AEB-8 Market Return'!$C$9</f>
        <v>0.12556998267980807</v>
      </c>
      <c r="F12" s="96">
        <f t="shared" si="0"/>
        <v>7.7823316013141394E-2</v>
      </c>
      <c r="G12" s="96">
        <f t="shared" si="1"/>
        <v>0.11389648527783686</v>
      </c>
      <c r="H12" s="96">
        <f t="shared" si="2"/>
        <v>0.11681485962832966</v>
      </c>
      <c r="K12"/>
    </row>
    <row r="13" spans="1:11" ht="14.4" x14ac:dyDescent="0.3">
      <c r="A13" s="92" t="str">
        <f>'AEB-4 Proxy Selection'!A10</f>
        <v>American Electric Power Company, Inc.</v>
      </c>
      <c r="B13" s="87" t="str">
        <f>'AEB-4 Proxy Selection'!B10</f>
        <v>AEP</v>
      </c>
      <c r="C13" s="93">
        <f>'AEB-9 Risk Premium (Electric)'!$I$47</f>
        <v>4.7746666666666673E-2</v>
      </c>
      <c r="D13" s="97">
        <v>0.8</v>
      </c>
      <c r="E13" s="95">
        <f>'AEB-8 Market Return'!$C$9</f>
        <v>0.12556998267980807</v>
      </c>
      <c r="F13" s="96">
        <f t="shared" si="0"/>
        <v>7.7823316013141394E-2</v>
      </c>
      <c r="G13" s="96">
        <f t="shared" si="1"/>
        <v>0.11000531947717979</v>
      </c>
      <c r="H13" s="96">
        <f t="shared" si="2"/>
        <v>0.11389648527783687</v>
      </c>
      <c r="K13"/>
    </row>
    <row r="14" spans="1:11" ht="14.4" x14ac:dyDescent="0.3">
      <c r="A14" s="92" t="str">
        <f>'AEB-4 Proxy Selection'!A11</f>
        <v>Avista Corporation</v>
      </c>
      <c r="B14" s="87" t="str">
        <f>'AEB-4 Proxy Selection'!B11</f>
        <v>AVA</v>
      </c>
      <c r="C14" s="93">
        <f>'AEB-9 Risk Premium (Electric)'!$I$47</f>
        <v>4.7746666666666673E-2</v>
      </c>
      <c r="D14" s="97">
        <v>0.9</v>
      </c>
      <c r="E14" s="95">
        <f>'AEB-8 Market Return'!$C$9</f>
        <v>0.12556998267980807</v>
      </c>
      <c r="F14" s="96">
        <f t="shared" si="0"/>
        <v>7.7823316013141394E-2</v>
      </c>
      <c r="G14" s="96">
        <f t="shared" si="1"/>
        <v>0.11778765107849393</v>
      </c>
      <c r="H14" s="96">
        <f t="shared" si="2"/>
        <v>0.11973323397882246</v>
      </c>
      <c r="K14"/>
    </row>
    <row r="15" spans="1:11" ht="14.4" x14ac:dyDescent="0.3">
      <c r="A15" s="92" t="str">
        <f>'AEB-4 Proxy Selection'!A12</f>
        <v>Black Hills Corporation</v>
      </c>
      <c r="B15" s="87" t="str">
        <f>'AEB-4 Proxy Selection'!B12</f>
        <v>BKH</v>
      </c>
      <c r="C15" s="93">
        <f>'AEB-9 Risk Premium (Electric)'!$I$47</f>
        <v>4.7746666666666673E-2</v>
      </c>
      <c r="D15" s="97">
        <v>1</v>
      </c>
      <c r="E15" s="95">
        <f>'AEB-8 Market Return'!$C$9</f>
        <v>0.12556998267980807</v>
      </c>
      <c r="F15" s="96">
        <f t="shared" si="0"/>
        <v>7.7823316013141394E-2</v>
      </c>
      <c r="G15" s="96">
        <f t="shared" si="1"/>
        <v>0.12556998267980807</v>
      </c>
      <c r="H15" s="96">
        <f t="shared" si="2"/>
        <v>0.12556998267980807</v>
      </c>
      <c r="K15"/>
    </row>
    <row r="16" spans="1:11" ht="14.4" x14ac:dyDescent="0.3">
      <c r="A16" s="92" t="str">
        <f>'AEB-4 Proxy Selection'!A13</f>
        <v>CMS Energy Corporation</v>
      </c>
      <c r="B16" s="87" t="str">
        <f>'AEB-4 Proxy Selection'!B13</f>
        <v>CMS</v>
      </c>
      <c r="C16" s="93">
        <f>'AEB-9 Risk Premium (Electric)'!$I$47</f>
        <v>4.7746666666666673E-2</v>
      </c>
      <c r="D16" s="97">
        <v>0.8</v>
      </c>
      <c r="E16" s="95">
        <f>'AEB-8 Market Return'!$C$9</f>
        <v>0.12556998267980807</v>
      </c>
      <c r="F16" s="96">
        <f t="shared" si="0"/>
        <v>7.7823316013141394E-2</v>
      </c>
      <c r="G16" s="96">
        <f t="shared" si="1"/>
        <v>0.11000531947717979</v>
      </c>
      <c r="H16" s="96">
        <f t="shared" si="2"/>
        <v>0.11389648527783687</v>
      </c>
      <c r="K16"/>
    </row>
    <row r="17" spans="1:11" ht="14.4" x14ac:dyDescent="0.3">
      <c r="A17" s="92" t="str">
        <f>'AEB-4 Proxy Selection'!A14</f>
        <v>Duke Energy Corporation</v>
      </c>
      <c r="B17" s="87" t="str">
        <f>'AEB-4 Proxy Selection'!B14</f>
        <v>DUK</v>
      </c>
      <c r="C17" s="93">
        <f>'AEB-9 Risk Premium (Electric)'!$I$47</f>
        <v>4.7746666666666673E-2</v>
      </c>
      <c r="D17" s="97">
        <v>0.85</v>
      </c>
      <c r="E17" s="95">
        <f>'AEB-8 Market Return'!$C$9</f>
        <v>0.12556998267980807</v>
      </c>
      <c r="F17" s="96">
        <f t="shared" si="0"/>
        <v>7.7823316013141394E-2</v>
      </c>
      <c r="G17" s="96">
        <f t="shared" si="1"/>
        <v>0.11389648527783686</v>
      </c>
      <c r="H17" s="96">
        <f t="shared" si="2"/>
        <v>0.11681485962832966</v>
      </c>
      <c r="K17"/>
    </row>
    <row r="18" spans="1:11" x14ac:dyDescent="0.25">
      <c r="A18" s="92" t="str">
        <f>'AEB-4 Proxy Selection'!A15</f>
        <v>Entergy Corporation</v>
      </c>
      <c r="B18" s="87" t="str">
        <f>'AEB-4 Proxy Selection'!B15</f>
        <v>ETR</v>
      </c>
      <c r="C18" s="93">
        <f>'AEB-9 Risk Premium (Electric)'!$I$47</f>
        <v>4.7746666666666673E-2</v>
      </c>
      <c r="D18" s="97">
        <v>0.95</v>
      </c>
      <c r="E18" s="95">
        <f>'AEB-8 Market Return'!$C$9</f>
        <v>0.12556998267980807</v>
      </c>
      <c r="F18" s="96">
        <f t="shared" si="0"/>
        <v>7.7823316013141394E-2</v>
      </c>
      <c r="G18" s="96">
        <f t="shared" si="1"/>
        <v>0.121678816879151</v>
      </c>
      <c r="H18" s="96">
        <f t="shared" si="2"/>
        <v>0.12265160832931526</v>
      </c>
      <c r="K18" s="69"/>
    </row>
    <row r="19" spans="1:11" x14ac:dyDescent="0.25">
      <c r="A19" s="92" t="str">
        <f>'AEB-4 Proxy Selection'!A16</f>
        <v>Evergy, Inc.</v>
      </c>
      <c r="B19" s="87" t="str">
        <f>'AEB-4 Proxy Selection'!B16</f>
        <v>EVRG</v>
      </c>
      <c r="C19" s="93">
        <f>'AEB-9 Risk Premium (Electric)'!$I$47</f>
        <v>4.7746666666666673E-2</v>
      </c>
      <c r="D19" s="97">
        <v>0.9</v>
      </c>
      <c r="E19" s="95">
        <f>'AEB-8 Market Return'!$C$9</f>
        <v>0.12556998267980807</v>
      </c>
      <c r="F19" s="96">
        <f t="shared" si="0"/>
        <v>7.7823316013141394E-2</v>
      </c>
      <c r="G19" s="96">
        <f t="shared" si="1"/>
        <v>0.11778765107849393</v>
      </c>
      <c r="H19" s="96">
        <f t="shared" si="2"/>
        <v>0.11973323397882246</v>
      </c>
      <c r="K19" s="69"/>
    </row>
    <row r="20" spans="1:11" x14ac:dyDescent="0.25">
      <c r="A20" s="92" t="str">
        <f>'AEB-4 Proxy Selection'!A17</f>
        <v>IDACORP, Inc.</v>
      </c>
      <c r="B20" s="87" t="str">
        <f>'AEB-4 Proxy Selection'!B17</f>
        <v>IDA</v>
      </c>
      <c r="C20" s="93">
        <f>'AEB-9 Risk Premium (Electric)'!$I$47</f>
        <v>4.7746666666666673E-2</v>
      </c>
      <c r="D20" s="97">
        <v>0.85</v>
      </c>
      <c r="E20" s="95">
        <f>'AEB-8 Market Return'!$C$9</f>
        <v>0.12556998267980807</v>
      </c>
      <c r="F20" s="96">
        <f t="shared" si="0"/>
        <v>7.7823316013141394E-2</v>
      </c>
      <c r="G20" s="96">
        <f t="shared" si="1"/>
        <v>0.11389648527783686</v>
      </c>
      <c r="H20" s="96">
        <f t="shared" si="2"/>
        <v>0.11681485962832966</v>
      </c>
      <c r="K20" s="69"/>
    </row>
    <row r="21" spans="1:11" x14ac:dyDescent="0.25">
      <c r="A21" s="92" t="str">
        <f>'AEB-4 Proxy Selection'!A18</f>
        <v>MGE Energy, Inc.</v>
      </c>
      <c r="B21" s="87" t="str">
        <f>'AEB-4 Proxy Selection'!B18</f>
        <v>MGEE</v>
      </c>
      <c r="C21" s="93">
        <f>'AEB-9 Risk Premium (Electric)'!$I$47</f>
        <v>4.7746666666666673E-2</v>
      </c>
      <c r="D21" s="97">
        <v>0.75</v>
      </c>
      <c r="E21" s="95">
        <f>'AEB-8 Market Return'!$C$9</f>
        <v>0.12556998267980807</v>
      </c>
      <c r="F21" s="96">
        <f t="shared" si="0"/>
        <v>7.7823316013141394E-2</v>
      </c>
      <c r="G21" s="96">
        <f t="shared" si="1"/>
        <v>0.10611415367652272</v>
      </c>
      <c r="H21" s="96">
        <f t="shared" si="2"/>
        <v>0.11097811092734405</v>
      </c>
      <c r="K21" s="69"/>
    </row>
    <row r="22" spans="1:11" x14ac:dyDescent="0.25">
      <c r="A22" s="92" t="str">
        <f>'AEB-4 Proxy Selection'!A19</f>
        <v>NextEra Energy, Inc.</v>
      </c>
      <c r="B22" s="87" t="str">
        <f>'AEB-4 Proxy Selection'!B19</f>
        <v>NEE</v>
      </c>
      <c r="C22" s="93">
        <f>'AEB-9 Risk Premium (Electric)'!$I$47</f>
        <v>4.7746666666666673E-2</v>
      </c>
      <c r="D22" s="97">
        <v>0.95</v>
      </c>
      <c r="E22" s="95">
        <f>'AEB-8 Market Return'!$C$9</f>
        <v>0.12556998267980807</v>
      </c>
      <c r="F22" s="96">
        <f t="shared" si="0"/>
        <v>7.7823316013141394E-2</v>
      </c>
      <c r="G22" s="96">
        <f t="shared" si="1"/>
        <v>0.121678816879151</v>
      </c>
      <c r="H22" s="96">
        <f t="shared" si="2"/>
        <v>0.12265160832931526</v>
      </c>
      <c r="K22" s="69"/>
    </row>
    <row r="23" spans="1:11" x14ac:dyDescent="0.25">
      <c r="A23" s="92" t="str">
        <f>'AEB-4 Proxy Selection'!A20</f>
        <v>NorthWestern Corporation</v>
      </c>
      <c r="B23" s="87" t="str">
        <f>'AEB-4 Proxy Selection'!B20</f>
        <v>NWE</v>
      </c>
      <c r="C23" s="93">
        <f>'AEB-9 Risk Premium (Electric)'!$I$47</f>
        <v>4.7746666666666673E-2</v>
      </c>
      <c r="D23" s="97">
        <v>0.95</v>
      </c>
      <c r="E23" s="95">
        <f>'AEB-8 Market Return'!$C$9</f>
        <v>0.12556998267980807</v>
      </c>
      <c r="F23" s="96">
        <f t="shared" si="0"/>
        <v>7.7823316013141394E-2</v>
      </c>
      <c r="G23" s="96">
        <f t="shared" si="1"/>
        <v>0.121678816879151</v>
      </c>
      <c r="H23" s="96">
        <f t="shared" si="2"/>
        <v>0.12265160832931526</v>
      </c>
      <c r="K23" s="69"/>
    </row>
    <row r="24" spans="1:11" x14ac:dyDescent="0.25">
      <c r="A24" s="92" t="str">
        <f>'AEB-4 Proxy Selection'!A21</f>
        <v>OGE Energy Corporation</v>
      </c>
      <c r="B24" s="87" t="str">
        <f>'AEB-4 Proxy Selection'!B21</f>
        <v>OGE</v>
      </c>
      <c r="C24" s="93">
        <f>'AEB-9 Risk Premium (Electric)'!$I$47</f>
        <v>4.7746666666666673E-2</v>
      </c>
      <c r="D24" s="97">
        <v>1.05</v>
      </c>
      <c r="E24" s="95">
        <f>'AEB-8 Market Return'!$C$9</f>
        <v>0.12556998267980807</v>
      </c>
      <c r="F24" s="96">
        <f t="shared" si="0"/>
        <v>7.7823316013141394E-2</v>
      </c>
      <c r="G24" s="96">
        <f t="shared" si="1"/>
        <v>0.12946114848046514</v>
      </c>
      <c r="H24" s="96">
        <f t="shared" si="2"/>
        <v>0.12848835703030087</v>
      </c>
      <c r="K24" s="69"/>
    </row>
    <row r="25" spans="1:11" x14ac:dyDescent="0.25">
      <c r="A25" s="92" t="str">
        <f>'AEB-4 Proxy Selection'!A22</f>
        <v>Pinnacle West Capital Corporation</v>
      </c>
      <c r="B25" s="87" t="str">
        <f>'AEB-4 Proxy Selection'!B22</f>
        <v>PNW</v>
      </c>
      <c r="C25" s="93">
        <f>'AEB-9 Risk Premium (Electric)'!$I$47</f>
        <v>4.7746666666666673E-2</v>
      </c>
      <c r="D25" s="97">
        <v>0.95</v>
      </c>
      <c r="E25" s="95">
        <f>'AEB-8 Market Return'!$C$9</f>
        <v>0.12556998267980807</v>
      </c>
      <c r="F25" s="96">
        <f t="shared" si="0"/>
        <v>7.7823316013141394E-2</v>
      </c>
      <c r="G25" s="96">
        <f t="shared" si="1"/>
        <v>0.121678816879151</v>
      </c>
      <c r="H25" s="96">
        <f t="shared" si="2"/>
        <v>0.12265160832931526</v>
      </c>
      <c r="K25" s="69"/>
    </row>
    <row r="26" spans="1:11" x14ac:dyDescent="0.25">
      <c r="A26" s="92" t="str">
        <f>'AEB-4 Proxy Selection'!A23</f>
        <v>Portland General Electric Company</v>
      </c>
      <c r="B26" s="87" t="str">
        <f>'AEB-4 Proxy Selection'!B23</f>
        <v>POR</v>
      </c>
      <c r="C26" s="93">
        <f>'AEB-9 Risk Premium (Electric)'!$I$47</f>
        <v>4.7746666666666673E-2</v>
      </c>
      <c r="D26" s="97">
        <v>0.9</v>
      </c>
      <c r="E26" s="95">
        <f>'AEB-8 Market Return'!$C$9</f>
        <v>0.12556998267980807</v>
      </c>
      <c r="F26" s="96">
        <f t="shared" si="0"/>
        <v>7.7823316013141394E-2</v>
      </c>
      <c r="G26" s="96">
        <f t="shared" si="1"/>
        <v>0.11778765107849393</v>
      </c>
      <c r="H26" s="96">
        <f t="shared" si="2"/>
        <v>0.11973323397882246</v>
      </c>
      <c r="K26" s="69"/>
    </row>
    <row r="27" spans="1:11" x14ac:dyDescent="0.25">
      <c r="A27" s="92" t="str">
        <f>'AEB-4 Proxy Selection'!A24</f>
        <v>Southern Company</v>
      </c>
      <c r="B27" s="87" t="str">
        <f>'AEB-4 Proxy Selection'!B24</f>
        <v>SO</v>
      </c>
      <c r="C27" s="93">
        <f>'AEB-9 Risk Premium (Electric)'!$I$47</f>
        <v>4.7746666666666673E-2</v>
      </c>
      <c r="D27" s="97">
        <v>0.9</v>
      </c>
      <c r="E27" s="95">
        <f>'AEB-8 Market Return'!$C$9</f>
        <v>0.12556998267980807</v>
      </c>
      <c r="F27" s="96">
        <f t="shared" si="0"/>
        <v>7.7823316013141394E-2</v>
      </c>
      <c r="G27" s="96">
        <f t="shared" si="1"/>
        <v>0.11778765107849393</v>
      </c>
      <c r="H27" s="96">
        <f t="shared" si="2"/>
        <v>0.11973323397882246</v>
      </c>
      <c r="K27" s="69"/>
    </row>
    <row r="28" spans="1:11" x14ac:dyDescent="0.25">
      <c r="A28" s="92" t="str">
        <f>'AEB-4 Proxy Selection'!A25</f>
        <v>Wisconsin Energy Corporation</v>
      </c>
      <c r="B28" s="87" t="str">
        <f>'AEB-4 Proxy Selection'!B25</f>
        <v>WEC</v>
      </c>
      <c r="C28" s="93">
        <f>'AEB-9 Risk Premium (Electric)'!$I$47</f>
        <v>4.7746666666666673E-2</v>
      </c>
      <c r="D28" s="97">
        <v>0.8</v>
      </c>
      <c r="E28" s="95">
        <f>'AEB-8 Market Return'!$C$9</f>
        <v>0.12556998267980807</v>
      </c>
      <c r="F28" s="96">
        <f t="shared" si="0"/>
        <v>7.7823316013141394E-2</v>
      </c>
      <c r="G28" s="96">
        <f t="shared" si="1"/>
        <v>0.11000531947717979</v>
      </c>
      <c r="H28" s="96">
        <f t="shared" si="2"/>
        <v>0.11389648527783687</v>
      </c>
      <c r="K28" s="69"/>
    </row>
    <row r="29" spans="1:11" x14ac:dyDescent="0.25">
      <c r="A29" s="92" t="str">
        <f>'AEB-4 Proxy Selection'!A26</f>
        <v>Xcel Energy Inc.</v>
      </c>
      <c r="B29" s="87" t="str">
        <f>'AEB-4 Proxy Selection'!B26</f>
        <v>XEL</v>
      </c>
      <c r="C29" s="93">
        <f>'AEB-9 Risk Premium (Electric)'!$I$47</f>
        <v>4.7746666666666673E-2</v>
      </c>
      <c r="D29" s="97">
        <v>0.85</v>
      </c>
      <c r="E29" s="95">
        <f>'AEB-8 Market Return'!$C$9</f>
        <v>0.12556998267980807</v>
      </c>
      <c r="F29" s="96">
        <f t="shared" si="0"/>
        <v>7.7823316013141394E-2</v>
      </c>
      <c r="G29" s="96">
        <f t="shared" si="1"/>
        <v>0.11389648527783686</v>
      </c>
      <c r="H29" s="96">
        <f t="shared" si="2"/>
        <v>0.11681485962832966</v>
      </c>
      <c r="K29" s="69"/>
    </row>
    <row r="30" spans="1:11" x14ac:dyDescent="0.25">
      <c r="A30" s="98" t="s">
        <v>5</v>
      </c>
      <c r="B30" s="99"/>
      <c r="C30" s="99"/>
      <c r="D30" s="94"/>
      <c r="E30" s="98"/>
      <c r="F30" s="98"/>
      <c r="G30" s="100">
        <f>AVERAGE(G9:G29)</f>
        <v>0.11686118303071844</v>
      </c>
      <c r="H30" s="100">
        <f>AVERAGE(H9:H29)</f>
        <v>0.11903838294299085</v>
      </c>
    </row>
    <row r="31" spans="1:11" ht="13.8" thickBot="1" x14ac:dyDescent="0.3">
      <c r="A31" s="101" t="s">
        <v>14</v>
      </c>
      <c r="B31" s="102"/>
      <c r="C31" s="102"/>
      <c r="D31" s="103"/>
      <c r="E31" s="101"/>
      <c r="F31" s="101"/>
      <c r="G31" s="104">
        <f>MEDIAN(G9:G29)</f>
        <v>0.11778765107849393</v>
      </c>
      <c r="H31" s="104">
        <f>MEDIAN(H9:H29)</f>
        <v>0.11973323397882246</v>
      </c>
    </row>
    <row r="33" spans="1:8" x14ac:dyDescent="0.25">
      <c r="A33" s="105" t="s">
        <v>104</v>
      </c>
    </row>
    <row r="34" spans="1:8" x14ac:dyDescent="0.25">
      <c r="A34" s="86" t="s">
        <v>151</v>
      </c>
    </row>
    <row r="35" spans="1:8" x14ac:dyDescent="0.25">
      <c r="A35" s="86" t="s">
        <v>152</v>
      </c>
    </row>
    <row r="36" spans="1:8" x14ac:dyDescent="0.25">
      <c r="A36" s="86" t="s">
        <v>153</v>
      </c>
    </row>
    <row r="37" spans="1:8" x14ac:dyDescent="0.25">
      <c r="A37" s="86" t="s">
        <v>154</v>
      </c>
    </row>
    <row r="38" spans="1:8" x14ac:dyDescent="0.25">
      <c r="A38" s="86" t="s">
        <v>155</v>
      </c>
    </row>
    <row r="39" spans="1:8" x14ac:dyDescent="0.25">
      <c r="A39" s="86" t="s">
        <v>156</v>
      </c>
    </row>
    <row r="42" spans="1:8" ht="13.5" customHeight="1" x14ac:dyDescent="0.25">
      <c r="A42" s="385" t="s">
        <v>157</v>
      </c>
      <c r="B42" s="385"/>
      <c r="C42" s="385"/>
      <c r="D42" s="385"/>
      <c r="E42" s="385"/>
      <c r="F42" s="385"/>
      <c r="G42" s="385"/>
      <c r="H42" s="385"/>
    </row>
    <row r="44" spans="1:8" x14ac:dyDescent="0.25">
      <c r="A44" s="385" t="s">
        <v>143</v>
      </c>
      <c r="B44" s="385"/>
      <c r="C44" s="385"/>
      <c r="D44" s="385"/>
      <c r="E44" s="385"/>
      <c r="F44" s="385"/>
      <c r="G44" s="385"/>
      <c r="H44" s="385"/>
    </row>
    <row r="45" spans="1:8" x14ac:dyDescent="0.25">
      <c r="A45" s="385" t="s">
        <v>144</v>
      </c>
      <c r="B45" s="385"/>
      <c r="C45" s="385"/>
      <c r="D45" s="385"/>
      <c r="E45" s="385"/>
      <c r="F45" s="385"/>
      <c r="G45" s="385"/>
      <c r="H45" s="385"/>
    </row>
    <row r="47" spans="1:8" ht="13.8" thickBot="1" x14ac:dyDescent="0.3">
      <c r="C47" s="87" t="s">
        <v>38</v>
      </c>
      <c r="D47" s="87" t="s">
        <v>39</v>
      </c>
      <c r="E47" s="87" t="s">
        <v>40</v>
      </c>
      <c r="F47" s="87" t="s">
        <v>41</v>
      </c>
      <c r="G47" s="87" t="s">
        <v>42</v>
      </c>
      <c r="H47" s="87" t="s">
        <v>43</v>
      </c>
    </row>
    <row r="48" spans="1:8" ht="51" customHeight="1" x14ac:dyDescent="0.25">
      <c r="A48" s="89" t="s">
        <v>46</v>
      </c>
      <c r="B48" s="89" t="s">
        <v>47</v>
      </c>
      <c r="C48" s="90" t="s">
        <v>158</v>
      </c>
      <c r="D48" s="90" t="s">
        <v>146</v>
      </c>
      <c r="E48" s="90" t="s">
        <v>147</v>
      </c>
      <c r="F48" s="90" t="s">
        <v>148</v>
      </c>
      <c r="G48" s="91" t="s">
        <v>149</v>
      </c>
      <c r="H48" s="91" t="s">
        <v>150</v>
      </c>
    </row>
    <row r="49" spans="1:8" x14ac:dyDescent="0.25">
      <c r="A49" s="86" t="str">
        <f>A9</f>
        <v>NiSource Inc.</v>
      </c>
      <c r="B49" s="87" t="str">
        <f>B9</f>
        <v>NI</v>
      </c>
      <c r="C49" s="96">
        <f>'AEB-9 Risk Premium (Electric)'!$I$48</f>
        <v>4.4800000000000006E-2</v>
      </c>
      <c r="D49" s="94">
        <f>D9</f>
        <v>0.9</v>
      </c>
      <c r="E49" s="95">
        <f>'AEB-8 Market Return'!$C$9</f>
        <v>0.12556998267980807</v>
      </c>
      <c r="F49" s="96">
        <f>E49-C49</f>
        <v>8.0769982679808061E-2</v>
      </c>
      <c r="G49" s="96">
        <f>IFERROR(F49*D49+C49, "")</f>
        <v>0.11749298441182726</v>
      </c>
      <c r="H49" s="96">
        <f>IFERROR((0.25*F49)+(0.75*D49*F49)+C49, "")</f>
        <v>0.11951223397882246</v>
      </c>
    </row>
    <row r="50" spans="1:8" x14ac:dyDescent="0.25">
      <c r="A50" s="86" t="str">
        <f t="shared" ref="A50:B50" si="3">A10</f>
        <v>ALLETE, Inc.</v>
      </c>
      <c r="B50" s="87" t="str">
        <f t="shared" si="3"/>
        <v>ALE</v>
      </c>
      <c r="C50" s="96">
        <f>'AEB-9 Risk Premium (Electric)'!$I$48</f>
        <v>4.4800000000000006E-2</v>
      </c>
      <c r="D50" s="97">
        <f>D10</f>
        <v>0.9</v>
      </c>
      <c r="E50" s="95">
        <f>'AEB-8 Market Return'!$C$9</f>
        <v>0.12556998267980807</v>
      </c>
      <c r="F50" s="96">
        <f t="shared" ref="F50:F69" si="4">E50-C50</f>
        <v>8.0769982679808061E-2</v>
      </c>
      <c r="G50" s="96">
        <f t="shared" ref="G50:G69" si="5">IFERROR(F50*D50+C50, "")</f>
        <v>0.11749298441182726</v>
      </c>
      <c r="H50" s="96">
        <f t="shared" ref="H50:H69" si="6">IFERROR((0.25*F50)+(0.75*D50*F50)+C50, "")</f>
        <v>0.11951223397882246</v>
      </c>
    </row>
    <row r="51" spans="1:8" x14ac:dyDescent="0.25">
      <c r="A51" s="86" t="str">
        <f t="shared" ref="A51:B51" si="7">A11</f>
        <v>Alliant Energy Corporation</v>
      </c>
      <c r="B51" s="87" t="str">
        <f t="shared" si="7"/>
        <v>LNT</v>
      </c>
      <c r="C51" s="96">
        <f>'AEB-9 Risk Premium (Electric)'!$I$48</f>
        <v>4.4800000000000006E-2</v>
      </c>
      <c r="D51" s="97">
        <f t="shared" ref="D51:D69" si="8">D11</f>
        <v>0.85</v>
      </c>
      <c r="E51" s="95">
        <f>'AEB-8 Market Return'!$C$9</f>
        <v>0.12556998267980807</v>
      </c>
      <c r="F51" s="96">
        <f t="shared" si="4"/>
        <v>8.0769982679808061E-2</v>
      </c>
      <c r="G51" s="96">
        <f t="shared" si="5"/>
        <v>0.11345448527783686</v>
      </c>
      <c r="H51" s="96">
        <f t="shared" si="6"/>
        <v>0.11648335962832965</v>
      </c>
    </row>
    <row r="52" spans="1:8" x14ac:dyDescent="0.25">
      <c r="A52" s="86" t="str">
        <f t="shared" ref="A52:B52" si="9">A12</f>
        <v>Ameren Corporation</v>
      </c>
      <c r="B52" s="87" t="str">
        <f t="shared" si="9"/>
        <v>AEE</v>
      </c>
      <c r="C52" s="96">
        <f>'AEB-9 Risk Premium (Electric)'!$I$48</f>
        <v>4.4800000000000006E-2</v>
      </c>
      <c r="D52" s="97">
        <f t="shared" si="8"/>
        <v>0.85</v>
      </c>
      <c r="E52" s="95">
        <f>'AEB-8 Market Return'!$C$9</f>
        <v>0.12556998267980807</v>
      </c>
      <c r="F52" s="96">
        <f t="shared" si="4"/>
        <v>8.0769982679808061E-2</v>
      </c>
      <c r="G52" s="96">
        <f t="shared" si="5"/>
        <v>0.11345448527783686</v>
      </c>
      <c r="H52" s="96">
        <f t="shared" si="6"/>
        <v>0.11648335962832965</v>
      </c>
    </row>
    <row r="53" spans="1:8" x14ac:dyDescent="0.25">
      <c r="A53" s="86" t="str">
        <f t="shared" ref="A53:B53" si="10">A13</f>
        <v>American Electric Power Company, Inc.</v>
      </c>
      <c r="B53" s="87" t="str">
        <f t="shared" si="10"/>
        <v>AEP</v>
      </c>
      <c r="C53" s="96">
        <f>'AEB-9 Risk Premium (Electric)'!$I$48</f>
        <v>4.4800000000000006E-2</v>
      </c>
      <c r="D53" s="97">
        <f t="shared" si="8"/>
        <v>0.8</v>
      </c>
      <c r="E53" s="95">
        <f>'AEB-8 Market Return'!$C$9</f>
        <v>0.12556998267980807</v>
      </c>
      <c r="F53" s="96">
        <f t="shared" si="4"/>
        <v>8.0769982679808061E-2</v>
      </c>
      <c r="G53" s="96">
        <f t="shared" si="5"/>
        <v>0.10941598614384646</v>
      </c>
      <c r="H53" s="96">
        <f t="shared" si="6"/>
        <v>0.11345448527783686</v>
      </c>
    </row>
    <row r="54" spans="1:8" x14ac:dyDescent="0.25">
      <c r="A54" s="86" t="str">
        <f t="shared" ref="A54:B54" si="11">A14</f>
        <v>Avista Corporation</v>
      </c>
      <c r="B54" s="87" t="str">
        <f t="shared" si="11"/>
        <v>AVA</v>
      </c>
      <c r="C54" s="96">
        <f>'AEB-9 Risk Premium (Electric)'!$I$48</f>
        <v>4.4800000000000006E-2</v>
      </c>
      <c r="D54" s="97">
        <f t="shared" si="8"/>
        <v>0.9</v>
      </c>
      <c r="E54" s="95">
        <f>'AEB-8 Market Return'!$C$9</f>
        <v>0.12556998267980807</v>
      </c>
      <c r="F54" s="96">
        <f t="shared" si="4"/>
        <v>8.0769982679808061E-2</v>
      </c>
      <c r="G54" s="96">
        <f t="shared" si="5"/>
        <v>0.11749298441182726</v>
      </c>
      <c r="H54" s="96">
        <f t="shared" si="6"/>
        <v>0.11951223397882246</v>
      </c>
    </row>
    <row r="55" spans="1:8" x14ac:dyDescent="0.25">
      <c r="A55" s="86" t="str">
        <f t="shared" ref="A55:B55" si="12">A15</f>
        <v>Black Hills Corporation</v>
      </c>
      <c r="B55" s="87" t="str">
        <f t="shared" si="12"/>
        <v>BKH</v>
      </c>
      <c r="C55" s="96">
        <f>'AEB-9 Risk Premium (Electric)'!$I$48</f>
        <v>4.4800000000000006E-2</v>
      </c>
      <c r="D55" s="97">
        <f t="shared" si="8"/>
        <v>1</v>
      </c>
      <c r="E55" s="95">
        <f>'AEB-8 Market Return'!$C$9</f>
        <v>0.12556998267980807</v>
      </c>
      <c r="F55" s="96">
        <f t="shared" si="4"/>
        <v>8.0769982679808061E-2</v>
      </c>
      <c r="G55" s="96">
        <f t="shared" si="5"/>
        <v>0.12556998267980807</v>
      </c>
      <c r="H55" s="96">
        <f t="shared" si="6"/>
        <v>0.12556998267980807</v>
      </c>
    </row>
    <row r="56" spans="1:8" x14ac:dyDescent="0.25">
      <c r="A56" s="86" t="str">
        <f t="shared" ref="A56:B56" si="13">A16</f>
        <v>CMS Energy Corporation</v>
      </c>
      <c r="B56" s="87" t="str">
        <f t="shared" si="13"/>
        <v>CMS</v>
      </c>
      <c r="C56" s="96">
        <f>'AEB-9 Risk Premium (Electric)'!$I$48</f>
        <v>4.4800000000000006E-2</v>
      </c>
      <c r="D56" s="97">
        <f t="shared" si="8"/>
        <v>0.8</v>
      </c>
      <c r="E56" s="95">
        <f>'AEB-8 Market Return'!$C$9</f>
        <v>0.12556998267980807</v>
      </c>
      <c r="F56" s="96">
        <f t="shared" si="4"/>
        <v>8.0769982679808061E-2</v>
      </c>
      <c r="G56" s="96">
        <f t="shared" si="5"/>
        <v>0.10941598614384646</v>
      </c>
      <c r="H56" s="96">
        <f t="shared" si="6"/>
        <v>0.11345448527783686</v>
      </c>
    </row>
    <row r="57" spans="1:8" x14ac:dyDescent="0.25">
      <c r="A57" s="86" t="str">
        <f t="shared" ref="A57:B57" si="14">A17</f>
        <v>Duke Energy Corporation</v>
      </c>
      <c r="B57" s="87" t="str">
        <f t="shared" si="14"/>
        <v>DUK</v>
      </c>
      <c r="C57" s="96">
        <f>'AEB-9 Risk Premium (Electric)'!$I$48</f>
        <v>4.4800000000000006E-2</v>
      </c>
      <c r="D57" s="97">
        <f t="shared" si="8"/>
        <v>0.85</v>
      </c>
      <c r="E57" s="95">
        <f>'AEB-8 Market Return'!$C$9</f>
        <v>0.12556998267980807</v>
      </c>
      <c r="F57" s="96">
        <f t="shared" si="4"/>
        <v>8.0769982679808061E-2</v>
      </c>
      <c r="G57" s="96">
        <f t="shared" si="5"/>
        <v>0.11345448527783686</v>
      </c>
      <c r="H57" s="96">
        <f t="shared" si="6"/>
        <v>0.11648335962832965</v>
      </c>
    </row>
    <row r="58" spans="1:8" x14ac:dyDescent="0.25">
      <c r="A58" s="86" t="str">
        <f t="shared" ref="A58:B58" si="15">A18</f>
        <v>Entergy Corporation</v>
      </c>
      <c r="B58" s="87" t="str">
        <f t="shared" si="15"/>
        <v>ETR</v>
      </c>
      <c r="C58" s="96">
        <f>'AEB-9 Risk Premium (Electric)'!$I$48</f>
        <v>4.4800000000000006E-2</v>
      </c>
      <c r="D58" s="97">
        <f t="shared" si="8"/>
        <v>0.95</v>
      </c>
      <c r="E58" s="95">
        <f>'AEB-8 Market Return'!$C$9</f>
        <v>0.12556998267980807</v>
      </c>
      <c r="F58" s="96">
        <f t="shared" si="4"/>
        <v>8.0769982679808061E-2</v>
      </c>
      <c r="G58" s="96">
        <f t="shared" si="5"/>
        <v>0.12153148354581766</v>
      </c>
      <c r="H58" s="96">
        <f t="shared" si="6"/>
        <v>0.12254110832931525</v>
      </c>
    </row>
    <row r="59" spans="1:8" x14ac:dyDescent="0.25">
      <c r="A59" s="86" t="str">
        <f t="shared" ref="A59:B59" si="16">A19</f>
        <v>Evergy, Inc.</v>
      </c>
      <c r="B59" s="87" t="str">
        <f t="shared" si="16"/>
        <v>EVRG</v>
      </c>
      <c r="C59" s="96">
        <f>'AEB-9 Risk Premium (Electric)'!$I$48</f>
        <v>4.4800000000000006E-2</v>
      </c>
      <c r="D59" s="97">
        <f t="shared" si="8"/>
        <v>0.9</v>
      </c>
      <c r="E59" s="95">
        <f>'AEB-8 Market Return'!$C$9</f>
        <v>0.12556998267980807</v>
      </c>
      <c r="F59" s="96">
        <f t="shared" si="4"/>
        <v>8.0769982679808061E-2</v>
      </c>
      <c r="G59" s="96">
        <f t="shared" si="5"/>
        <v>0.11749298441182726</v>
      </c>
      <c r="H59" s="96">
        <f t="shared" si="6"/>
        <v>0.11951223397882246</v>
      </c>
    </row>
    <row r="60" spans="1:8" x14ac:dyDescent="0.25">
      <c r="A60" s="86" t="str">
        <f t="shared" ref="A60:B60" si="17">A20</f>
        <v>IDACORP, Inc.</v>
      </c>
      <c r="B60" s="87" t="str">
        <f t="shared" si="17"/>
        <v>IDA</v>
      </c>
      <c r="C60" s="96">
        <f>'AEB-9 Risk Premium (Electric)'!$I$48</f>
        <v>4.4800000000000006E-2</v>
      </c>
      <c r="D60" s="97">
        <f t="shared" si="8"/>
        <v>0.85</v>
      </c>
      <c r="E60" s="95">
        <f>'AEB-8 Market Return'!$C$9</f>
        <v>0.12556998267980807</v>
      </c>
      <c r="F60" s="96">
        <f t="shared" si="4"/>
        <v>8.0769982679808061E-2</v>
      </c>
      <c r="G60" s="96">
        <f t="shared" si="5"/>
        <v>0.11345448527783686</v>
      </c>
      <c r="H60" s="96">
        <f t="shared" si="6"/>
        <v>0.11648335962832965</v>
      </c>
    </row>
    <row r="61" spans="1:8" x14ac:dyDescent="0.25">
      <c r="A61" s="86" t="str">
        <f t="shared" ref="A61:B61" si="18">A21</f>
        <v>MGE Energy, Inc.</v>
      </c>
      <c r="B61" s="87" t="str">
        <f t="shared" si="18"/>
        <v>MGEE</v>
      </c>
      <c r="C61" s="96">
        <f>'AEB-9 Risk Premium (Electric)'!$I$48</f>
        <v>4.4800000000000006E-2</v>
      </c>
      <c r="D61" s="97">
        <f t="shared" si="8"/>
        <v>0.75</v>
      </c>
      <c r="E61" s="95">
        <f>'AEB-8 Market Return'!$C$9</f>
        <v>0.12556998267980807</v>
      </c>
      <c r="F61" s="96">
        <f t="shared" si="4"/>
        <v>8.0769982679808061E-2</v>
      </c>
      <c r="G61" s="96">
        <f t="shared" si="5"/>
        <v>0.10537748700985605</v>
      </c>
      <c r="H61" s="96">
        <f t="shared" si="6"/>
        <v>0.11042561092734406</v>
      </c>
    </row>
    <row r="62" spans="1:8" x14ac:dyDescent="0.25">
      <c r="A62" s="86" t="str">
        <f t="shared" ref="A62:B62" si="19">A22</f>
        <v>NextEra Energy, Inc.</v>
      </c>
      <c r="B62" s="87" t="str">
        <f t="shared" si="19"/>
        <v>NEE</v>
      </c>
      <c r="C62" s="96">
        <f>'AEB-9 Risk Premium (Electric)'!$I$48</f>
        <v>4.4800000000000006E-2</v>
      </c>
      <c r="D62" s="97">
        <f t="shared" si="8"/>
        <v>0.95</v>
      </c>
      <c r="E62" s="95">
        <f>'AEB-8 Market Return'!$C$9</f>
        <v>0.12556998267980807</v>
      </c>
      <c r="F62" s="96">
        <f t="shared" si="4"/>
        <v>8.0769982679808061E-2</v>
      </c>
      <c r="G62" s="96">
        <f t="shared" si="5"/>
        <v>0.12153148354581766</v>
      </c>
      <c r="H62" s="96">
        <f t="shared" si="6"/>
        <v>0.12254110832931525</v>
      </c>
    </row>
    <row r="63" spans="1:8" x14ac:dyDescent="0.25">
      <c r="A63" s="86" t="str">
        <f t="shared" ref="A63:B63" si="20">A23</f>
        <v>NorthWestern Corporation</v>
      </c>
      <c r="B63" s="87" t="str">
        <f t="shared" si="20"/>
        <v>NWE</v>
      </c>
      <c r="C63" s="96">
        <f>'AEB-9 Risk Premium (Electric)'!$I$48</f>
        <v>4.4800000000000006E-2</v>
      </c>
      <c r="D63" s="97">
        <f t="shared" si="8"/>
        <v>0.95</v>
      </c>
      <c r="E63" s="95">
        <f>'AEB-8 Market Return'!$C$9</f>
        <v>0.12556998267980807</v>
      </c>
      <c r="F63" s="96">
        <f t="shared" si="4"/>
        <v>8.0769982679808061E-2</v>
      </c>
      <c r="G63" s="96">
        <f t="shared" si="5"/>
        <v>0.12153148354581766</v>
      </c>
      <c r="H63" s="96">
        <f t="shared" si="6"/>
        <v>0.12254110832931525</v>
      </c>
    </row>
    <row r="64" spans="1:8" x14ac:dyDescent="0.25">
      <c r="A64" s="86" t="str">
        <f t="shared" ref="A64:B64" si="21">A24</f>
        <v>OGE Energy Corporation</v>
      </c>
      <c r="B64" s="87" t="str">
        <f t="shared" si="21"/>
        <v>OGE</v>
      </c>
      <c r="C64" s="96">
        <f>'AEB-9 Risk Premium (Electric)'!$I$48</f>
        <v>4.4800000000000006E-2</v>
      </c>
      <c r="D64" s="97">
        <f t="shared" si="8"/>
        <v>1.05</v>
      </c>
      <c r="E64" s="95">
        <f>'AEB-8 Market Return'!$C$9</f>
        <v>0.12556998267980807</v>
      </c>
      <c r="F64" s="96">
        <f t="shared" si="4"/>
        <v>8.0769982679808061E-2</v>
      </c>
      <c r="G64" s="96">
        <f t="shared" si="5"/>
        <v>0.12960848181379847</v>
      </c>
      <c r="H64" s="96">
        <f t="shared" si="6"/>
        <v>0.12859885703030088</v>
      </c>
    </row>
    <row r="65" spans="1:8" x14ac:dyDescent="0.25">
      <c r="A65" s="86" t="str">
        <f t="shared" ref="A65:B65" si="22">A25</f>
        <v>Pinnacle West Capital Corporation</v>
      </c>
      <c r="B65" s="87" t="str">
        <f t="shared" si="22"/>
        <v>PNW</v>
      </c>
      <c r="C65" s="96">
        <f>'AEB-9 Risk Premium (Electric)'!$I$48</f>
        <v>4.4800000000000006E-2</v>
      </c>
      <c r="D65" s="97">
        <f t="shared" si="8"/>
        <v>0.95</v>
      </c>
      <c r="E65" s="95">
        <f>'AEB-8 Market Return'!$C$9</f>
        <v>0.12556998267980807</v>
      </c>
      <c r="F65" s="96">
        <f t="shared" si="4"/>
        <v>8.0769982679808061E-2</v>
      </c>
      <c r="G65" s="96">
        <f t="shared" si="5"/>
        <v>0.12153148354581766</v>
      </c>
      <c r="H65" s="96">
        <f t="shared" si="6"/>
        <v>0.12254110832931525</v>
      </c>
    </row>
    <row r="66" spans="1:8" x14ac:dyDescent="0.25">
      <c r="A66" s="86" t="str">
        <f t="shared" ref="A66:B66" si="23">A26</f>
        <v>Portland General Electric Company</v>
      </c>
      <c r="B66" s="87" t="str">
        <f t="shared" si="23"/>
        <v>POR</v>
      </c>
      <c r="C66" s="96">
        <f>'AEB-9 Risk Premium (Electric)'!$I$48</f>
        <v>4.4800000000000006E-2</v>
      </c>
      <c r="D66" s="97">
        <f t="shared" si="8"/>
        <v>0.9</v>
      </c>
      <c r="E66" s="95">
        <f>'AEB-8 Market Return'!$C$9</f>
        <v>0.12556998267980807</v>
      </c>
      <c r="F66" s="96">
        <f t="shared" si="4"/>
        <v>8.0769982679808061E-2</v>
      </c>
      <c r="G66" s="96">
        <f t="shared" si="5"/>
        <v>0.11749298441182726</v>
      </c>
      <c r="H66" s="96">
        <f t="shared" si="6"/>
        <v>0.11951223397882246</v>
      </c>
    </row>
    <row r="67" spans="1:8" x14ac:dyDescent="0.25">
      <c r="A67" s="86" t="str">
        <f t="shared" ref="A67:B67" si="24">A27</f>
        <v>Southern Company</v>
      </c>
      <c r="B67" s="87" t="str">
        <f t="shared" si="24"/>
        <v>SO</v>
      </c>
      <c r="C67" s="96">
        <f>'AEB-9 Risk Premium (Electric)'!$I$48</f>
        <v>4.4800000000000006E-2</v>
      </c>
      <c r="D67" s="97">
        <f t="shared" si="8"/>
        <v>0.9</v>
      </c>
      <c r="E67" s="95">
        <f>'AEB-8 Market Return'!$C$9</f>
        <v>0.12556998267980807</v>
      </c>
      <c r="F67" s="96">
        <f t="shared" si="4"/>
        <v>8.0769982679808061E-2</v>
      </c>
      <c r="G67" s="96">
        <f t="shared" si="5"/>
        <v>0.11749298441182726</v>
      </c>
      <c r="H67" s="96">
        <f t="shared" si="6"/>
        <v>0.11951223397882246</v>
      </c>
    </row>
    <row r="68" spans="1:8" x14ac:dyDescent="0.25">
      <c r="A68" s="86" t="str">
        <f t="shared" ref="A68:B68" si="25">A28</f>
        <v>Wisconsin Energy Corporation</v>
      </c>
      <c r="B68" s="87" t="str">
        <f t="shared" si="25"/>
        <v>WEC</v>
      </c>
      <c r="C68" s="96">
        <f>'AEB-9 Risk Premium (Electric)'!$I$48</f>
        <v>4.4800000000000006E-2</v>
      </c>
      <c r="D68" s="97">
        <f t="shared" si="8"/>
        <v>0.8</v>
      </c>
      <c r="E68" s="95">
        <f>'AEB-8 Market Return'!$C$9</f>
        <v>0.12556998267980807</v>
      </c>
      <c r="F68" s="96">
        <f t="shared" si="4"/>
        <v>8.0769982679808061E-2</v>
      </c>
      <c r="G68" s="96">
        <f t="shared" si="5"/>
        <v>0.10941598614384646</v>
      </c>
      <c r="H68" s="96">
        <f t="shared" si="6"/>
        <v>0.11345448527783686</v>
      </c>
    </row>
    <row r="69" spans="1:8" x14ac:dyDescent="0.25">
      <c r="A69" s="86" t="str">
        <f t="shared" ref="A69:B69" si="26">A29</f>
        <v>Xcel Energy Inc.</v>
      </c>
      <c r="B69" s="87" t="str">
        <f t="shared" si="26"/>
        <v>XEL</v>
      </c>
      <c r="C69" s="96">
        <f>'AEB-9 Risk Premium (Electric)'!$I$48</f>
        <v>4.4800000000000006E-2</v>
      </c>
      <c r="D69" s="97">
        <f t="shared" si="8"/>
        <v>0.85</v>
      </c>
      <c r="E69" s="95">
        <f>'AEB-8 Market Return'!$C$9</f>
        <v>0.12556998267980807</v>
      </c>
      <c r="F69" s="96">
        <f t="shared" si="4"/>
        <v>8.0769982679808061E-2</v>
      </c>
      <c r="G69" s="96">
        <f t="shared" si="5"/>
        <v>0.11345448527783686</v>
      </c>
      <c r="H69" s="96">
        <f t="shared" si="6"/>
        <v>0.11648335962832965</v>
      </c>
    </row>
    <row r="70" spans="1:8" x14ac:dyDescent="0.25">
      <c r="A70" s="98" t="s">
        <v>5</v>
      </c>
      <c r="B70" s="99"/>
      <c r="C70" s="99"/>
      <c r="D70" s="94"/>
      <c r="E70" s="98"/>
      <c r="F70" s="98"/>
      <c r="G70" s="100">
        <f>AVERAGE(G49:G69)</f>
        <v>0.11653143699897239</v>
      </c>
      <c r="H70" s="100">
        <f>AVERAGE(H49:H69)</f>
        <v>0.11879107341918131</v>
      </c>
    </row>
    <row r="71" spans="1:8" ht="13.8" thickBot="1" x14ac:dyDescent="0.3">
      <c r="A71" s="101" t="s">
        <v>14</v>
      </c>
      <c r="B71" s="102"/>
      <c r="C71" s="102"/>
      <c r="D71" s="103"/>
      <c r="E71" s="101"/>
      <c r="F71" s="101"/>
      <c r="G71" s="104">
        <f>MEDIAN(G49:G69)</f>
        <v>0.11749298441182726</v>
      </c>
      <c r="H71" s="104">
        <f>MEDIAN(H49:H69)</f>
        <v>0.11951223397882246</v>
      </c>
    </row>
    <row r="73" spans="1:8" x14ac:dyDescent="0.25">
      <c r="A73" s="105" t="s">
        <v>104</v>
      </c>
    </row>
    <row r="74" spans="1:8" x14ac:dyDescent="0.25">
      <c r="A74" s="86" t="s">
        <v>159</v>
      </c>
    </row>
    <row r="75" spans="1:8" x14ac:dyDescent="0.25">
      <c r="A75" s="86" t="s">
        <v>152</v>
      </c>
    </row>
    <row r="76" spans="1:8" x14ac:dyDescent="0.25">
      <c r="A76" s="86" t="str">
        <f>$A$36</f>
        <v>[3] Source: Market Return</v>
      </c>
    </row>
    <row r="77" spans="1:8" x14ac:dyDescent="0.25">
      <c r="A77" s="86" t="s">
        <v>154</v>
      </c>
    </row>
    <row r="78" spans="1:8" x14ac:dyDescent="0.25">
      <c r="A78" s="86" t="s">
        <v>155</v>
      </c>
    </row>
    <row r="79" spans="1:8" x14ac:dyDescent="0.25">
      <c r="A79" s="86" t="s">
        <v>156</v>
      </c>
    </row>
    <row r="82" spans="1:8" ht="13.5" customHeight="1" x14ac:dyDescent="0.25">
      <c r="A82" s="385" t="s">
        <v>160</v>
      </c>
      <c r="B82" s="385"/>
      <c r="C82" s="385"/>
      <c r="D82" s="385"/>
      <c r="E82" s="385"/>
      <c r="F82" s="385"/>
      <c r="G82" s="385"/>
      <c r="H82" s="385"/>
    </row>
    <row r="84" spans="1:8" x14ac:dyDescent="0.25">
      <c r="A84" s="385" t="s">
        <v>143</v>
      </c>
      <c r="B84" s="385"/>
      <c r="C84" s="385"/>
      <c r="D84" s="385"/>
      <c r="E84" s="385"/>
      <c r="F84" s="385"/>
      <c r="G84" s="385"/>
      <c r="H84" s="385"/>
    </row>
    <row r="85" spans="1:8" x14ac:dyDescent="0.25">
      <c r="A85" s="385" t="s">
        <v>144</v>
      </c>
      <c r="B85" s="385"/>
      <c r="C85" s="385"/>
      <c r="D85" s="385"/>
      <c r="E85" s="385"/>
      <c r="F85" s="385"/>
      <c r="G85" s="385"/>
      <c r="H85" s="385"/>
    </row>
    <row r="87" spans="1:8" ht="13.8" thickBot="1" x14ac:dyDescent="0.3">
      <c r="C87" s="87" t="s">
        <v>38</v>
      </c>
      <c r="D87" s="87" t="s">
        <v>39</v>
      </c>
      <c r="E87" s="87" t="s">
        <v>40</v>
      </c>
      <c r="F87" s="87" t="s">
        <v>41</v>
      </c>
      <c r="G87" s="87" t="s">
        <v>42</v>
      </c>
      <c r="H87" s="87" t="s">
        <v>43</v>
      </c>
    </row>
    <row r="88" spans="1:8" ht="52.8" x14ac:dyDescent="0.25">
      <c r="A88" s="89" t="s">
        <v>46</v>
      </c>
      <c r="B88" s="89" t="s">
        <v>47</v>
      </c>
      <c r="C88" s="90" t="s">
        <v>161</v>
      </c>
      <c r="D88" s="90" t="s">
        <v>146</v>
      </c>
      <c r="E88" s="90" t="s">
        <v>147</v>
      </c>
      <c r="F88" s="90" t="s">
        <v>148</v>
      </c>
      <c r="G88" s="91" t="s">
        <v>149</v>
      </c>
      <c r="H88" s="91" t="s">
        <v>150</v>
      </c>
    </row>
    <row r="89" spans="1:8" x14ac:dyDescent="0.25">
      <c r="A89" s="86" t="str">
        <f>A9</f>
        <v>NiSource Inc.</v>
      </c>
      <c r="B89" s="87" t="str">
        <f>B9</f>
        <v>NI</v>
      </c>
      <c r="C89" s="96">
        <f>'AEB-9 Risk Premium (Electric)'!$I$49</f>
        <v>4.1000000000000002E-2</v>
      </c>
      <c r="D89" s="94">
        <f>D49</f>
        <v>0.9</v>
      </c>
      <c r="E89" s="95">
        <f>'AEB-8 Market Return'!$C$9</f>
        <v>0.12556998267980807</v>
      </c>
      <c r="F89" s="96">
        <f>E89-C89</f>
        <v>8.4569982679808059E-2</v>
      </c>
      <c r="G89" s="96">
        <f>IFERROR(F89*D89+C89, "")</f>
        <v>0.11711298441182727</v>
      </c>
      <c r="H89" s="96">
        <f>IFERROR((0.25*F89)+(0.75*D89*F89)+C89, "")</f>
        <v>0.11922723397882246</v>
      </c>
    </row>
    <row r="90" spans="1:8" x14ac:dyDescent="0.25">
      <c r="A90" s="86" t="str">
        <f t="shared" ref="A90:B90" si="27">A10</f>
        <v>ALLETE, Inc.</v>
      </c>
      <c r="B90" s="87" t="str">
        <f t="shared" si="27"/>
        <v>ALE</v>
      </c>
      <c r="C90" s="96">
        <f>'AEB-9 Risk Premium (Electric)'!$I$49</f>
        <v>4.1000000000000002E-2</v>
      </c>
      <c r="D90" s="97">
        <f>D50</f>
        <v>0.9</v>
      </c>
      <c r="E90" s="95">
        <f>'AEB-8 Market Return'!$C$9</f>
        <v>0.12556998267980807</v>
      </c>
      <c r="F90" s="96">
        <f t="shared" ref="F90:F109" si="28">E90-C90</f>
        <v>8.4569982679808059E-2</v>
      </c>
      <c r="G90" s="96">
        <f t="shared" ref="G90:G109" si="29">IFERROR(F90*D90+C90, "")</f>
        <v>0.11711298441182727</v>
      </c>
      <c r="H90" s="96">
        <f t="shared" ref="H90:H109" si="30">IFERROR((0.25*F90)+(0.75*D90*F90)+C90, "")</f>
        <v>0.11922723397882246</v>
      </c>
    </row>
    <row r="91" spans="1:8" x14ac:dyDescent="0.25">
      <c r="A91" s="86" t="str">
        <f t="shared" ref="A91:B91" si="31">A11</f>
        <v>Alliant Energy Corporation</v>
      </c>
      <c r="B91" s="87" t="str">
        <f t="shared" si="31"/>
        <v>LNT</v>
      </c>
      <c r="C91" s="96">
        <f>'AEB-9 Risk Premium (Electric)'!$I$49</f>
        <v>4.1000000000000002E-2</v>
      </c>
      <c r="D91" s="97">
        <f t="shared" ref="D91:D109" si="32">D51</f>
        <v>0.85</v>
      </c>
      <c r="E91" s="95">
        <f>'AEB-8 Market Return'!$C$9</f>
        <v>0.12556998267980807</v>
      </c>
      <c r="F91" s="96">
        <f t="shared" si="28"/>
        <v>8.4569982679808059E-2</v>
      </c>
      <c r="G91" s="96">
        <f t="shared" si="29"/>
        <v>0.11288448527783684</v>
      </c>
      <c r="H91" s="96">
        <f t="shared" si="30"/>
        <v>0.11605585962832965</v>
      </c>
    </row>
    <row r="92" spans="1:8" x14ac:dyDescent="0.25">
      <c r="A92" s="86" t="str">
        <f t="shared" ref="A92:B92" si="33">A12</f>
        <v>Ameren Corporation</v>
      </c>
      <c r="B92" s="87" t="str">
        <f t="shared" si="33"/>
        <v>AEE</v>
      </c>
      <c r="C92" s="96">
        <f>'AEB-9 Risk Premium (Electric)'!$I$49</f>
        <v>4.1000000000000002E-2</v>
      </c>
      <c r="D92" s="97">
        <f t="shared" si="32"/>
        <v>0.85</v>
      </c>
      <c r="E92" s="95">
        <f>'AEB-8 Market Return'!$C$9</f>
        <v>0.12556998267980807</v>
      </c>
      <c r="F92" s="96">
        <f t="shared" si="28"/>
        <v>8.4569982679808059E-2</v>
      </c>
      <c r="G92" s="96">
        <f t="shared" si="29"/>
        <v>0.11288448527783684</v>
      </c>
      <c r="H92" s="96">
        <f t="shared" si="30"/>
        <v>0.11605585962832965</v>
      </c>
    </row>
    <row r="93" spans="1:8" x14ac:dyDescent="0.25">
      <c r="A93" s="86" t="str">
        <f t="shared" ref="A93:B93" si="34">A13</f>
        <v>American Electric Power Company, Inc.</v>
      </c>
      <c r="B93" s="87" t="str">
        <f t="shared" si="34"/>
        <v>AEP</v>
      </c>
      <c r="C93" s="96">
        <f>'AEB-9 Risk Premium (Electric)'!$I$49</f>
        <v>4.1000000000000002E-2</v>
      </c>
      <c r="D93" s="97">
        <f t="shared" si="32"/>
        <v>0.8</v>
      </c>
      <c r="E93" s="95">
        <f>'AEB-8 Market Return'!$C$9</f>
        <v>0.12556998267980807</v>
      </c>
      <c r="F93" s="96">
        <f t="shared" si="28"/>
        <v>8.4569982679808059E-2</v>
      </c>
      <c r="G93" s="96">
        <f t="shared" si="29"/>
        <v>0.10865598614384644</v>
      </c>
      <c r="H93" s="96">
        <f t="shared" si="30"/>
        <v>0.11288448527783687</v>
      </c>
    </row>
    <row r="94" spans="1:8" x14ac:dyDescent="0.25">
      <c r="A94" s="86" t="str">
        <f t="shared" ref="A94:B94" si="35">A14</f>
        <v>Avista Corporation</v>
      </c>
      <c r="B94" s="87" t="str">
        <f t="shared" si="35"/>
        <v>AVA</v>
      </c>
      <c r="C94" s="96">
        <f>'AEB-9 Risk Premium (Electric)'!$I$49</f>
        <v>4.1000000000000002E-2</v>
      </c>
      <c r="D94" s="97">
        <f t="shared" si="32"/>
        <v>0.9</v>
      </c>
      <c r="E94" s="95">
        <f>'AEB-8 Market Return'!$C$9</f>
        <v>0.12556998267980807</v>
      </c>
      <c r="F94" s="96">
        <f t="shared" si="28"/>
        <v>8.4569982679808059E-2</v>
      </c>
      <c r="G94" s="96">
        <f t="shared" si="29"/>
        <v>0.11711298441182727</v>
      </c>
      <c r="H94" s="96">
        <f t="shared" si="30"/>
        <v>0.11922723397882246</v>
      </c>
    </row>
    <row r="95" spans="1:8" x14ac:dyDescent="0.25">
      <c r="A95" s="86" t="str">
        <f t="shared" ref="A95:B95" si="36">A15</f>
        <v>Black Hills Corporation</v>
      </c>
      <c r="B95" s="87" t="str">
        <f t="shared" si="36"/>
        <v>BKH</v>
      </c>
      <c r="C95" s="96">
        <f>'AEB-9 Risk Premium (Electric)'!$I$49</f>
        <v>4.1000000000000002E-2</v>
      </c>
      <c r="D95" s="97">
        <f t="shared" si="32"/>
        <v>1</v>
      </c>
      <c r="E95" s="95">
        <f>'AEB-8 Market Return'!$C$9</f>
        <v>0.12556998267980807</v>
      </c>
      <c r="F95" s="96">
        <f t="shared" si="28"/>
        <v>8.4569982679808059E-2</v>
      </c>
      <c r="G95" s="96">
        <f t="shared" si="29"/>
        <v>0.12556998267980807</v>
      </c>
      <c r="H95" s="96">
        <f t="shared" si="30"/>
        <v>0.12556998267980807</v>
      </c>
    </row>
    <row r="96" spans="1:8" x14ac:dyDescent="0.25">
      <c r="A96" s="86" t="str">
        <f t="shared" ref="A96:B96" si="37">A16</f>
        <v>CMS Energy Corporation</v>
      </c>
      <c r="B96" s="87" t="str">
        <f t="shared" si="37"/>
        <v>CMS</v>
      </c>
      <c r="C96" s="96">
        <f>'AEB-9 Risk Premium (Electric)'!$I$49</f>
        <v>4.1000000000000002E-2</v>
      </c>
      <c r="D96" s="97">
        <f t="shared" si="32"/>
        <v>0.8</v>
      </c>
      <c r="E96" s="95">
        <f>'AEB-8 Market Return'!$C$9</f>
        <v>0.12556998267980807</v>
      </c>
      <c r="F96" s="96">
        <f t="shared" si="28"/>
        <v>8.4569982679808059E-2</v>
      </c>
      <c r="G96" s="96">
        <f t="shared" si="29"/>
        <v>0.10865598614384644</v>
      </c>
      <c r="H96" s="96">
        <f t="shared" si="30"/>
        <v>0.11288448527783687</v>
      </c>
    </row>
    <row r="97" spans="1:8" x14ac:dyDescent="0.25">
      <c r="A97" s="86" t="str">
        <f t="shared" ref="A97:B97" si="38">A17</f>
        <v>Duke Energy Corporation</v>
      </c>
      <c r="B97" s="87" t="str">
        <f t="shared" si="38"/>
        <v>DUK</v>
      </c>
      <c r="C97" s="96">
        <f>'AEB-9 Risk Premium (Electric)'!$I$49</f>
        <v>4.1000000000000002E-2</v>
      </c>
      <c r="D97" s="97">
        <f t="shared" si="32"/>
        <v>0.85</v>
      </c>
      <c r="E97" s="95">
        <f>'AEB-8 Market Return'!$C$9</f>
        <v>0.12556998267980807</v>
      </c>
      <c r="F97" s="96">
        <f t="shared" si="28"/>
        <v>8.4569982679808059E-2</v>
      </c>
      <c r="G97" s="96">
        <f t="shared" si="29"/>
        <v>0.11288448527783684</v>
      </c>
      <c r="H97" s="96">
        <f t="shared" si="30"/>
        <v>0.11605585962832965</v>
      </c>
    </row>
    <row r="98" spans="1:8" x14ac:dyDescent="0.25">
      <c r="A98" s="86" t="str">
        <f t="shared" ref="A98:B98" si="39">A18</f>
        <v>Entergy Corporation</v>
      </c>
      <c r="B98" s="87" t="str">
        <f t="shared" si="39"/>
        <v>ETR</v>
      </c>
      <c r="C98" s="96">
        <f>'AEB-9 Risk Premium (Electric)'!$I$49</f>
        <v>4.1000000000000002E-2</v>
      </c>
      <c r="D98" s="97">
        <f t="shared" si="32"/>
        <v>0.95</v>
      </c>
      <c r="E98" s="95">
        <f>'AEB-8 Market Return'!$C$9</f>
        <v>0.12556998267980807</v>
      </c>
      <c r="F98" s="96">
        <f t="shared" si="28"/>
        <v>8.4569982679808059E-2</v>
      </c>
      <c r="G98" s="96">
        <f t="shared" si="29"/>
        <v>0.12134148354581764</v>
      </c>
      <c r="H98" s="96">
        <f t="shared" si="30"/>
        <v>0.12239860832931526</v>
      </c>
    </row>
    <row r="99" spans="1:8" x14ac:dyDescent="0.25">
      <c r="A99" s="86" t="str">
        <f t="shared" ref="A99:B99" si="40">A19</f>
        <v>Evergy, Inc.</v>
      </c>
      <c r="B99" s="87" t="str">
        <f t="shared" si="40"/>
        <v>EVRG</v>
      </c>
      <c r="C99" s="96">
        <f>'AEB-9 Risk Premium (Electric)'!$I$49</f>
        <v>4.1000000000000002E-2</v>
      </c>
      <c r="D99" s="97">
        <f t="shared" si="32"/>
        <v>0.9</v>
      </c>
      <c r="E99" s="95">
        <f>'AEB-8 Market Return'!$C$9</f>
        <v>0.12556998267980807</v>
      </c>
      <c r="F99" s="96">
        <f t="shared" si="28"/>
        <v>8.4569982679808059E-2</v>
      </c>
      <c r="G99" s="96">
        <f t="shared" si="29"/>
        <v>0.11711298441182727</v>
      </c>
      <c r="H99" s="96">
        <f t="shared" si="30"/>
        <v>0.11922723397882246</v>
      </c>
    </row>
    <row r="100" spans="1:8" x14ac:dyDescent="0.25">
      <c r="A100" s="86" t="str">
        <f t="shared" ref="A100:B100" si="41">A20</f>
        <v>IDACORP, Inc.</v>
      </c>
      <c r="B100" s="87" t="str">
        <f t="shared" si="41"/>
        <v>IDA</v>
      </c>
      <c r="C100" s="96">
        <f>'AEB-9 Risk Premium (Electric)'!$I$49</f>
        <v>4.1000000000000002E-2</v>
      </c>
      <c r="D100" s="97">
        <f t="shared" si="32"/>
        <v>0.85</v>
      </c>
      <c r="E100" s="95">
        <f>'AEB-8 Market Return'!$C$9</f>
        <v>0.12556998267980807</v>
      </c>
      <c r="F100" s="96">
        <f t="shared" si="28"/>
        <v>8.4569982679808059E-2</v>
      </c>
      <c r="G100" s="96">
        <f t="shared" si="29"/>
        <v>0.11288448527783684</v>
      </c>
      <c r="H100" s="96">
        <f t="shared" si="30"/>
        <v>0.11605585962832965</v>
      </c>
    </row>
    <row r="101" spans="1:8" x14ac:dyDescent="0.25">
      <c r="A101" s="86" t="str">
        <f t="shared" ref="A101:B101" si="42">A21</f>
        <v>MGE Energy, Inc.</v>
      </c>
      <c r="B101" s="87" t="str">
        <f t="shared" si="42"/>
        <v>MGEE</v>
      </c>
      <c r="C101" s="96">
        <f>'AEB-9 Risk Premium (Electric)'!$I$49</f>
        <v>4.1000000000000002E-2</v>
      </c>
      <c r="D101" s="97">
        <f t="shared" si="32"/>
        <v>0.75</v>
      </c>
      <c r="E101" s="95">
        <f>'AEB-8 Market Return'!$C$9</f>
        <v>0.12556998267980807</v>
      </c>
      <c r="F101" s="96">
        <f t="shared" si="28"/>
        <v>8.4569982679808059E-2</v>
      </c>
      <c r="G101" s="96">
        <f t="shared" si="29"/>
        <v>0.10442748700985605</v>
      </c>
      <c r="H101" s="96">
        <f t="shared" si="30"/>
        <v>0.10971311092734407</v>
      </c>
    </row>
    <row r="102" spans="1:8" x14ac:dyDescent="0.25">
      <c r="A102" s="86" t="str">
        <f t="shared" ref="A102:B102" si="43">A22</f>
        <v>NextEra Energy, Inc.</v>
      </c>
      <c r="B102" s="87" t="str">
        <f t="shared" si="43"/>
        <v>NEE</v>
      </c>
      <c r="C102" s="96">
        <f>'AEB-9 Risk Premium (Electric)'!$I$49</f>
        <v>4.1000000000000002E-2</v>
      </c>
      <c r="D102" s="97">
        <f t="shared" si="32"/>
        <v>0.95</v>
      </c>
      <c r="E102" s="95">
        <f>'AEB-8 Market Return'!$C$9</f>
        <v>0.12556998267980807</v>
      </c>
      <c r="F102" s="96">
        <f t="shared" si="28"/>
        <v>8.4569982679808059E-2</v>
      </c>
      <c r="G102" s="96">
        <f t="shared" si="29"/>
        <v>0.12134148354581764</v>
      </c>
      <c r="H102" s="96">
        <f t="shared" si="30"/>
        <v>0.12239860832931526</v>
      </c>
    </row>
    <row r="103" spans="1:8" x14ac:dyDescent="0.25">
      <c r="A103" s="86" t="str">
        <f t="shared" ref="A103:B103" si="44">A23</f>
        <v>NorthWestern Corporation</v>
      </c>
      <c r="B103" s="87" t="str">
        <f t="shared" si="44"/>
        <v>NWE</v>
      </c>
      <c r="C103" s="96">
        <f>'AEB-9 Risk Premium (Electric)'!$I$49</f>
        <v>4.1000000000000002E-2</v>
      </c>
      <c r="D103" s="97">
        <f t="shared" si="32"/>
        <v>0.95</v>
      </c>
      <c r="E103" s="95">
        <f>'AEB-8 Market Return'!$C$9</f>
        <v>0.12556998267980807</v>
      </c>
      <c r="F103" s="96">
        <f t="shared" si="28"/>
        <v>8.4569982679808059E-2</v>
      </c>
      <c r="G103" s="96">
        <f t="shared" si="29"/>
        <v>0.12134148354581764</v>
      </c>
      <c r="H103" s="96">
        <f t="shared" si="30"/>
        <v>0.12239860832931526</v>
      </c>
    </row>
    <row r="104" spans="1:8" x14ac:dyDescent="0.25">
      <c r="A104" s="86" t="str">
        <f t="shared" ref="A104:B104" si="45">A24</f>
        <v>OGE Energy Corporation</v>
      </c>
      <c r="B104" s="87" t="str">
        <f t="shared" si="45"/>
        <v>OGE</v>
      </c>
      <c r="C104" s="96">
        <f>'AEB-9 Risk Premium (Electric)'!$I$49</f>
        <v>4.1000000000000002E-2</v>
      </c>
      <c r="D104" s="97">
        <f t="shared" si="32"/>
        <v>1.05</v>
      </c>
      <c r="E104" s="95">
        <f>'AEB-8 Market Return'!$C$9</f>
        <v>0.12556998267980807</v>
      </c>
      <c r="F104" s="96">
        <f t="shared" si="28"/>
        <v>8.4569982679808059E-2</v>
      </c>
      <c r="G104" s="96">
        <f t="shared" si="29"/>
        <v>0.12979848181379847</v>
      </c>
      <c r="H104" s="96">
        <f t="shared" si="30"/>
        <v>0.12874135703030087</v>
      </c>
    </row>
    <row r="105" spans="1:8" x14ac:dyDescent="0.25">
      <c r="A105" s="86" t="str">
        <f t="shared" ref="A105:B105" si="46">A25</f>
        <v>Pinnacle West Capital Corporation</v>
      </c>
      <c r="B105" s="87" t="str">
        <f t="shared" si="46"/>
        <v>PNW</v>
      </c>
      <c r="C105" s="96">
        <f>'AEB-9 Risk Premium (Electric)'!$I$49</f>
        <v>4.1000000000000002E-2</v>
      </c>
      <c r="D105" s="97">
        <f t="shared" si="32"/>
        <v>0.95</v>
      </c>
      <c r="E105" s="95">
        <f>'AEB-8 Market Return'!$C$9</f>
        <v>0.12556998267980807</v>
      </c>
      <c r="F105" s="96">
        <f t="shared" si="28"/>
        <v>8.4569982679808059E-2</v>
      </c>
      <c r="G105" s="96">
        <f t="shared" si="29"/>
        <v>0.12134148354581764</v>
      </c>
      <c r="H105" s="96">
        <f t="shared" si="30"/>
        <v>0.12239860832931526</v>
      </c>
    </row>
    <row r="106" spans="1:8" x14ac:dyDescent="0.25">
      <c r="A106" s="86" t="str">
        <f t="shared" ref="A106:B106" si="47">A26</f>
        <v>Portland General Electric Company</v>
      </c>
      <c r="B106" s="87" t="str">
        <f t="shared" si="47"/>
        <v>POR</v>
      </c>
      <c r="C106" s="96">
        <f>'AEB-9 Risk Premium (Electric)'!$I$49</f>
        <v>4.1000000000000002E-2</v>
      </c>
      <c r="D106" s="97">
        <f t="shared" si="32"/>
        <v>0.9</v>
      </c>
      <c r="E106" s="95">
        <f>'AEB-8 Market Return'!$C$9</f>
        <v>0.12556998267980807</v>
      </c>
      <c r="F106" s="96">
        <f t="shared" si="28"/>
        <v>8.4569982679808059E-2</v>
      </c>
      <c r="G106" s="96">
        <f t="shared" si="29"/>
        <v>0.11711298441182727</v>
      </c>
      <c r="H106" s="96">
        <f t="shared" si="30"/>
        <v>0.11922723397882246</v>
      </c>
    </row>
    <row r="107" spans="1:8" x14ac:dyDescent="0.25">
      <c r="A107" s="86" t="str">
        <f t="shared" ref="A107:B107" si="48">A27</f>
        <v>Southern Company</v>
      </c>
      <c r="B107" s="87" t="str">
        <f t="shared" si="48"/>
        <v>SO</v>
      </c>
      <c r="C107" s="96">
        <f>'AEB-9 Risk Premium (Electric)'!$I$49</f>
        <v>4.1000000000000002E-2</v>
      </c>
      <c r="D107" s="97">
        <f t="shared" si="32"/>
        <v>0.9</v>
      </c>
      <c r="E107" s="95">
        <f>'AEB-8 Market Return'!$C$9</f>
        <v>0.12556998267980807</v>
      </c>
      <c r="F107" s="96">
        <f t="shared" si="28"/>
        <v>8.4569982679808059E-2</v>
      </c>
      <c r="G107" s="96">
        <f t="shared" si="29"/>
        <v>0.11711298441182727</v>
      </c>
      <c r="H107" s="96">
        <f t="shared" si="30"/>
        <v>0.11922723397882246</v>
      </c>
    </row>
    <row r="108" spans="1:8" x14ac:dyDescent="0.25">
      <c r="A108" s="86" t="str">
        <f t="shared" ref="A108:B108" si="49">A28</f>
        <v>Wisconsin Energy Corporation</v>
      </c>
      <c r="B108" s="87" t="str">
        <f t="shared" si="49"/>
        <v>WEC</v>
      </c>
      <c r="C108" s="96">
        <f>'AEB-9 Risk Premium (Electric)'!$I$49</f>
        <v>4.1000000000000002E-2</v>
      </c>
      <c r="D108" s="97">
        <f t="shared" si="32"/>
        <v>0.8</v>
      </c>
      <c r="E108" s="95">
        <f>'AEB-8 Market Return'!$C$9</f>
        <v>0.12556998267980807</v>
      </c>
      <c r="F108" s="96">
        <f t="shared" si="28"/>
        <v>8.4569982679808059E-2</v>
      </c>
      <c r="G108" s="96">
        <f t="shared" si="29"/>
        <v>0.10865598614384644</v>
      </c>
      <c r="H108" s="96">
        <f t="shared" si="30"/>
        <v>0.11288448527783687</v>
      </c>
    </row>
    <row r="109" spans="1:8" x14ac:dyDescent="0.25">
      <c r="A109" s="86" t="str">
        <f t="shared" ref="A109:B109" si="50">A29</f>
        <v>Xcel Energy Inc.</v>
      </c>
      <c r="B109" s="87" t="str">
        <f t="shared" si="50"/>
        <v>XEL</v>
      </c>
      <c r="C109" s="96">
        <f>'AEB-9 Risk Premium (Electric)'!$I$49</f>
        <v>4.1000000000000002E-2</v>
      </c>
      <c r="D109" s="97">
        <f t="shared" si="32"/>
        <v>0.85</v>
      </c>
      <c r="E109" s="95">
        <f>'AEB-8 Market Return'!$C$9</f>
        <v>0.12556998267980807</v>
      </c>
      <c r="F109" s="96">
        <f t="shared" si="28"/>
        <v>8.4569982679808059E-2</v>
      </c>
      <c r="G109" s="96">
        <f t="shared" si="29"/>
        <v>0.11288448527783684</v>
      </c>
      <c r="H109" s="96">
        <f t="shared" si="30"/>
        <v>0.11605585962832965</v>
      </c>
    </row>
    <row r="110" spans="1:8" x14ac:dyDescent="0.25">
      <c r="A110" s="98" t="s">
        <v>5</v>
      </c>
      <c r="B110" s="99"/>
      <c r="C110" s="99"/>
      <c r="D110" s="94"/>
      <c r="E110" s="98"/>
      <c r="F110" s="98"/>
      <c r="G110" s="100">
        <f>AVERAGE(G89:G109)</f>
        <v>0.11610619890373428</v>
      </c>
      <c r="H110" s="100">
        <f>AVERAGE(H89:H109)</f>
        <v>0.11847214484775276</v>
      </c>
    </row>
    <row r="111" spans="1:8" ht="13.8" thickBot="1" x14ac:dyDescent="0.3">
      <c r="A111" s="101" t="s">
        <v>14</v>
      </c>
      <c r="B111" s="102"/>
      <c r="C111" s="102"/>
      <c r="D111" s="103"/>
      <c r="E111" s="101"/>
      <c r="F111" s="101"/>
      <c r="G111" s="104">
        <f>MEDIAN(G89:G109)</f>
        <v>0.11711298441182727</v>
      </c>
      <c r="H111" s="104">
        <f>MEDIAN(H89:H109)</f>
        <v>0.11922723397882246</v>
      </c>
    </row>
    <row r="113" spans="1:8" x14ac:dyDescent="0.25">
      <c r="A113" s="105" t="s">
        <v>104</v>
      </c>
    </row>
    <row r="114" spans="1:8" x14ac:dyDescent="0.25">
      <c r="A114" s="86" t="s">
        <v>162</v>
      </c>
    </row>
    <row r="115" spans="1:8" x14ac:dyDescent="0.25">
      <c r="A115" s="86" t="s">
        <v>152</v>
      </c>
    </row>
    <row r="116" spans="1:8" x14ac:dyDescent="0.25">
      <c r="A116" s="86" t="str">
        <f>$A$36</f>
        <v>[3] Source: Market Return</v>
      </c>
    </row>
    <row r="117" spans="1:8" x14ac:dyDescent="0.25">
      <c r="A117" s="86" t="s">
        <v>154</v>
      </c>
    </row>
    <row r="118" spans="1:8" x14ac:dyDescent="0.25">
      <c r="A118" s="86" t="s">
        <v>155</v>
      </c>
    </row>
    <row r="119" spans="1:8" x14ac:dyDescent="0.25">
      <c r="A119" s="86" t="s">
        <v>156</v>
      </c>
    </row>
    <row r="122" spans="1:8" ht="13.5" customHeight="1" x14ac:dyDescent="0.25">
      <c r="A122" s="385" t="s">
        <v>163</v>
      </c>
      <c r="B122" s="385"/>
      <c r="C122" s="385"/>
      <c r="D122" s="385"/>
      <c r="E122" s="385"/>
      <c r="F122" s="385"/>
      <c r="G122" s="385"/>
      <c r="H122" s="385"/>
    </row>
    <row r="124" spans="1:8" x14ac:dyDescent="0.25">
      <c r="A124" s="385" t="s">
        <v>143</v>
      </c>
      <c r="B124" s="385"/>
      <c r="C124" s="385"/>
      <c r="D124" s="385"/>
      <c r="E124" s="385"/>
      <c r="F124" s="385"/>
      <c r="G124" s="385"/>
      <c r="H124" s="385"/>
    </row>
    <row r="125" spans="1:8" x14ac:dyDescent="0.25">
      <c r="A125" s="385" t="s">
        <v>144</v>
      </c>
      <c r="B125" s="385"/>
      <c r="C125" s="385"/>
      <c r="D125" s="385"/>
      <c r="E125" s="385"/>
      <c r="F125" s="385"/>
      <c r="G125" s="385"/>
      <c r="H125" s="385"/>
    </row>
    <row r="127" spans="1:8" ht="13.8" thickBot="1" x14ac:dyDescent="0.3">
      <c r="C127" s="87" t="s">
        <v>38</v>
      </c>
      <c r="D127" s="87" t="s">
        <v>39</v>
      </c>
      <c r="E127" s="87" t="s">
        <v>40</v>
      </c>
      <c r="F127" s="87" t="s">
        <v>41</v>
      </c>
      <c r="G127" s="87" t="s">
        <v>42</v>
      </c>
      <c r="H127" s="87" t="s">
        <v>43</v>
      </c>
    </row>
    <row r="128" spans="1:8" ht="52.8" x14ac:dyDescent="0.25">
      <c r="A128" s="89" t="s">
        <v>46</v>
      </c>
      <c r="B128" s="89" t="s">
        <v>47</v>
      </c>
      <c r="C128" s="90" t="str">
        <f>C8</f>
        <v>Current 30-day average of 30-year U.S. Treasury bond yield</v>
      </c>
      <c r="D128" s="90" t="s">
        <v>146</v>
      </c>
      <c r="E128" s="90" t="s">
        <v>147</v>
      </c>
      <c r="F128" s="90" t="s">
        <v>148</v>
      </c>
      <c r="G128" s="91" t="s">
        <v>149</v>
      </c>
      <c r="H128" s="91" t="s">
        <v>150</v>
      </c>
    </row>
    <row r="129" spans="1:8" x14ac:dyDescent="0.25">
      <c r="A129" s="106" t="str">
        <f>A9</f>
        <v>NiSource Inc.</v>
      </c>
      <c r="B129" s="96" t="str">
        <f>B9</f>
        <v>NI</v>
      </c>
      <c r="C129" s="96">
        <f>C9</f>
        <v>4.7746666666666673E-2</v>
      </c>
      <c r="D129" s="94">
        <v>0.81221884766281582</v>
      </c>
      <c r="E129" s="107">
        <f>'AEB-8 Market Return'!$C$9</f>
        <v>0.12556998267980807</v>
      </c>
      <c r="F129" s="100">
        <f>E129-C129</f>
        <v>7.7823316013141394E-2</v>
      </c>
      <c r="G129" s="100">
        <f>IFERROR(F129*D129+C129, "")</f>
        <v>0.11095623072015953</v>
      </c>
      <c r="H129" s="100">
        <f>IFERROR((0.25*F129)+(0.75*D129*F129)+C129, "")</f>
        <v>0.11460966871007167</v>
      </c>
    </row>
    <row r="130" spans="1:8" x14ac:dyDescent="0.25">
      <c r="A130" s="106" t="str">
        <f t="shared" ref="A130:C130" si="51">A10</f>
        <v>ALLETE, Inc.</v>
      </c>
      <c r="B130" s="96" t="str">
        <f t="shared" si="51"/>
        <v>ALE</v>
      </c>
      <c r="C130" s="96">
        <f t="shared" si="51"/>
        <v>4.7746666666666673E-2</v>
      </c>
      <c r="D130" s="97">
        <v>0.82532476466596649</v>
      </c>
      <c r="E130" s="95">
        <f>'AEB-8 Market Return'!$C$9</f>
        <v>0.12556998267980807</v>
      </c>
      <c r="F130" s="96">
        <f t="shared" ref="F130:F149" si="52">E130-C130</f>
        <v>7.7823316013141394E-2</v>
      </c>
      <c r="G130" s="96">
        <f t="shared" ref="G130:G149" si="53">IFERROR(F130*D130+C130, "")</f>
        <v>0.11197617664073774</v>
      </c>
      <c r="H130" s="96">
        <f t="shared" ref="H130:H149" si="54">IFERROR((0.25*F130)+(0.75*D130*F130)+C130, "")</f>
        <v>0.11537462815050532</v>
      </c>
    </row>
    <row r="131" spans="1:8" x14ac:dyDescent="0.25">
      <c r="A131" s="106" t="str">
        <f t="shared" ref="A131:C131" si="55">A11</f>
        <v>Alliant Energy Corporation</v>
      </c>
      <c r="B131" s="96" t="str">
        <f t="shared" si="55"/>
        <v>LNT</v>
      </c>
      <c r="C131" s="96">
        <f t="shared" si="55"/>
        <v>4.7746666666666673E-2</v>
      </c>
      <c r="D131" s="97">
        <v>0.78922161419805126</v>
      </c>
      <c r="E131" s="95">
        <f>'AEB-8 Market Return'!$C$9</f>
        <v>0.12556998267980807</v>
      </c>
      <c r="F131" s="96">
        <f t="shared" si="52"/>
        <v>7.7823316013141394E-2</v>
      </c>
      <c r="G131" s="96">
        <f t="shared" si="53"/>
        <v>0.10916650975280318</v>
      </c>
      <c r="H131" s="96">
        <f t="shared" si="54"/>
        <v>0.1132673779845544</v>
      </c>
    </row>
    <row r="132" spans="1:8" x14ac:dyDescent="0.25">
      <c r="A132" s="106" t="str">
        <f t="shared" ref="A132:C132" si="56">A12</f>
        <v>Ameren Corporation</v>
      </c>
      <c r="B132" s="96" t="str">
        <f t="shared" si="56"/>
        <v>AEE</v>
      </c>
      <c r="C132" s="96">
        <f t="shared" si="56"/>
        <v>4.7746666666666673E-2</v>
      </c>
      <c r="D132" s="97">
        <v>0.74969085841891636</v>
      </c>
      <c r="E132" s="95">
        <f>'AEB-8 Market Return'!$C$9</f>
        <v>0.12556998267980807</v>
      </c>
      <c r="F132" s="96">
        <f t="shared" si="52"/>
        <v>7.7823316013141394E-2</v>
      </c>
      <c r="G132" s="96">
        <f t="shared" si="53"/>
        <v>0.10609009525356525</v>
      </c>
      <c r="H132" s="96">
        <f t="shared" si="54"/>
        <v>0.11096006711012595</v>
      </c>
    </row>
    <row r="133" spans="1:8" x14ac:dyDescent="0.25">
      <c r="A133" s="106" t="str">
        <f t="shared" ref="A133:C133" si="57">A13</f>
        <v>American Electric Power Company, Inc.</v>
      </c>
      <c r="B133" s="96" t="str">
        <f t="shared" si="57"/>
        <v>AEP</v>
      </c>
      <c r="C133" s="96">
        <f t="shared" si="57"/>
        <v>4.7746666666666673E-2</v>
      </c>
      <c r="D133" s="97">
        <v>0.75546055448362082</v>
      </c>
      <c r="E133" s="95">
        <f>'AEB-8 Market Return'!$C$9</f>
        <v>0.12556998267980807</v>
      </c>
      <c r="F133" s="96">
        <f t="shared" si="52"/>
        <v>7.7823316013141394E-2</v>
      </c>
      <c r="G133" s="96">
        <f t="shared" si="53"/>
        <v>0.10653911213370851</v>
      </c>
      <c r="H133" s="96">
        <f t="shared" si="54"/>
        <v>0.1112968297702334</v>
      </c>
    </row>
    <row r="134" spans="1:8" x14ac:dyDescent="0.25">
      <c r="A134" s="106" t="str">
        <f t="shared" ref="A134:C134" si="58">A14</f>
        <v>Avista Corporation</v>
      </c>
      <c r="B134" s="96" t="str">
        <f t="shared" si="58"/>
        <v>AVA</v>
      </c>
      <c r="C134" s="96">
        <f t="shared" si="58"/>
        <v>4.7746666666666673E-2</v>
      </c>
      <c r="D134" s="97">
        <v>0.76129138621537207</v>
      </c>
      <c r="E134" s="95">
        <f>'AEB-8 Market Return'!$C$9</f>
        <v>0.12556998267980807</v>
      </c>
      <c r="F134" s="96">
        <f t="shared" si="52"/>
        <v>7.7823316013141394E-2</v>
      </c>
      <c r="G134" s="96">
        <f t="shared" si="53"/>
        <v>0.10699288679418806</v>
      </c>
      <c r="H134" s="96">
        <f t="shared" si="54"/>
        <v>0.11163716076559305</v>
      </c>
    </row>
    <row r="135" spans="1:8" x14ac:dyDescent="0.25">
      <c r="A135" s="106" t="str">
        <f t="shared" ref="A135:C135" si="59">A15</f>
        <v>Black Hills Corporation</v>
      </c>
      <c r="B135" s="96" t="str">
        <f t="shared" si="59"/>
        <v>BKH</v>
      </c>
      <c r="C135" s="96">
        <f t="shared" si="59"/>
        <v>4.7746666666666673E-2</v>
      </c>
      <c r="D135" s="97">
        <v>0.90119733764836996</v>
      </c>
      <c r="E135" s="95">
        <f>'AEB-8 Market Return'!$C$9</f>
        <v>0.12556998267980807</v>
      </c>
      <c r="F135" s="96">
        <f t="shared" si="52"/>
        <v>7.7823316013141394E-2</v>
      </c>
      <c r="G135" s="96">
        <f t="shared" si="53"/>
        <v>0.11788083186467746</v>
      </c>
      <c r="H135" s="96">
        <f t="shared" si="54"/>
        <v>0.11980311956846011</v>
      </c>
    </row>
    <row r="136" spans="1:8" x14ac:dyDescent="0.25">
      <c r="A136" s="106" t="str">
        <f t="shared" ref="A136:C136" si="60">A16</f>
        <v>CMS Energy Corporation</v>
      </c>
      <c r="B136" s="96" t="str">
        <f t="shared" si="60"/>
        <v>CMS</v>
      </c>
      <c r="C136" s="96">
        <f t="shared" si="60"/>
        <v>4.7746666666666673E-2</v>
      </c>
      <c r="D136" s="97">
        <v>0.74649321994281781</v>
      </c>
      <c r="E136" s="95">
        <f>'AEB-8 Market Return'!$C$9</f>
        <v>0.12556998267980807</v>
      </c>
      <c r="F136" s="96">
        <f t="shared" si="52"/>
        <v>7.7823316013141394E-2</v>
      </c>
      <c r="G136" s="96">
        <f t="shared" si="53"/>
        <v>0.10584124442394405</v>
      </c>
      <c r="H136" s="96">
        <f t="shared" si="54"/>
        <v>0.11077342898791005</v>
      </c>
    </row>
    <row r="137" spans="1:8" x14ac:dyDescent="0.25">
      <c r="A137" s="106" t="str">
        <f t="shared" ref="A137:C137" si="61">A17</f>
        <v>Duke Energy Corporation</v>
      </c>
      <c r="B137" s="96" t="str">
        <f t="shared" si="61"/>
        <v>DUK</v>
      </c>
      <c r="C137" s="96">
        <f t="shared" si="61"/>
        <v>4.7746666666666673E-2</v>
      </c>
      <c r="D137" s="97">
        <v>0.71519964612466846</v>
      </c>
      <c r="E137" s="95">
        <f>'AEB-8 Market Return'!$C$9</f>
        <v>0.12556998267980807</v>
      </c>
      <c r="F137" s="96">
        <f t="shared" si="52"/>
        <v>7.7823316013141394E-2</v>
      </c>
      <c r="G137" s="96">
        <f t="shared" si="53"/>
        <v>0.10340587473951365</v>
      </c>
      <c r="H137" s="96">
        <f t="shared" si="54"/>
        <v>0.10894690172458725</v>
      </c>
    </row>
    <row r="138" spans="1:8" x14ac:dyDescent="0.25">
      <c r="A138" s="106" t="str">
        <f t="shared" ref="A138:C138" si="62">A18</f>
        <v>Entergy Corporation</v>
      </c>
      <c r="B138" s="96" t="str">
        <f t="shared" si="62"/>
        <v>ETR</v>
      </c>
      <c r="C138" s="96">
        <f t="shared" si="62"/>
        <v>4.7746666666666673E-2</v>
      </c>
      <c r="D138" s="97">
        <v>0.85876883535557003</v>
      </c>
      <c r="E138" s="95">
        <f>'AEB-8 Market Return'!$C$9</f>
        <v>0.12556998267980807</v>
      </c>
      <c r="F138" s="96">
        <f t="shared" si="52"/>
        <v>7.7823316013141394E-2</v>
      </c>
      <c r="G138" s="96">
        <f t="shared" si="53"/>
        <v>0.11457890512278059</v>
      </c>
      <c r="H138" s="96">
        <f t="shared" si="54"/>
        <v>0.11732667451203746</v>
      </c>
    </row>
    <row r="139" spans="1:8" x14ac:dyDescent="0.25">
      <c r="A139" s="106" t="str">
        <f t="shared" ref="A139:C139" si="63">A19</f>
        <v>Evergy, Inc.</v>
      </c>
      <c r="B139" s="96" t="str">
        <f t="shared" si="63"/>
        <v>EVRG</v>
      </c>
      <c r="C139" s="96">
        <f t="shared" si="63"/>
        <v>4.7746666666666673E-2</v>
      </c>
      <c r="D139" s="97">
        <v>0.7803890635203713</v>
      </c>
      <c r="E139" s="95">
        <f>'AEB-8 Market Return'!$C$9</f>
        <v>0.12556998267980807</v>
      </c>
      <c r="F139" s="96">
        <f t="shared" si="52"/>
        <v>7.7823316013141394E-2</v>
      </c>
      <c r="G139" s="96">
        <f t="shared" si="53"/>
        <v>0.10847913137021201</v>
      </c>
      <c r="H139" s="96">
        <f t="shared" si="54"/>
        <v>0.11275184419761101</v>
      </c>
    </row>
    <row r="140" spans="1:8" x14ac:dyDescent="0.25">
      <c r="A140" s="106" t="str">
        <f t="shared" ref="A140:C140" si="64">A20</f>
        <v>IDACORP, Inc.</v>
      </c>
      <c r="B140" s="96" t="str">
        <f t="shared" si="64"/>
        <v>IDA</v>
      </c>
      <c r="C140" s="96">
        <f t="shared" si="64"/>
        <v>4.7746666666666673E-2</v>
      </c>
      <c r="D140" s="97">
        <v>0.7985881065352034</v>
      </c>
      <c r="E140" s="95">
        <f>'AEB-8 Market Return'!$C$9</f>
        <v>0.12556998267980807</v>
      </c>
      <c r="F140" s="96">
        <f t="shared" si="52"/>
        <v>7.7823316013141394E-2</v>
      </c>
      <c r="G140" s="96">
        <f t="shared" si="53"/>
        <v>0.10989544124589204</v>
      </c>
      <c r="H140" s="96">
        <f t="shared" si="54"/>
        <v>0.11381407660437104</v>
      </c>
    </row>
    <row r="141" spans="1:8" x14ac:dyDescent="0.25">
      <c r="A141" s="106" t="str">
        <f t="shared" ref="A141:C141" si="65">A21</f>
        <v>MGE Energy, Inc.</v>
      </c>
      <c r="B141" s="96" t="str">
        <f t="shared" si="65"/>
        <v>MGEE</v>
      </c>
      <c r="C141" s="96">
        <f t="shared" si="65"/>
        <v>4.7746666666666673E-2</v>
      </c>
      <c r="D141" s="97">
        <v>0.68213364263752785</v>
      </c>
      <c r="E141" s="95">
        <f>'AEB-8 Market Return'!$C$9</f>
        <v>0.12556998267980807</v>
      </c>
      <c r="F141" s="96">
        <f t="shared" si="52"/>
        <v>7.7823316013141394E-2</v>
      </c>
      <c r="G141" s="96">
        <f t="shared" si="53"/>
        <v>0.10083256870084226</v>
      </c>
      <c r="H141" s="96">
        <f t="shared" si="54"/>
        <v>0.10701692219558372</v>
      </c>
    </row>
    <row r="142" spans="1:8" x14ac:dyDescent="0.25">
      <c r="A142" s="106" t="str">
        <f t="shared" ref="A142:C142" si="66">A22</f>
        <v>NextEra Energy, Inc.</v>
      </c>
      <c r="B142" s="96" t="str">
        <f t="shared" si="66"/>
        <v>NEE</v>
      </c>
      <c r="C142" s="96">
        <f t="shared" si="66"/>
        <v>4.7746666666666673E-2</v>
      </c>
      <c r="D142" s="97">
        <v>0.81301043299994857</v>
      </c>
      <c r="E142" s="95">
        <f>'AEB-8 Market Return'!$C$9</f>
        <v>0.12556998267980807</v>
      </c>
      <c r="F142" s="96">
        <f t="shared" si="52"/>
        <v>7.7823316013141394E-2</v>
      </c>
      <c r="G142" s="96">
        <f t="shared" si="53"/>
        <v>0.11101783451600258</v>
      </c>
      <c r="H142" s="96">
        <f t="shared" si="54"/>
        <v>0.11465587155695396</v>
      </c>
    </row>
    <row r="143" spans="1:8" x14ac:dyDescent="0.25">
      <c r="A143" s="106" t="str">
        <f t="shared" ref="A143:C143" si="67">A23</f>
        <v>NorthWestern Corporation</v>
      </c>
      <c r="B143" s="96" t="str">
        <f t="shared" si="67"/>
        <v>NWE</v>
      </c>
      <c r="C143" s="96">
        <f t="shared" si="67"/>
        <v>4.7746666666666673E-2</v>
      </c>
      <c r="D143" s="97">
        <v>0.86706222776323971</v>
      </c>
      <c r="E143" s="95">
        <f>'AEB-8 Market Return'!$C$9</f>
        <v>0.12556998267980807</v>
      </c>
      <c r="F143" s="96">
        <f t="shared" si="52"/>
        <v>7.7823316013141394E-2</v>
      </c>
      <c r="G143" s="96">
        <f t="shared" si="53"/>
        <v>0.11522432442094366</v>
      </c>
      <c r="H143" s="96">
        <f t="shared" si="54"/>
        <v>0.11781073898565976</v>
      </c>
    </row>
    <row r="144" spans="1:8" x14ac:dyDescent="0.25">
      <c r="A144" s="106" t="str">
        <f t="shared" ref="A144:C144" si="68">A24</f>
        <v>OGE Energy Corporation</v>
      </c>
      <c r="B144" s="96" t="str">
        <f t="shared" si="68"/>
        <v>OGE</v>
      </c>
      <c r="C144" s="96">
        <f t="shared" si="68"/>
        <v>4.7746666666666673E-2</v>
      </c>
      <c r="D144" s="97">
        <v>0.9151169237846466</v>
      </c>
      <c r="E144" s="95">
        <f>'AEB-8 Market Return'!$C$9</f>
        <v>0.12556998267980807</v>
      </c>
      <c r="F144" s="96">
        <f t="shared" si="52"/>
        <v>7.7823316013141394E-2</v>
      </c>
      <c r="G144" s="96">
        <f t="shared" si="53"/>
        <v>0.11896410021533306</v>
      </c>
      <c r="H144" s="96">
        <f t="shared" si="54"/>
        <v>0.12061557083145182</v>
      </c>
    </row>
    <row r="145" spans="1:8" x14ac:dyDescent="0.25">
      <c r="A145" s="106" t="str">
        <f t="shared" ref="A145:C145" si="69">A25</f>
        <v>Pinnacle West Capital Corporation</v>
      </c>
      <c r="B145" s="96" t="str">
        <f t="shared" si="69"/>
        <v>PNW</v>
      </c>
      <c r="C145" s="96">
        <f t="shared" si="69"/>
        <v>4.7746666666666673E-2</v>
      </c>
      <c r="D145" s="97">
        <v>0.81864219502859181</v>
      </c>
      <c r="E145" s="95">
        <f>'AEB-8 Market Return'!$C$9</f>
        <v>0.12556998267980807</v>
      </c>
      <c r="F145" s="96">
        <f t="shared" si="52"/>
        <v>7.7823316013141394E-2</v>
      </c>
      <c r="G145" s="96">
        <f t="shared" si="53"/>
        <v>0.1114561169120685</v>
      </c>
      <c r="H145" s="96">
        <f t="shared" si="54"/>
        <v>0.11498458335400338</v>
      </c>
    </row>
    <row r="146" spans="1:8" x14ac:dyDescent="0.25">
      <c r="A146" s="106" t="str">
        <f t="shared" ref="A146:C146" si="70">A26</f>
        <v>Portland General Electric Company</v>
      </c>
      <c r="B146" s="96" t="str">
        <f t="shared" si="70"/>
        <v>POR</v>
      </c>
      <c r="C146" s="96">
        <f t="shared" si="70"/>
        <v>4.7746666666666673E-2</v>
      </c>
      <c r="D146" s="97">
        <v>0.7895126372488076</v>
      </c>
      <c r="E146" s="95">
        <f>'AEB-8 Market Return'!$C$9</f>
        <v>0.12556998267980807</v>
      </c>
      <c r="F146" s="96">
        <f t="shared" si="52"/>
        <v>7.7823316013141394E-2</v>
      </c>
      <c r="G146" s="96">
        <f t="shared" si="53"/>
        <v>0.1091891581316493</v>
      </c>
      <c r="H146" s="96">
        <f t="shared" si="54"/>
        <v>0.11328436426868899</v>
      </c>
    </row>
    <row r="147" spans="1:8" x14ac:dyDescent="0.25">
      <c r="A147" s="106" t="str">
        <f t="shared" ref="A147:C147" si="71">A27</f>
        <v>Southern Company</v>
      </c>
      <c r="B147" s="96" t="str">
        <f t="shared" si="71"/>
        <v>SO</v>
      </c>
      <c r="C147" s="96">
        <f t="shared" si="71"/>
        <v>4.7746666666666673E-2</v>
      </c>
      <c r="D147" s="97">
        <v>0.77457916904144153</v>
      </c>
      <c r="E147" s="95">
        <f>'AEB-8 Market Return'!$C$9</f>
        <v>0.12556998267980807</v>
      </c>
      <c r="F147" s="96">
        <f t="shared" si="52"/>
        <v>7.7823316013141394E-2</v>
      </c>
      <c r="G147" s="96">
        <f t="shared" si="53"/>
        <v>0.10802698611617524</v>
      </c>
      <c r="H147" s="96">
        <f t="shared" si="54"/>
        <v>0.11241273525708345</v>
      </c>
    </row>
    <row r="148" spans="1:8" x14ac:dyDescent="0.25">
      <c r="A148" s="106" t="str">
        <f t="shared" ref="A148:C148" si="72">A28</f>
        <v>Wisconsin Energy Corporation</v>
      </c>
      <c r="B148" s="96" t="str">
        <f t="shared" si="72"/>
        <v>WEC</v>
      </c>
      <c r="C148" s="96">
        <f t="shared" si="72"/>
        <v>4.7746666666666673E-2</v>
      </c>
      <c r="D148" s="97">
        <v>0.73161022354491156</v>
      </c>
      <c r="E148" s="95">
        <f>'AEB-8 Market Return'!$C$9</f>
        <v>0.12556998267980807</v>
      </c>
      <c r="F148" s="96">
        <f t="shared" si="52"/>
        <v>7.7823316013141394E-2</v>
      </c>
      <c r="G148" s="96">
        <f t="shared" si="53"/>
        <v>0.10468300029204734</v>
      </c>
      <c r="H148" s="96">
        <f t="shared" si="54"/>
        <v>0.10990474588898753</v>
      </c>
    </row>
    <row r="149" spans="1:8" x14ac:dyDescent="0.25">
      <c r="A149" s="108" t="str">
        <f t="shared" ref="A149:C149" si="73">A29</f>
        <v>Xcel Energy Inc.</v>
      </c>
      <c r="B149" s="109" t="str">
        <f t="shared" si="73"/>
        <v>XEL</v>
      </c>
      <c r="C149" s="109">
        <f t="shared" si="73"/>
        <v>4.7746666666666673E-2</v>
      </c>
      <c r="D149" s="110">
        <v>0.73693392637872579</v>
      </c>
      <c r="E149" s="111">
        <f>'AEB-8 Market Return'!$C$9</f>
        <v>0.12556998267980807</v>
      </c>
      <c r="F149" s="109">
        <f t="shared" si="52"/>
        <v>7.7823316013141394E-2</v>
      </c>
      <c r="G149" s="109">
        <f t="shared" si="53"/>
        <v>0.10509730850004333</v>
      </c>
      <c r="H149" s="109">
        <f t="shared" si="54"/>
        <v>0.11021547704498451</v>
      </c>
    </row>
    <row r="150" spans="1:8" x14ac:dyDescent="0.25">
      <c r="A150" s="86" t="s">
        <v>5</v>
      </c>
      <c r="D150" s="97"/>
      <c r="G150" s="96">
        <f>AVERAGE(G129:G149)</f>
        <v>0.10934732561272797</v>
      </c>
      <c r="H150" s="96">
        <f>AVERAGE(H129:H149)</f>
        <v>0.113402989879498</v>
      </c>
    </row>
    <row r="151" spans="1:8" ht="13.8" thickBot="1" x14ac:dyDescent="0.3">
      <c r="A151" s="101" t="s">
        <v>14</v>
      </c>
      <c r="B151" s="102"/>
      <c r="C151" s="102"/>
      <c r="D151" s="103"/>
      <c r="E151" s="101"/>
      <c r="F151" s="101"/>
      <c r="G151" s="104">
        <f>MEDIAN(G129:G149)</f>
        <v>0.10916650975280318</v>
      </c>
      <c r="H151" s="104">
        <f>MEDIAN(H129:H149)</f>
        <v>0.1132673779845544</v>
      </c>
    </row>
    <row r="153" spans="1:8" x14ac:dyDescent="0.25">
      <c r="A153" s="105" t="s">
        <v>104</v>
      </c>
    </row>
    <row r="154" spans="1:8" x14ac:dyDescent="0.25">
      <c r="A154" s="86" t="str">
        <f>A34</f>
        <v>[1] Source: Bloomberg Professional, as of November 30, 2023</v>
      </c>
    </row>
    <row r="155" spans="1:8" x14ac:dyDescent="0.25">
      <c r="A155" s="86" t="s">
        <v>164</v>
      </c>
    </row>
    <row r="156" spans="1:8" x14ac:dyDescent="0.25">
      <c r="A156" s="86" t="str">
        <f>$A$36</f>
        <v>[3] Source: Market Return</v>
      </c>
    </row>
    <row r="157" spans="1:8" x14ac:dyDescent="0.25">
      <c r="A157" s="86" t="s">
        <v>154</v>
      </c>
    </row>
    <row r="158" spans="1:8" x14ac:dyDescent="0.25">
      <c r="A158" s="86" t="s">
        <v>155</v>
      </c>
    </row>
    <row r="159" spans="1:8" x14ac:dyDescent="0.25">
      <c r="A159" s="86" t="s">
        <v>156</v>
      </c>
    </row>
    <row r="162" spans="1:8" ht="13.5" customHeight="1" x14ac:dyDescent="0.25">
      <c r="A162" s="385" t="s">
        <v>165</v>
      </c>
      <c r="B162" s="385"/>
      <c r="C162" s="385"/>
      <c r="D162" s="385"/>
      <c r="E162" s="385"/>
      <c r="F162" s="385"/>
      <c r="G162" s="385"/>
      <c r="H162" s="385"/>
    </row>
    <row r="164" spans="1:8" x14ac:dyDescent="0.25">
      <c r="A164" s="385" t="s">
        <v>143</v>
      </c>
      <c r="B164" s="385"/>
      <c r="C164" s="385"/>
      <c r="D164" s="385"/>
      <c r="E164" s="385"/>
      <c r="F164" s="385"/>
      <c r="G164" s="385"/>
      <c r="H164" s="385"/>
    </row>
    <row r="165" spans="1:8" x14ac:dyDescent="0.25">
      <c r="A165" s="385" t="s">
        <v>144</v>
      </c>
      <c r="B165" s="385"/>
      <c r="C165" s="385"/>
      <c r="D165" s="385"/>
      <c r="E165" s="385"/>
      <c r="F165" s="385"/>
      <c r="G165" s="385"/>
      <c r="H165" s="385"/>
    </row>
    <row r="167" spans="1:8" ht="13.8" thickBot="1" x14ac:dyDescent="0.3">
      <c r="C167" s="87" t="s">
        <v>38</v>
      </c>
      <c r="D167" s="87" t="s">
        <v>39</v>
      </c>
      <c r="E167" s="87" t="s">
        <v>40</v>
      </c>
      <c r="F167" s="87" t="s">
        <v>41</v>
      </c>
      <c r="G167" s="87" t="s">
        <v>42</v>
      </c>
      <c r="H167" s="87" t="s">
        <v>43</v>
      </c>
    </row>
    <row r="168" spans="1:8" ht="51" customHeight="1" x14ac:dyDescent="0.25">
      <c r="A168" s="89" t="s">
        <v>46</v>
      </c>
      <c r="B168" s="89" t="s">
        <v>47</v>
      </c>
      <c r="C168" s="112" t="str">
        <f>C48</f>
        <v>Near-term projected 30-year U.S. Treasury bond yield 
(Q1 2024 - Q1 2025)</v>
      </c>
      <c r="D168" s="112" t="s">
        <v>146</v>
      </c>
      <c r="E168" s="90" t="s">
        <v>147</v>
      </c>
      <c r="F168" s="90" t="s">
        <v>148</v>
      </c>
      <c r="G168" s="91" t="s">
        <v>149</v>
      </c>
      <c r="H168" s="91" t="s">
        <v>150</v>
      </c>
    </row>
    <row r="169" spans="1:8" x14ac:dyDescent="0.25">
      <c r="A169" s="86" t="str">
        <f>A49</f>
        <v>NiSource Inc.</v>
      </c>
      <c r="B169" s="87" t="str">
        <f>B49</f>
        <v>NI</v>
      </c>
      <c r="C169" s="100">
        <f>C49</f>
        <v>4.4800000000000006E-2</v>
      </c>
      <c r="D169" s="94">
        <f>D129</f>
        <v>0.81221884766281582</v>
      </c>
      <c r="E169" s="107">
        <f>'AEB-8 Market Return'!$C$9</f>
        <v>0.12556998267980807</v>
      </c>
      <c r="F169" s="100">
        <f>E169-C169</f>
        <v>8.0769982679808061E-2</v>
      </c>
      <c r="G169" s="100">
        <f>IFERROR(F169*D169+C169, "")</f>
        <v>0.11040290225793931</v>
      </c>
      <c r="H169" s="100">
        <f>IFERROR((0.25*F169)+(0.75*D169*F169)+C169, "")</f>
        <v>0.1141946723634065</v>
      </c>
    </row>
    <row r="170" spans="1:8" x14ac:dyDescent="0.25">
      <c r="A170" s="86" t="str">
        <f t="shared" ref="A170:C170" si="74">A50</f>
        <v>ALLETE, Inc.</v>
      </c>
      <c r="B170" s="87" t="str">
        <f t="shared" si="74"/>
        <v>ALE</v>
      </c>
      <c r="C170" s="96">
        <f t="shared" si="74"/>
        <v>4.4800000000000006E-2</v>
      </c>
      <c r="D170" s="97">
        <f t="shared" ref="D170:D189" si="75">D130</f>
        <v>0.82532476466596649</v>
      </c>
      <c r="E170" s="95">
        <f>'AEB-8 Market Return'!$C$9</f>
        <v>0.12556998267980807</v>
      </c>
      <c r="F170" s="96">
        <f t="shared" ref="F170:F189" si="76">E170-C170</f>
        <v>8.0769982679808061E-2</v>
      </c>
      <c r="G170" s="96">
        <f t="shared" ref="G170:G189" si="77">IFERROR(F170*D170+C170, "")</f>
        <v>0.11146146694728679</v>
      </c>
      <c r="H170" s="96">
        <f t="shared" ref="H170:H189" si="78">IFERROR((0.25*F170)+(0.75*D170*F170)+C170, "")</f>
        <v>0.1149885958804171</v>
      </c>
    </row>
    <row r="171" spans="1:8" x14ac:dyDescent="0.25">
      <c r="A171" s="86" t="str">
        <f t="shared" ref="A171:C171" si="79">A51</f>
        <v>Alliant Energy Corporation</v>
      </c>
      <c r="B171" s="87" t="str">
        <f t="shared" si="79"/>
        <v>LNT</v>
      </c>
      <c r="C171" s="96">
        <f t="shared" si="79"/>
        <v>4.4800000000000006E-2</v>
      </c>
      <c r="D171" s="97">
        <f t="shared" si="75"/>
        <v>0.78922161419805126</v>
      </c>
      <c r="E171" s="95">
        <f>'AEB-8 Market Return'!$C$9</f>
        <v>0.12556998267980807</v>
      </c>
      <c r="F171" s="96">
        <f t="shared" si="76"/>
        <v>8.0769982679808061E-2</v>
      </c>
      <c r="G171" s="96">
        <f t="shared" si="77"/>
        <v>0.10854541610930676</v>
      </c>
      <c r="H171" s="96">
        <f t="shared" si="78"/>
        <v>0.1128015577519321</v>
      </c>
    </row>
    <row r="172" spans="1:8" x14ac:dyDescent="0.25">
      <c r="A172" s="86" t="str">
        <f t="shared" ref="A172:C172" si="80">A52</f>
        <v>Ameren Corporation</v>
      </c>
      <c r="B172" s="87" t="str">
        <f t="shared" si="80"/>
        <v>AEE</v>
      </c>
      <c r="C172" s="96">
        <f t="shared" si="80"/>
        <v>4.4800000000000006E-2</v>
      </c>
      <c r="D172" s="97">
        <f t="shared" si="75"/>
        <v>0.74969085841891636</v>
      </c>
      <c r="E172" s="95">
        <f>'AEB-8 Market Return'!$C$9</f>
        <v>0.12556998267980807</v>
      </c>
      <c r="F172" s="96">
        <f t="shared" si="76"/>
        <v>8.0769982679808061E-2</v>
      </c>
      <c r="G172" s="96">
        <f t="shared" si="77"/>
        <v>0.10535251764970632</v>
      </c>
      <c r="H172" s="96">
        <f t="shared" si="78"/>
        <v>0.11040688390723175</v>
      </c>
    </row>
    <row r="173" spans="1:8" x14ac:dyDescent="0.25">
      <c r="A173" s="86" t="str">
        <f t="shared" ref="A173:C173" si="81">A53</f>
        <v>American Electric Power Company, Inc.</v>
      </c>
      <c r="B173" s="87" t="str">
        <f t="shared" si="81"/>
        <v>AEP</v>
      </c>
      <c r="C173" s="96">
        <f t="shared" si="81"/>
        <v>4.4800000000000006E-2</v>
      </c>
      <c r="D173" s="97">
        <f t="shared" si="75"/>
        <v>0.75546055448362082</v>
      </c>
      <c r="E173" s="95">
        <f>'AEB-8 Market Return'!$C$9</f>
        <v>0.12556998267980807</v>
      </c>
      <c r="F173" s="96">
        <f t="shared" si="76"/>
        <v>8.0769982679808061E-2</v>
      </c>
      <c r="G173" s="96">
        <f t="shared" si="77"/>
        <v>0.10581853590092025</v>
      </c>
      <c r="H173" s="96">
        <f t="shared" si="78"/>
        <v>0.11075639759564221</v>
      </c>
    </row>
    <row r="174" spans="1:8" x14ac:dyDescent="0.25">
      <c r="A174" s="86" t="str">
        <f t="shared" ref="A174:C174" si="82">A54</f>
        <v>Avista Corporation</v>
      </c>
      <c r="B174" s="87" t="str">
        <f t="shared" si="82"/>
        <v>AVA</v>
      </c>
      <c r="C174" s="96">
        <f t="shared" si="82"/>
        <v>4.4800000000000006E-2</v>
      </c>
      <c r="D174" s="97">
        <f t="shared" si="75"/>
        <v>0.76129138621537207</v>
      </c>
      <c r="E174" s="95">
        <f>'AEB-8 Market Return'!$C$9</f>
        <v>0.12556998267980807</v>
      </c>
      <c r="F174" s="96">
        <f t="shared" si="76"/>
        <v>8.0769982679808061E-2</v>
      </c>
      <c r="G174" s="96">
        <f t="shared" si="77"/>
        <v>0.10628949207890268</v>
      </c>
      <c r="H174" s="96">
        <f t="shared" si="78"/>
        <v>0.11110961472912903</v>
      </c>
    </row>
    <row r="175" spans="1:8" x14ac:dyDescent="0.25">
      <c r="A175" s="86" t="str">
        <f t="shared" ref="A175:C175" si="83">A55</f>
        <v>Black Hills Corporation</v>
      </c>
      <c r="B175" s="87" t="str">
        <f t="shared" si="83"/>
        <v>BKH</v>
      </c>
      <c r="C175" s="96">
        <f t="shared" si="83"/>
        <v>4.4800000000000006E-2</v>
      </c>
      <c r="D175" s="97">
        <f t="shared" si="75"/>
        <v>0.90119733764836996</v>
      </c>
      <c r="E175" s="95">
        <f>'AEB-8 Market Return'!$C$9</f>
        <v>0.12556998267980807</v>
      </c>
      <c r="F175" s="96">
        <f t="shared" si="76"/>
        <v>8.0769982679808061E-2</v>
      </c>
      <c r="G175" s="96">
        <f t="shared" si="77"/>
        <v>0.11758969335294799</v>
      </c>
      <c r="H175" s="96">
        <f t="shared" si="78"/>
        <v>0.119584765684663</v>
      </c>
    </row>
    <row r="176" spans="1:8" x14ac:dyDescent="0.25">
      <c r="A176" s="86" t="str">
        <f t="shared" ref="A176:C176" si="84">A56</f>
        <v>CMS Energy Corporation</v>
      </c>
      <c r="B176" s="87" t="str">
        <f t="shared" si="84"/>
        <v>CMS</v>
      </c>
      <c r="C176" s="96">
        <f t="shared" si="84"/>
        <v>4.4800000000000006E-2</v>
      </c>
      <c r="D176" s="97">
        <f t="shared" si="75"/>
        <v>0.74649321994281781</v>
      </c>
      <c r="E176" s="95">
        <f>'AEB-8 Market Return'!$C$9</f>
        <v>0.12556998267980807</v>
      </c>
      <c r="F176" s="96">
        <f t="shared" si="76"/>
        <v>8.0769982679808061E-2</v>
      </c>
      <c r="G176" s="96">
        <f t="shared" si="77"/>
        <v>0.10509424444537555</v>
      </c>
      <c r="H176" s="96">
        <f t="shared" si="78"/>
        <v>0.11021317900398368</v>
      </c>
    </row>
    <row r="177" spans="1:8" x14ac:dyDescent="0.25">
      <c r="A177" s="86" t="str">
        <f t="shared" ref="A177:C177" si="85">A57</f>
        <v>Duke Energy Corporation</v>
      </c>
      <c r="B177" s="87" t="str">
        <f t="shared" si="85"/>
        <v>DUK</v>
      </c>
      <c r="C177" s="96">
        <f t="shared" si="85"/>
        <v>4.4800000000000006E-2</v>
      </c>
      <c r="D177" s="97">
        <f t="shared" si="75"/>
        <v>0.71519964612466846</v>
      </c>
      <c r="E177" s="95">
        <f>'AEB-8 Market Return'!$C$9</f>
        <v>0.12556998267980807</v>
      </c>
      <c r="F177" s="96">
        <f t="shared" si="76"/>
        <v>8.0769982679808061E-2</v>
      </c>
      <c r="G177" s="96">
        <f t="shared" si="77"/>
        <v>0.10256666303009433</v>
      </c>
      <c r="H177" s="96">
        <f t="shared" si="78"/>
        <v>0.10831749294252277</v>
      </c>
    </row>
    <row r="178" spans="1:8" x14ac:dyDescent="0.25">
      <c r="A178" s="86" t="str">
        <f t="shared" ref="A178:C178" si="86">A58</f>
        <v>Entergy Corporation</v>
      </c>
      <c r="B178" s="87" t="str">
        <f t="shared" si="86"/>
        <v>ETR</v>
      </c>
      <c r="C178" s="96">
        <f t="shared" si="86"/>
        <v>4.4800000000000006E-2</v>
      </c>
      <c r="D178" s="97">
        <f t="shared" si="75"/>
        <v>0.85876883535557003</v>
      </c>
      <c r="E178" s="95">
        <f>'AEB-8 Market Return'!$C$9</f>
        <v>0.12556998267980807</v>
      </c>
      <c r="F178" s="96">
        <f t="shared" si="76"/>
        <v>8.0769982679808061E-2</v>
      </c>
      <c r="G178" s="96">
        <f t="shared" si="77"/>
        <v>0.11416274395762833</v>
      </c>
      <c r="H178" s="96">
        <f t="shared" si="78"/>
        <v>0.11701455363817327</v>
      </c>
    </row>
    <row r="179" spans="1:8" x14ac:dyDescent="0.25">
      <c r="A179" s="86" t="str">
        <f t="shared" ref="A179:C179" si="87">A59</f>
        <v>Evergy, Inc.</v>
      </c>
      <c r="B179" s="87" t="str">
        <f t="shared" si="87"/>
        <v>EVRG</v>
      </c>
      <c r="C179" s="96">
        <f t="shared" si="87"/>
        <v>4.4800000000000006E-2</v>
      </c>
      <c r="D179" s="97">
        <f t="shared" si="75"/>
        <v>0.7803890635203713</v>
      </c>
      <c r="E179" s="95">
        <f>'AEB-8 Market Return'!$C$9</f>
        <v>0.12556998267980807</v>
      </c>
      <c r="F179" s="96">
        <f t="shared" si="76"/>
        <v>8.0769982679808061E-2</v>
      </c>
      <c r="G179" s="96">
        <f t="shared" si="77"/>
        <v>0.10783201114405203</v>
      </c>
      <c r="H179" s="96">
        <f t="shared" si="78"/>
        <v>0.11226650402799104</v>
      </c>
    </row>
    <row r="180" spans="1:8" x14ac:dyDescent="0.25">
      <c r="A180" s="86" t="str">
        <f t="shared" ref="A180:C180" si="88">A60</f>
        <v>IDACORP, Inc.</v>
      </c>
      <c r="B180" s="87" t="str">
        <f t="shared" si="88"/>
        <v>IDA</v>
      </c>
      <c r="C180" s="96">
        <f t="shared" si="88"/>
        <v>4.4800000000000006E-2</v>
      </c>
      <c r="D180" s="97">
        <f t="shared" si="75"/>
        <v>0.7985881065352034</v>
      </c>
      <c r="E180" s="95">
        <f>'AEB-8 Market Return'!$C$9</f>
        <v>0.12556998267980807</v>
      </c>
      <c r="F180" s="96">
        <f t="shared" si="76"/>
        <v>8.0769982679808061E-2</v>
      </c>
      <c r="G180" s="96">
        <f t="shared" si="77"/>
        <v>0.1093019475331491</v>
      </c>
      <c r="H180" s="96">
        <f t="shared" si="78"/>
        <v>0.11336895631981384</v>
      </c>
    </row>
    <row r="181" spans="1:8" x14ac:dyDescent="0.25">
      <c r="A181" s="86" t="str">
        <f t="shared" ref="A181:C181" si="89">A61</f>
        <v>MGE Energy, Inc.</v>
      </c>
      <c r="B181" s="87" t="str">
        <f t="shared" si="89"/>
        <v>MGEE</v>
      </c>
      <c r="C181" s="96">
        <f t="shared" si="89"/>
        <v>4.4800000000000006E-2</v>
      </c>
      <c r="D181" s="97">
        <f t="shared" si="75"/>
        <v>0.68213364263752785</v>
      </c>
      <c r="E181" s="95">
        <f>'AEB-8 Market Return'!$C$9</f>
        <v>0.12556998267980807</v>
      </c>
      <c r="F181" s="96">
        <f t="shared" si="76"/>
        <v>8.0769982679808061E-2</v>
      </c>
      <c r="G181" s="96">
        <f t="shared" si="77"/>
        <v>9.989592250114751E-2</v>
      </c>
      <c r="H181" s="96">
        <f t="shared" si="78"/>
        <v>0.10631443754581266</v>
      </c>
    </row>
    <row r="182" spans="1:8" x14ac:dyDescent="0.25">
      <c r="A182" s="86" t="str">
        <f t="shared" ref="A182:C182" si="90">A62</f>
        <v>NextEra Energy, Inc.</v>
      </c>
      <c r="B182" s="87" t="str">
        <f t="shared" si="90"/>
        <v>NEE</v>
      </c>
      <c r="C182" s="96">
        <f t="shared" si="90"/>
        <v>4.4800000000000006E-2</v>
      </c>
      <c r="D182" s="97">
        <f t="shared" si="75"/>
        <v>0.81301043299994857</v>
      </c>
      <c r="E182" s="95">
        <f>'AEB-8 Market Return'!$C$9</f>
        <v>0.12556998267980807</v>
      </c>
      <c r="F182" s="96">
        <f t="shared" si="76"/>
        <v>8.0769982679808061E-2</v>
      </c>
      <c r="G182" s="96">
        <f t="shared" si="77"/>
        <v>0.1104668385919091</v>
      </c>
      <c r="H182" s="96">
        <f t="shared" si="78"/>
        <v>0.11424262461388385</v>
      </c>
    </row>
    <row r="183" spans="1:8" x14ac:dyDescent="0.25">
      <c r="A183" s="86" t="str">
        <f t="shared" ref="A183:C183" si="91">A63</f>
        <v>NorthWestern Corporation</v>
      </c>
      <c r="B183" s="87" t="str">
        <f t="shared" si="91"/>
        <v>NWE</v>
      </c>
      <c r="C183" s="96">
        <f t="shared" si="91"/>
        <v>4.4800000000000006E-2</v>
      </c>
      <c r="D183" s="97">
        <f t="shared" si="75"/>
        <v>0.86706222776323971</v>
      </c>
      <c r="E183" s="95">
        <f>'AEB-8 Market Return'!$C$9</f>
        <v>0.12556998267980807</v>
      </c>
      <c r="F183" s="96">
        <f t="shared" si="76"/>
        <v>8.0769982679808061E-2</v>
      </c>
      <c r="G183" s="96">
        <f t="shared" si="77"/>
        <v>0.11483260111875267</v>
      </c>
      <c r="H183" s="96">
        <f t="shared" si="78"/>
        <v>0.11751694650901652</v>
      </c>
    </row>
    <row r="184" spans="1:8" x14ac:dyDescent="0.25">
      <c r="A184" s="86" t="str">
        <f t="shared" ref="A184:C184" si="92">A64</f>
        <v>OGE Energy Corporation</v>
      </c>
      <c r="B184" s="87" t="str">
        <f t="shared" si="92"/>
        <v>OGE</v>
      </c>
      <c r="C184" s="96">
        <f t="shared" si="92"/>
        <v>4.4800000000000006E-2</v>
      </c>
      <c r="D184" s="97">
        <f t="shared" si="75"/>
        <v>0.9151169237846466</v>
      </c>
      <c r="E184" s="95">
        <f>'AEB-8 Market Return'!$C$9</f>
        <v>0.12556998267980807</v>
      </c>
      <c r="F184" s="96">
        <f t="shared" si="76"/>
        <v>8.0769982679808061E-2</v>
      </c>
      <c r="G184" s="96">
        <f t="shared" si="77"/>
        <v>0.11871397808408514</v>
      </c>
      <c r="H184" s="96">
        <f t="shared" si="78"/>
        <v>0.12042797923301587</v>
      </c>
    </row>
    <row r="185" spans="1:8" x14ac:dyDescent="0.25">
      <c r="A185" s="86" t="str">
        <f t="shared" ref="A185:C185" si="93">A65</f>
        <v>Pinnacle West Capital Corporation</v>
      </c>
      <c r="B185" s="87" t="str">
        <f t="shared" si="93"/>
        <v>PNW</v>
      </c>
      <c r="C185" s="96">
        <f t="shared" si="93"/>
        <v>4.4800000000000006E-2</v>
      </c>
      <c r="D185" s="97">
        <f t="shared" si="75"/>
        <v>0.81864219502859181</v>
      </c>
      <c r="E185" s="95">
        <f>'AEB-8 Market Return'!$C$9</f>
        <v>0.12556998267980807</v>
      </c>
      <c r="F185" s="96">
        <f t="shared" si="76"/>
        <v>8.0769982679808061E-2</v>
      </c>
      <c r="G185" s="96">
        <f t="shared" si="77"/>
        <v>0.11092171591341941</v>
      </c>
      <c r="H185" s="96">
        <f t="shared" si="78"/>
        <v>0.11458378260501659</v>
      </c>
    </row>
    <row r="186" spans="1:8" x14ac:dyDescent="0.25">
      <c r="A186" s="86" t="str">
        <f t="shared" ref="A186:C186" si="94">A66</f>
        <v>Portland General Electric Company</v>
      </c>
      <c r="B186" s="87" t="str">
        <f t="shared" si="94"/>
        <v>POR</v>
      </c>
      <c r="C186" s="96">
        <f t="shared" si="94"/>
        <v>4.4800000000000006E-2</v>
      </c>
      <c r="D186" s="97">
        <f t="shared" si="75"/>
        <v>0.7895126372488076</v>
      </c>
      <c r="E186" s="95">
        <f>'AEB-8 Market Return'!$C$9</f>
        <v>0.12556998267980807</v>
      </c>
      <c r="F186" s="96">
        <f t="shared" si="76"/>
        <v>8.0769982679808061E-2</v>
      </c>
      <c r="G186" s="96">
        <f t="shared" si="77"/>
        <v>0.10856892203607578</v>
      </c>
      <c r="H186" s="96">
        <f t="shared" si="78"/>
        <v>0.11281918719700884</v>
      </c>
    </row>
    <row r="187" spans="1:8" x14ac:dyDescent="0.25">
      <c r="A187" s="86" t="str">
        <f t="shared" ref="A187:C187" si="95">A67</f>
        <v>Southern Company</v>
      </c>
      <c r="B187" s="87" t="str">
        <f t="shared" si="95"/>
        <v>SO</v>
      </c>
      <c r="C187" s="96">
        <f t="shared" si="95"/>
        <v>4.4800000000000006E-2</v>
      </c>
      <c r="D187" s="97">
        <f t="shared" si="75"/>
        <v>0.77457916904144153</v>
      </c>
      <c r="E187" s="95">
        <f>'AEB-8 Market Return'!$C$9</f>
        <v>0.12556998267980807</v>
      </c>
      <c r="F187" s="96">
        <f t="shared" si="76"/>
        <v>8.0769982679808061E-2</v>
      </c>
      <c r="G187" s="96">
        <f t="shared" si="77"/>
        <v>0.10736274606761737</v>
      </c>
      <c r="H187" s="96">
        <f t="shared" si="78"/>
        <v>0.11191455522066504</v>
      </c>
    </row>
    <row r="188" spans="1:8" x14ac:dyDescent="0.25">
      <c r="A188" s="86" t="str">
        <f t="shared" ref="A188:C188" si="96">A68</f>
        <v>Wisconsin Energy Corporation</v>
      </c>
      <c r="B188" s="87" t="str">
        <f t="shared" si="96"/>
        <v>WEC</v>
      </c>
      <c r="C188" s="96">
        <f t="shared" si="96"/>
        <v>4.4800000000000006E-2</v>
      </c>
      <c r="D188" s="97">
        <f t="shared" si="75"/>
        <v>0.73161022354491156</v>
      </c>
      <c r="E188" s="95">
        <f>'AEB-8 Market Return'!$C$9</f>
        <v>0.12556998267980807</v>
      </c>
      <c r="F188" s="96">
        <f t="shared" si="76"/>
        <v>8.0769982679808061E-2</v>
      </c>
      <c r="G188" s="96">
        <f t="shared" si="77"/>
        <v>0.10389214508409302</v>
      </c>
      <c r="H188" s="96">
        <f t="shared" si="78"/>
        <v>0.10931160448302178</v>
      </c>
    </row>
    <row r="189" spans="1:8" x14ac:dyDescent="0.25">
      <c r="A189" s="86" t="str">
        <f t="shared" ref="A189:C189" si="97">A69</f>
        <v>Xcel Energy Inc.</v>
      </c>
      <c r="B189" s="87" t="str">
        <f t="shared" si="97"/>
        <v>XEL</v>
      </c>
      <c r="C189" s="109">
        <f t="shared" si="97"/>
        <v>4.4800000000000006E-2</v>
      </c>
      <c r="D189" s="110">
        <f t="shared" si="75"/>
        <v>0.73693392637872579</v>
      </c>
      <c r="E189" s="111">
        <f>'AEB-8 Market Return'!$C$9</f>
        <v>0.12556998267980807</v>
      </c>
      <c r="F189" s="109">
        <f t="shared" si="76"/>
        <v>8.0769982679808061E-2</v>
      </c>
      <c r="G189" s="109">
        <f t="shared" si="77"/>
        <v>0.10432214046977265</v>
      </c>
      <c r="H189" s="109">
        <f t="shared" si="78"/>
        <v>0.10963410102228149</v>
      </c>
    </row>
    <row r="190" spans="1:8" x14ac:dyDescent="0.25">
      <c r="A190" s="98" t="s">
        <v>5</v>
      </c>
      <c r="B190" s="99"/>
      <c r="D190" s="97"/>
      <c r="G190" s="96">
        <f>AVERAGE(G169:G189)</f>
        <v>0.10873307829877057</v>
      </c>
      <c r="H190" s="96">
        <f>AVERAGE(H169:H189)</f>
        <v>0.11294230439402997</v>
      </c>
    </row>
    <row r="191" spans="1:8" ht="13.8" thickBot="1" x14ac:dyDescent="0.3">
      <c r="A191" s="101" t="s">
        <v>14</v>
      </c>
      <c r="B191" s="102"/>
      <c r="C191" s="102"/>
      <c r="D191" s="103"/>
      <c r="E191" s="101"/>
      <c r="F191" s="101"/>
      <c r="G191" s="104">
        <f>MEDIAN(G169:G189)</f>
        <v>0.10854541610930676</v>
      </c>
      <c r="H191" s="104">
        <f>MEDIAN(H169:H189)</f>
        <v>0.1128015577519321</v>
      </c>
    </row>
    <row r="193" spans="1:8" x14ac:dyDescent="0.25">
      <c r="A193" s="105" t="s">
        <v>104</v>
      </c>
    </row>
    <row r="194" spans="1:8" x14ac:dyDescent="0.25">
      <c r="A194" s="86" t="str">
        <f>A74</f>
        <v>[1] Source: Blue Chip Financial Forecasts, Vol. 42, No. 12, December 1, 2023, at 2</v>
      </c>
    </row>
    <row r="195" spans="1:8" x14ac:dyDescent="0.25">
      <c r="A195" s="86" t="str">
        <f>A155</f>
        <v>[2] Source: Bloomberg Professional, based on 10-year weekly returns</v>
      </c>
    </row>
    <row r="196" spans="1:8" x14ac:dyDescent="0.25">
      <c r="A196" s="86" t="str">
        <f>$A$36</f>
        <v>[3] Source: Market Return</v>
      </c>
    </row>
    <row r="197" spans="1:8" x14ac:dyDescent="0.25">
      <c r="A197" s="86" t="s">
        <v>154</v>
      </c>
    </row>
    <row r="198" spans="1:8" x14ac:dyDescent="0.25">
      <c r="A198" s="86" t="s">
        <v>155</v>
      </c>
    </row>
    <row r="199" spans="1:8" x14ac:dyDescent="0.25">
      <c r="A199" s="86" t="s">
        <v>156</v>
      </c>
    </row>
    <row r="202" spans="1:8" ht="13.5" customHeight="1" x14ac:dyDescent="0.25">
      <c r="A202" s="385" t="s">
        <v>166</v>
      </c>
      <c r="B202" s="385"/>
      <c r="C202" s="385"/>
      <c r="D202" s="385"/>
      <c r="E202" s="385"/>
      <c r="F202" s="385"/>
      <c r="G202" s="385"/>
      <c r="H202" s="385"/>
    </row>
    <row r="204" spans="1:8" x14ac:dyDescent="0.25">
      <c r="A204" s="385" t="s">
        <v>143</v>
      </c>
      <c r="B204" s="385"/>
      <c r="C204" s="385"/>
      <c r="D204" s="385"/>
      <c r="E204" s="385"/>
      <c r="F204" s="385"/>
      <c r="G204" s="385"/>
      <c r="H204" s="385"/>
    </row>
    <row r="205" spans="1:8" x14ac:dyDescent="0.25">
      <c r="A205" s="385" t="s">
        <v>144</v>
      </c>
      <c r="B205" s="385"/>
      <c r="C205" s="385"/>
      <c r="D205" s="385"/>
      <c r="E205" s="385"/>
      <c r="F205" s="385"/>
      <c r="G205" s="385"/>
      <c r="H205" s="385"/>
    </row>
    <row r="207" spans="1:8" ht="13.8" thickBot="1" x14ac:dyDescent="0.3">
      <c r="C207" s="87" t="s">
        <v>38</v>
      </c>
      <c r="D207" s="87" t="s">
        <v>39</v>
      </c>
      <c r="E207" s="87" t="s">
        <v>40</v>
      </c>
      <c r="F207" s="87" t="s">
        <v>41</v>
      </c>
      <c r="G207" s="87" t="s">
        <v>42</v>
      </c>
      <c r="H207" s="87" t="s">
        <v>43</v>
      </c>
    </row>
    <row r="208" spans="1:8" ht="52.8" x14ac:dyDescent="0.25">
      <c r="A208" s="89" t="s">
        <v>46</v>
      </c>
      <c r="B208" s="89" t="s">
        <v>47</v>
      </c>
      <c r="C208" s="90" t="str">
        <f>C88</f>
        <v>Projected 30-year U.S. Treasury bond yield 
(2025 - 2029)</v>
      </c>
      <c r="D208" s="112" t="s">
        <v>146</v>
      </c>
      <c r="E208" s="90" t="s">
        <v>147</v>
      </c>
      <c r="F208" s="90" t="s">
        <v>148</v>
      </c>
      <c r="G208" s="91" t="s">
        <v>149</v>
      </c>
      <c r="H208" s="91" t="s">
        <v>150</v>
      </c>
    </row>
    <row r="209" spans="1:8" x14ac:dyDescent="0.25">
      <c r="A209" s="86" t="str">
        <f>A89</f>
        <v>NiSource Inc.</v>
      </c>
      <c r="B209" s="87" t="str">
        <f t="shared" ref="B209:C209" si="98">B89</f>
        <v>NI</v>
      </c>
      <c r="C209" s="96">
        <f t="shared" si="98"/>
        <v>4.1000000000000002E-2</v>
      </c>
      <c r="D209" s="94">
        <f>D169</f>
        <v>0.81221884766281582</v>
      </c>
      <c r="E209" s="107">
        <f>'AEB-8 Market Return'!$C$9</f>
        <v>0.12556998267980807</v>
      </c>
      <c r="F209" s="100">
        <f>E209-C209</f>
        <v>8.4569982679808059E-2</v>
      </c>
      <c r="G209" s="100">
        <f>IFERROR(F209*D209+C209, "")</f>
        <v>0.10968933387905799</v>
      </c>
      <c r="H209" s="100">
        <f>IFERROR((0.25*F209)+(0.75*D209*F209)+C209, "")</f>
        <v>0.1136594960792455</v>
      </c>
    </row>
    <row r="210" spans="1:8" x14ac:dyDescent="0.25">
      <c r="A210" s="86" t="str">
        <f t="shared" ref="A210:C210" si="99">A90</f>
        <v>ALLETE, Inc.</v>
      </c>
      <c r="B210" s="87" t="str">
        <f t="shared" si="99"/>
        <v>ALE</v>
      </c>
      <c r="C210" s="96">
        <f t="shared" si="99"/>
        <v>4.1000000000000002E-2</v>
      </c>
      <c r="D210" s="97">
        <f t="shared" ref="D210:D229" si="100">D170</f>
        <v>0.82532476466596649</v>
      </c>
      <c r="E210" s="95">
        <f>'AEB-8 Market Return'!$C$9</f>
        <v>0.12556998267980807</v>
      </c>
      <c r="F210" s="96">
        <f t="shared" ref="F210:F229" si="101">E210-C210</f>
        <v>8.4569982679808059E-2</v>
      </c>
      <c r="G210" s="96">
        <f t="shared" ref="G210:G229" si="102">IFERROR(F210*D210+C210, "")</f>
        <v>0.11079770105301745</v>
      </c>
      <c r="H210" s="96">
        <f t="shared" ref="H210:H229" si="103">IFERROR((0.25*F210)+(0.75*D210*F210)+C210, "")</f>
        <v>0.11449077145971512</v>
      </c>
    </row>
    <row r="211" spans="1:8" x14ac:dyDescent="0.25">
      <c r="A211" s="86" t="str">
        <f t="shared" ref="A211:C211" si="104">A91</f>
        <v>Alliant Energy Corporation</v>
      </c>
      <c r="B211" s="87" t="str">
        <f t="shared" si="104"/>
        <v>LNT</v>
      </c>
      <c r="C211" s="96">
        <f t="shared" si="104"/>
        <v>4.1000000000000002E-2</v>
      </c>
      <c r="D211" s="97">
        <f t="shared" si="100"/>
        <v>0.78922161419805126</v>
      </c>
      <c r="E211" s="95">
        <f>'AEB-8 Market Return'!$C$9</f>
        <v>0.12556998267980807</v>
      </c>
      <c r="F211" s="96">
        <f t="shared" si="101"/>
        <v>8.4569982679808059E-2</v>
      </c>
      <c r="G211" s="96">
        <f t="shared" si="102"/>
        <v>0.10774445824325934</v>
      </c>
      <c r="H211" s="96">
        <f t="shared" si="103"/>
        <v>0.11220083935239655</v>
      </c>
    </row>
    <row r="212" spans="1:8" x14ac:dyDescent="0.25">
      <c r="A212" s="86" t="str">
        <f t="shared" ref="A212:C212" si="105">A92</f>
        <v>Ameren Corporation</v>
      </c>
      <c r="B212" s="87" t="str">
        <f t="shared" si="105"/>
        <v>AEE</v>
      </c>
      <c r="C212" s="96">
        <f t="shared" si="105"/>
        <v>4.1000000000000002E-2</v>
      </c>
      <c r="D212" s="97">
        <f t="shared" si="100"/>
        <v>0.74969085841891636</v>
      </c>
      <c r="E212" s="95">
        <f>'AEB-8 Market Return'!$C$9</f>
        <v>0.12556998267980807</v>
      </c>
      <c r="F212" s="96">
        <f t="shared" si="101"/>
        <v>8.4569982679808059E-2</v>
      </c>
      <c r="G212" s="96">
        <f t="shared" si="102"/>
        <v>0.1044013429116982</v>
      </c>
      <c r="H212" s="96">
        <f t="shared" si="103"/>
        <v>0.10969350285372567</v>
      </c>
    </row>
    <row r="213" spans="1:8" x14ac:dyDescent="0.25">
      <c r="A213" s="86" t="str">
        <f t="shared" ref="A213:C213" si="106">A93</f>
        <v>American Electric Power Company, Inc.</v>
      </c>
      <c r="B213" s="87" t="str">
        <f t="shared" si="106"/>
        <v>AEP</v>
      </c>
      <c r="C213" s="96">
        <f t="shared" si="106"/>
        <v>4.1000000000000002E-2</v>
      </c>
      <c r="D213" s="97">
        <f t="shared" si="100"/>
        <v>0.75546055448362082</v>
      </c>
      <c r="E213" s="95">
        <f>'AEB-8 Market Return'!$C$9</f>
        <v>0.12556998267980807</v>
      </c>
      <c r="F213" s="96">
        <f t="shared" si="101"/>
        <v>8.4569982679808059E-2</v>
      </c>
      <c r="G213" s="96">
        <f t="shared" si="102"/>
        <v>0.10488928600795799</v>
      </c>
      <c r="H213" s="96">
        <f t="shared" si="103"/>
        <v>0.11005946017592053</v>
      </c>
    </row>
    <row r="214" spans="1:8" x14ac:dyDescent="0.25">
      <c r="A214" s="86" t="str">
        <f t="shared" ref="A214:C214" si="107">A94</f>
        <v>Avista Corporation</v>
      </c>
      <c r="B214" s="87" t="str">
        <f t="shared" si="107"/>
        <v>AVA</v>
      </c>
      <c r="C214" s="96">
        <f t="shared" si="107"/>
        <v>4.1000000000000002E-2</v>
      </c>
      <c r="D214" s="97">
        <f t="shared" si="100"/>
        <v>0.76129138621537207</v>
      </c>
      <c r="E214" s="95">
        <f>'AEB-8 Market Return'!$C$9</f>
        <v>0.12556998267980807</v>
      </c>
      <c r="F214" s="96">
        <f t="shared" si="101"/>
        <v>8.4569982679808059E-2</v>
      </c>
      <c r="G214" s="96">
        <f t="shared" si="102"/>
        <v>0.10538239934652108</v>
      </c>
      <c r="H214" s="96">
        <f t="shared" si="103"/>
        <v>0.11042929517984285</v>
      </c>
    </row>
    <row r="215" spans="1:8" x14ac:dyDescent="0.25">
      <c r="A215" s="86" t="str">
        <f t="shared" ref="A215:C215" si="108">A95</f>
        <v>Black Hills Corporation</v>
      </c>
      <c r="B215" s="87" t="str">
        <f t="shared" si="108"/>
        <v>BKH</v>
      </c>
      <c r="C215" s="96">
        <f t="shared" si="108"/>
        <v>4.1000000000000002E-2</v>
      </c>
      <c r="D215" s="97">
        <f t="shared" si="100"/>
        <v>0.90119733764836996</v>
      </c>
      <c r="E215" s="95">
        <f>'AEB-8 Market Return'!$C$9</f>
        <v>0.12556998267980807</v>
      </c>
      <c r="F215" s="96">
        <f t="shared" si="101"/>
        <v>8.4569982679808059E-2</v>
      </c>
      <c r="G215" s="96">
        <f t="shared" si="102"/>
        <v>0.11721424323601179</v>
      </c>
      <c r="H215" s="96">
        <f t="shared" si="103"/>
        <v>0.11930317809696087</v>
      </c>
    </row>
    <row r="216" spans="1:8" x14ac:dyDescent="0.25">
      <c r="A216" s="86" t="str">
        <f t="shared" ref="A216:C216" si="109">A96</f>
        <v>CMS Energy Corporation</v>
      </c>
      <c r="B216" s="87" t="str">
        <f t="shared" si="109"/>
        <v>CMS</v>
      </c>
      <c r="C216" s="96">
        <f t="shared" si="109"/>
        <v>4.1000000000000002E-2</v>
      </c>
      <c r="D216" s="97">
        <f t="shared" si="100"/>
        <v>0.74649321994281781</v>
      </c>
      <c r="E216" s="95">
        <f>'AEB-8 Market Return'!$C$9</f>
        <v>0.12556998267980807</v>
      </c>
      <c r="F216" s="96">
        <f t="shared" si="101"/>
        <v>8.4569982679808059E-2</v>
      </c>
      <c r="G216" s="96">
        <f t="shared" si="102"/>
        <v>0.10413091868115826</v>
      </c>
      <c r="H216" s="96">
        <f t="shared" si="103"/>
        <v>0.10949068468082071</v>
      </c>
    </row>
    <row r="217" spans="1:8" x14ac:dyDescent="0.25">
      <c r="A217" s="86" t="str">
        <f t="shared" ref="A217:C217" si="110">A97</f>
        <v>Duke Energy Corporation</v>
      </c>
      <c r="B217" s="87" t="str">
        <f t="shared" si="110"/>
        <v>DUK</v>
      </c>
      <c r="C217" s="96">
        <f t="shared" si="110"/>
        <v>4.1000000000000002E-2</v>
      </c>
      <c r="D217" s="97">
        <f t="shared" si="100"/>
        <v>0.71519964612466846</v>
      </c>
      <c r="E217" s="95">
        <f>'AEB-8 Market Return'!$C$9</f>
        <v>0.12556998267980807</v>
      </c>
      <c r="F217" s="96">
        <f t="shared" si="101"/>
        <v>8.4569982679808059E-2</v>
      </c>
      <c r="G217" s="96">
        <f t="shared" si="102"/>
        <v>0.10148442168536806</v>
      </c>
      <c r="H217" s="96">
        <f t="shared" si="103"/>
        <v>0.10750581193397807</v>
      </c>
    </row>
    <row r="218" spans="1:8" x14ac:dyDescent="0.25">
      <c r="A218" s="86" t="str">
        <f t="shared" ref="A218:C218" si="111">A98</f>
        <v>Entergy Corporation</v>
      </c>
      <c r="B218" s="87" t="str">
        <f t="shared" si="111"/>
        <v>ETR</v>
      </c>
      <c r="C218" s="96">
        <f t="shared" si="111"/>
        <v>4.1000000000000002E-2</v>
      </c>
      <c r="D218" s="97">
        <f t="shared" si="100"/>
        <v>0.85876883535557003</v>
      </c>
      <c r="E218" s="95">
        <f>'AEB-8 Market Return'!$C$9</f>
        <v>0.12556998267980807</v>
      </c>
      <c r="F218" s="96">
        <f t="shared" si="101"/>
        <v>8.4569982679808059E-2</v>
      </c>
      <c r="G218" s="96">
        <f t="shared" si="102"/>
        <v>0.11362606553197949</v>
      </c>
      <c r="H218" s="96">
        <f t="shared" si="103"/>
        <v>0.11661204481893664</v>
      </c>
    </row>
    <row r="219" spans="1:8" x14ac:dyDescent="0.25">
      <c r="A219" s="86" t="str">
        <f t="shared" ref="A219:C219" si="112">A99</f>
        <v>Evergy, Inc.</v>
      </c>
      <c r="B219" s="87" t="str">
        <f t="shared" si="112"/>
        <v>EVRG</v>
      </c>
      <c r="C219" s="96">
        <f t="shared" si="112"/>
        <v>4.1000000000000002E-2</v>
      </c>
      <c r="D219" s="97">
        <f t="shared" si="100"/>
        <v>0.7803890635203713</v>
      </c>
      <c r="E219" s="95">
        <f>'AEB-8 Market Return'!$C$9</f>
        <v>0.12556998267980807</v>
      </c>
      <c r="F219" s="96">
        <f t="shared" si="101"/>
        <v>8.4569982679808059E-2</v>
      </c>
      <c r="G219" s="96">
        <f t="shared" si="102"/>
        <v>0.10699748958542943</v>
      </c>
      <c r="H219" s="96">
        <f t="shared" si="103"/>
        <v>0.1116406128590241</v>
      </c>
    </row>
    <row r="220" spans="1:8" x14ac:dyDescent="0.25">
      <c r="A220" s="86" t="str">
        <f t="shared" ref="A220:C220" si="113">A100</f>
        <v>IDACORP, Inc.</v>
      </c>
      <c r="B220" s="87" t="str">
        <f t="shared" si="113"/>
        <v>IDA</v>
      </c>
      <c r="C220" s="96">
        <f t="shared" si="113"/>
        <v>4.1000000000000002E-2</v>
      </c>
      <c r="D220" s="97">
        <f t="shared" si="100"/>
        <v>0.7985881065352034</v>
      </c>
      <c r="E220" s="95">
        <f>'AEB-8 Market Return'!$C$9</f>
        <v>0.12556998267980807</v>
      </c>
      <c r="F220" s="96">
        <f t="shared" si="101"/>
        <v>8.4569982679808059E-2</v>
      </c>
      <c r="G220" s="96">
        <f t="shared" si="102"/>
        <v>0.10853658233798286</v>
      </c>
      <c r="H220" s="96">
        <f t="shared" si="103"/>
        <v>0.11279493242343916</v>
      </c>
    </row>
    <row r="221" spans="1:8" x14ac:dyDescent="0.25">
      <c r="A221" s="86" t="str">
        <f t="shared" ref="A221:C221" si="114">A101</f>
        <v>MGE Energy, Inc.</v>
      </c>
      <c r="B221" s="87" t="str">
        <f t="shared" si="114"/>
        <v>MGEE</v>
      </c>
      <c r="C221" s="96">
        <f t="shared" si="114"/>
        <v>4.1000000000000002E-2</v>
      </c>
      <c r="D221" s="97">
        <f t="shared" si="100"/>
        <v>0.68213364263752785</v>
      </c>
      <c r="E221" s="95">
        <f>'AEB-8 Market Return'!$C$9</f>
        <v>0.12556998267980807</v>
      </c>
      <c r="F221" s="96">
        <f t="shared" si="101"/>
        <v>8.4569982679808059E-2</v>
      </c>
      <c r="G221" s="96">
        <f t="shared" si="102"/>
        <v>9.8688030343170113E-2</v>
      </c>
      <c r="H221" s="96">
        <f t="shared" si="103"/>
        <v>0.10540851842732959</v>
      </c>
    </row>
    <row r="222" spans="1:8" x14ac:dyDescent="0.25">
      <c r="A222" s="86" t="str">
        <f t="shared" ref="A222:C222" si="115">A102</f>
        <v>NextEra Energy, Inc.</v>
      </c>
      <c r="B222" s="87" t="str">
        <f t="shared" si="115"/>
        <v>NEE</v>
      </c>
      <c r="C222" s="96">
        <f t="shared" si="115"/>
        <v>4.1000000000000002E-2</v>
      </c>
      <c r="D222" s="97">
        <f t="shared" si="100"/>
        <v>0.81301043299994857</v>
      </c>
      <c r="E222" s="95">
        <f>'AEB-8 Market Return'!$C$9</f>
        <v>0.12556998267980807</v>
      </c>
      <c r="F222" s="96">
        <f t="shared" si="101"/>
        <v>8.4569982679808059E-2</v>
      </c>
      <c r="G222" s="96">
        <f t="shared" si="102"/>
        <v>0.10975627823730891</v>
      </c>
      <c r="H222" s="96">
        <f t="shared" si="103"/>
        <v>0.1137097043479337</v>
      </c>
    </row>
    <row r="223" spans="1:8" x14ac:dyDescent="0.25">
      <c r="A223" s="86" t="str">
        <f t="shared" ref="A223:C223" si="116">A103</f>
        <v>NorthWestern Corporation</v>
      </c>
      <c r="B223" s="87" t="str">
        <f t="shared" si="116"/>
        <v>NWE</v>
      </c>
      <c r="C223" s="96">
        <f t="shared" si="116"/>
        <v>4.1000000000000002E-2</v>
      </c>
      <c r="D223" s="97">
        <f t="shared" si="100"/>
        <v>0.86706222776323971</v>
      </c>
      <c r="E223" s="95">
        <f>'AEB-8 Market Return'!$C$9</f>
        <v>0.12556998267980807</v>
      </c>
      <c r="F223" s="96">
        <f t="shared" si="101"/>
        <v>8.4569982679808059E-2</v>
      </c>
      <c r="G223" s="96">
        <f t="shared" si="102"/>
        <v>0.11432743758425298</v>
      </c>
      <c r="H223" s="96">
        <f t="shared" si="103"/>
        <v>0.11713807385814176</v>
      </c>
    </row>
    <row r="224" spans="1:8" x14ac:dyDescent="0.25">
      <c r="A224" s="86" t="str">
        <f t="shared" ref="A224:C224" si="117">A104</f>
        <v>OGE Energy Corporation</v>
      </c>
      <c r="B224" s="87" t="str">
        <f t="shared" si="117"/>
        <v>OGE</v>
      </c>
      <c r="C224" s="96">
        <f t="shared" si="117"/>
        <v>4.1000000000000002E-2</v>
      </c>
      <c r="D224" s="97">
        <f t="shared" si="100"/>
        <v>0.9151169237846466</v>
      </c>
      <c r="E224" s="95">
        <f>'AEB-8 Market Return'!$C$9</f>
        <v>0.12556998267980807</v>
      </c>
      <c r="F224" s="96">
        <f t="shared" si="101"/>
        <v>8.4569982679808059E-2</v>
      </c>
      <c r="G224" s="96">
        <f t="shared" si="102"/>
        <v>0.11839142239446679</v>
      </c>
      <c r="H224" s="96">
        <f t="shared" si="103"/>
        <v>0.12018606246580213</v>
      </c>
    </row>
    <row r="225" spans="1:8" x14ac:dyDescent="0.25">
      <c r="A225" s="86" t="str">
        <f t="shared" ref="A225:C225" si="118">A105</f>
        <v>Pinnacle West Capital Corporation</v>
      </c>
      <c r="B225" s="87" t="str">
        <f t="shared" si="118"/>
        <v>PNW</v>
      </c>
      <c r="C225" s="96">
        <f t="shared" si="118"/>
        <v>4.1000000000000002E-2</v>
      </c>
      <c r="D225" s="97">
        <f t="shared" si="100"/>
        <v>0.81864219502859181</v>
      </c>
      <c r="E225" s="95">
        <f>'AEB-8 Market Return'!$C$9</f>
        <v>0.12556998267980807</v>
      </c>
      <c r="F225" s="96">
        <f t="shared" si="101"/>
        <v>8.4569982679808059E-2</v>
      </c>
      <c r="G225" s="96">
        <f t="shared" si="102"/>
        <v>0.11023255625452807</v>
      </c>
      <c r="H225" s="96">
        <f t="shared" si="103"/>
        <v>0.11406691286084805</v>
      </c>
    </row>
    <row r="226" spans="1:8" x14ac:dyDescent="0.25">
      <c r="A226" s="86" t="str">
        <f t="shared" ref="A226:C226" si="119">A106</f>
        <v>Portland General Electric Company</v>
      </c>
      <c r="B226" s="87" t="str">
        <f t="shared" si="119"/>
        <v>POR</v>
      </c>
      <c r="C226" s="96">
        <f t="shared" si="119"/>
        <v>4.1000000000000002E-2</v>
      </c>
      <c r="D226" s="97">
        <f t="shared" si="100"/>
        <v>0.7895126372488076</v>
      </c>
      <c r="E226" s="95">
        <f>'AEB-8 Market Return'!$C$9</f>
        <v>0.12556998267980807</v>
      </c>
      <c r="F226" s="96">
        <f t="shared" si="101"/>
        <v>8.4569982679808059E-2</v>
      </c>
      <c r="G226" s="96">
        <f t="shared" si="102"/>
        <v>0.10776907005762124</v>
      </c>
      <c r="H226" s="96">
        <f t="shared" si="103"/>
        <v>0.11221929821316795</v>
      </c>
    </row>
    <row r="227" spans="1:8" x14ac:dyDescent="0.25">
      <c r="A227" s="86" t="str">
        <f t="shared" ref="A227:C227" si="120">A107</f>
        <v>Southern Company</v>
      </c>
      <c r="B227" s="87" t="str">
        <f t="shared" si="120"/>
        <v>SO</v>
      </c>
      <c r="C227" s="96">
        <f t="shared" si="120"/>
        <v>4.1000000000000002E-2</v>
      </c>
      <c r="D227" s="97">
        <f t="shared" si="100"/>
        <v>0.77457916904144153</v>
      </c>
      <c r="E227" s="95">
        <f>'AEB-8 Market Return'!$C$9</f>
        <v>0.12556998267980807</v>
      </c>
      <c r="F227" s="96">
        <f t="shared" si="101"/>
        <v>8.4569982679808059E-2</v>
      </c>
      <c r="G227" s="96">
        <f t="shared" si="102"/>
        <v>0.10650614690997484</v>
      </c>
      <c r="H227" s="96">
        <f t="shared" si="103"/>
        <v>0.11127210585243313</v>
      </c>
    </row>
    <row r="228" spans="1:8" x14ac:dyDescent="0.25">
      <c r="A228" s="86" t="str">
        <f t="shared" ref="A228:C228" si="121">A108</f>
        <v>Wisconsin Energy Corporation</v>
      </c>
      <c r="B228" s="87" t="str">
        <f t="shared" si="121"/>
        <v>WEC</v>
      </c>
      <c r="C228" s="96">
        <f t="shared" si="121"/>
        <v>4.1000000000000002E-2</v>
      </c>
      <c r="D228" s="97">
        <f t="shared" si="100"/>
        <v>0.73161022354491156</v>
      </c>
      <c r="E228" s="95">
        <f>'AEB-8 Market Return'!$C$9</f>
        <v>0.12556998267980807</v>
      </c>
      <c r="F228" s="96">
        <f t="shared" si="101"/>
        <v>8.4569982679808059E-2</v>
      </c>
      <c r="G228" s="96">
        <f t="shared" si="102"/>
        <v>0.10287226393356368</v>
      </c>
      <c r="H228" s="96">
        <f t="shared" si="103"/>
        <v>0.10854669362012478</v>
      </c>
    </row>
    <row r="229" spans="1:8" x14ac:dyDescent="0.25">
      <c r="A229" s="86" t="str">
        <f t="shared" ref="A229:C229" si="122">A109</f>
        <v>Xcel Energy Inc.</v>
      </c>
      <c r="B229" s="87" t="str">
        <f t="shared" si="122"/>
        <v>XEL</v>
      </c>
      <c r="C229" s="96">
        <f t="shared" si="122"/>
        <v>4.1000000000000002E-2</v>
      </c>
      <c r="D229" s="110">
        <f t="shared" si="100"/>
        <v>0.73693392637872579</v>
      </c>
      <c r="E229" s="111">
        <f>'AEB-8 Market Return'!$C$9</f>
        <v>0.12556998267980807</v>
      </c>
      <c r="F229" s="109">
        <f t="shared" si="101"/>
        <v>8.4569982679808059E-2</v>
      </c>
      <c r="G229" s="109">
        <f t="shared" si="102"/>
        <v>0.10332248939001179</v>
      </c>
      <c r="H229" s="109">
        <f t="shared" si="103"/>
        <v>0.10888436271246085</v>
      </c>
    </row>
    <row r="230" spans="1:8" x14ac:dyDescent="0.25">
      <c r="A230" s="98" t="s">
        <v>5</v>
      </c>
      <c r="B230" s="99"/>
      <c r="C230" s="99"/>
      <c r="D230" s="97"/>
      <c r="G230" s="96">
        <f>AVERAGE(G209:G229)</f>
        <v>0.10794094940973049</v>
      </c>
      <c r="H230" s="96">
        <f>AVERAGE(H209:H229)</f>
        <v>0.11234820772724989</v>
      </c>
    </row>
    <row r="231" spans="1:8" ht="13.8" thickBot="1" x14ac:dyDescent="0.3">
      <c r="A231" s="101" t="s">
        <v>14</v>
      </c>
      <c r="B231" s="102"/>
      <c r="C231" s="102"/>
      <c r="D231" s="103"/>
      <c r="E231" s="101"/>
      <c r="F231" s="101"/>
      <c r="G231" s="104">
        <f>MEDIAN(G209:G229)</f>
        <v>0.10774445824325934</v>
      </c>
      <c r="H231" s="104">
        <f>MEDIAN(H209:H229)</f>
        <v>0.11220083935239655</v>
      </c>
    </row>
    <row r="233" spans="1:8" x14ac:dyDescent="0.25">
      <c r="A233" s="105" t="s">
        <v>104</v>
      </c>
    </row>
    <row r="234" spans="1:8" x14ac:dyDescent="0.25">
      <c r="A234" s="86" t="str">
        <f>A114</f>
        <v>[1] Source: Blue Chip Financial Forecasts, Vol. 42, No. 12, December 1, 2023, at 14</v>
      </c>
    </row>
    <row r="235" spans="1:8" x14ac:dyDescent="0.25">
      <c r="A235" s="86" t="str">
        <f>A155</f>
        <v>[2] Source: Bloomberg Professional, based on 10-year weekly returns</v>
      </c>
    </row>
    <row r="236" spans="1:8" x14ac:dyDescent="0.25">
      <c r="A236" s="86" t="str">
        <f>$A$36</f>
        <v>[3] Source: Market Return</v>
      </c>
    </row>
    <row r="237" spans="1:8" x14ac:dyDescent="0.25">
      <c r="A237" s="86" t="s">
        <v>154</v>
      </c>
    </row>
    <row r="238" spans="1:8" x14ac:dyDescent="0.25">
      <c r="A238" s="86" t="s">
        <v>155</v>
      </c>
    </row>
    <row r="239" spans="1:8" x14ac:dyDescent="0.25">
      <c r="A239" s="86" t="s">
        <v>156</v>
      </c>
    </row>
    <row r="242" spans="1:8" ht="13.5" customHeight="1" x14ac:dyDescent="0.25">
      <c r="A242" s="385" t="s">
        <v>167</v>
      </c>
      <c r="B242" s="385"/>
      <c r="C242" s="385"/>
      <c r="D242" s="385"/>
      <c r="E242" s="385"/>
      <c r="F242" s="385"/>
      <c r="G242" s="385"/>
      <c r="H242" s="385"/>
    </row>
    <row r="244" spans="1:8" x14ac:dyDescent="0.25">
      <c r="A244" s="385" t="s">
        <v>143</v>
      </c>
      <c r="B244" s="385"/>
      <c r="C244" s="385"/>
      <c r="D244" s="385"/>
      <c r="E244" s="385"/>
      <c r="F244" s="385"/>
      <c r="G244" s="385"/>
      <c r="H244" s="385"/>
    </row>
    <row r="245" spans="1:8" x14ac:dyDescent="0.25">
      <c r="A245" s="385" t="s">
        <v>144</v>
      </c>
      <c r="B245" s="385"/>
      <c r="C245" s="385"/>
      <c r="D245" s="385"/>
      <c r="E245" s="385"/>
      <c r="F245" s="385"/>
      <c r="G245" s="385"/>
      <c r="H245" s="385"/>
    </row>
    <row r="247" spans="1:8" ht="13.8" thickBot="1" x14ac:dyDescent="0.3">
      <c r="C247" s="87" t="s">
        <v>38</v>
      </c>
      <c r="D247" s="87" t="s">
        <v>39</v>
      </c>
      <c r="E247" s="87" t="s">
        <v>40</v>
      </c>
      <c r="F247" s="87" t="s">
        <v>41</v>
      </c>
      <c r="G247" s="87" t="s">
        <v>42</v>
      </c>
      <c r="H247" s="87" t="s">
        <v>43</v>
      </c>
    </row>
    <row r="248" spans="1:8" ht="52.8" x14ac:dyDescent="0.25">
      <c r="A248" s="89" t="s">
        <v>46</v>
      </c>
      <c r="B248" s="89" t="s">
        <v>47</v>
      </c>
      <c r="C248" s="90" t="str">
        <f>C128</f>
        <v>Current 30-day average of 30-year U.S. Treasury bond yield</v>
      </c>
      <c r="D248" s="90" t="s">
        <v>146</v>
      </c>
      <c r="E248" s="90" t="s">
        <v>147</v>
      </c>
      <c r="F248" s="90" t="s">
        <v>148</v>
      </c>
      <c r="G248" s="91" t="s">
        <v>149</v>
      </c>
      <c r="H248" s="91" t="s">
        <v>150</v>
      </c>
    </row>
    <row r="249" spans="1:8" x14ac:dyDescent="0.25">
      <c r="A249" s="113" t="str">
        <f>A129</f>
        <v>NiSource Inc.</v>
      </c>
      <c r="B249" s="96" t="str">
        <f t="shared" ref="B249:C249" si="123">B129</f>
        <v>NI</v>
      </c>
      <c r="C249" s="96">
        <f t="shared" si="123"/>
        <v>4.7746666666666673E-2</v>
      </c>
      <c r="D249" s="114">
        <f>'AEB-7 LT Beta'!M6</f>
        <v>0.73749999999999982</v>
      </c>
      <c r="E249" s="95">
        <f>'AEB-8 Market Return'!$C$9</f>
        <v>0.12556998267980807</v>
      </c>
      <c r="F249" s="96">
        <f>E249-C249</f>
        <v>7.7823316013141394E-2</v>
      </c>
      <c r="G249" s="96">
        <f>IFERROR(F249*D249+C249, "")</f>
        <v>0.10514136222635845</v>
      </c>
      <c r="H249" s="96">
        <f>IFERROR((0.25*F249)+(0.75*D249*F249)+C249, "")</f>
        <v>0.11024851733972084</v>
      </c>
    </row>
    <row r="250" spans="1:8" x14ac:dyDescent="0.25">
      <c r="A250" s="113" t="str">
        <f t="shared" ref="A250:C250" si="124">A130</f>
        <v>ALLETE, Inc.</v>
      </c>
      <c r="B250" s="96" t="str">
        <f t="shared" si="124"/>
        <v>ALE</v>
      </c>
      <c r="C250" s="96">
        <f t="shared" si="124"/>
        <v>4.7746666666666673E-2</v>
      </c>
      <c r="D250" s="115">
        <f>'AEB-7 LT Beta'!M7</f>
        <v>0.78500000000000014</v>
      </c>
      <c r="E250" s="95">
        <f>'AEB-8 Market Return'!$C$9</f>
        <v>0.12556998267980807</v>
      </c>
      <c r="F250" s="96">
        <f t="shared" ref="F250:F269" si="125">E250-C250</f>
        <v>7.7823316013141394E-2</v>
      </c>
      <c r="G250" s="96">
        <f t="shared" ref="G250:G269" si="126">IFERROR(F250*D250+C250, "")</f>
        <v>0.10883796973698268</v>
      </c>
      <c r="H250" s="96">
        <f t="shared" ref="H250:H269" si="127">IFERROR((0.25*F250)+(0.75*D250*F250)+C250, "")</f>
        <v>0.11302097297268902</v>
      </c>
    </row>
    <row r="251" spans="1:8" x14ac:dyDescent="0.25">
      <c r="A251" s="113" t="str">
        <f t="shared" ref="A251:C251" si="128">A131</f>
        <v>Alliant Energy Corporation</v>
      </c>
      <c r="B251" s="96" t="str">
        <f t="shared" si="128"/>
        <v>LNT</v>
      </c>
      <c r="C251" s="96">
        <f t="shared" si="128"/>
        <v>4.7746666666666673E-2</v>
      </c>
      <c r="D251" s="115">
        <f>'AEB-7 LT Beta'!M8</f>
        <v>0.74999999999999978</v>
      </c>
      <c r="E251" s="95">
        <f>'AEB-8 Market Return'!$C$9</f>
        <v>0.12556998267980807</v>
      </c>
      <c r="F251" s="96">
        <f t="shared" si="125"/>
        <v>7.7823316013141394E-2</v>
      </c>
      <c r="G251" s="96">
        <f t="shared" si="126"/>
        <v>0.1061141536765227</v>
      </c>
      <c r="H251" s="96">
        <f t="shared" si="127"/>
        <v>0.11097811092734404</v>
      </c>
    </row>
    <row r="252" spans="1:8" x14ac:dyDescent="0.25">
      <c r="A252" s="113" t="str">
        <f t="shared" ref="A252:C252" si="129">A132</f>
        <v>Ameren Corporation</v>
      </c>
      <c r="B252" s="96" t="str">
        <f t="shared" si="129"/>
        <v>AEE</v>
      </c>
      <c r="C252" s="96">
        <f t="shared" si="129"/>
        <v>4.7746666666666673E-2</v>
      </c>
      <c r="D252" s="115">
        <f>'AEB-7 LT Beta'!M9</f>
        <v>0.72499999999999987</v>
      </c>
      <c r="E252" s="95">
        <f>'AEB-8 Market Return'!$C$9</f>
        <v>0.12556998267980807</v>
      </c>
      <c r="F252" s="96">
        <f t="shared" si="125"/>
        <v>7.7823316013141394E-2</v>
      </c>
      <c r="G252" s="96">
        <f t="shared" si="126"/>
        <v>0.10416857077619418</v>
      </c>
      <c r="H252" s="96">
        <f t="shared" si="127"/>
        <v>0.10951892375209765</v>
      </c>
    </row>
    <row r="253" spans="1:8" x14ac:dyDescent="0.25">
      <c r="A253" s="113" t="str">
        <f t="shared" ref="A253:C253" si="130">A133</f>
        <v>American Electric Power Company, Inc.</v>
      </c>
      <c r="B253" s="96" t="str">
        <f t="shared" si="130"/>
        <v>AEP</v>
      </c>
      <c r="C253" s="96">
        <f t="shared" si="130"/>
        <v>4.7746666666666673E-2</v>
      </c>
      <c r="D253" s="115">
        <f>'AEB-7 LT Beta'!M10</f>
        <v>0.67499999999999993</v>
      </c>
      <c r="E253" s="95">
        <f>'AEB-8 Market Return'!$C$9</f>
        <v>0.12556998267980807</v>
      </c>
      <c r="F253" s="96">
        <f t="shared" si="125"/>
        <v>7.7823316013141394E-2</v>
      </c>
      <c r="G253" s="96">
        <f t="shared" si="126"/>
        <v>0.10027740497553711</v>
      </c>
      <c r="H253" s="96">
        <f t="shared" si="127"/>
        <v>0.10660054940160485</v>
      </c>
    </row>
    <row r="254" spans="1:8" x14ac:dyDescent="0.25">
      <c r="A254" s="113" t="str">
        <f t="shared" ref="A254:C254" si="131">A134</f>
        <v>Avista Corporation</v>
      </c>
      <c r="B254" s="96" t="str">
        <f t="shared" si="131"/>
        <v>AVA</v>
      </c>
      <c r="C254" s="96">
        <f t="shared" si="131"/>
        <v>4.7746666666666673E-2</v>
      </c>
      <c r="D254" s="115">
        <f>'AEB-7 LT Beta'!M11</f>
        <v>0.78500000000000003</v>
      </c>
      <c r="E254" s="95">
        <f>'AEB-8 Market Return'!$C$9</f>
        <v>0.12556998267980807</v>
      </c>
      <c r="F254" s="96">
        <f t="shared" si="125"/>
        <v>7.7823316013141394E-2</v>
      </c>
      <c r="G254" s="96">
        <f t="shared" si="126"/>
        <v>0.10883796973698268</v>
      </c>
      <c r="H254" s="96">
        <f t="shared" si="127"/>
        <v>0.11302097297268902</v>
      </c>
    </row>
    <row r="255" spans="1:8" x14ac:dyDescent="0.25">
      <c r="A255" s="113" t="str">
        <f t="shared" ref="A255:C255" si="132">A135</f>
        <v>Black Hills Corporation</v>
      </c>
      <c r="B255" s="96" t="str">
        <f t="shared" si="132"/>
        <v>BKH</v>
      </c>
      <c r="C255" s="96">
        <f t="shared" si="132"/>
        <v>4.7746666666666673E-2</v>
      </c>
      <c r="D255" s="115">
        <f>'AEB-7 LT Beta'!M12</f>
        <v>0.89</v>
      </c>
      <c r="E255" s="95">
        <f>'AEB-8 Market Return'!$C$9</f>
        <v>0.12556998267980807</v>
      </c>
      <c r="F255" s="96">
        <f t="shared" si="125"/>
        <v>7.7823316013141394E-2</v>
      </c>
      <c r="G255" s="96">
        <f t="shared" si="126"/>
        <v>0.11700941791836252</v>
      </c>
      <c r="H255" s="96">
        <f t="shared" si="127"/>
        <v>0.11914955910872391</v>
      </c>
    </row>
    <row r="256" spans="1:8" x14ac:dyDescent="0.25">
      <c r="A256" s="113" t="str">
        <f t="shared" ref="A256:C256" si="133">A136</f>
        <v>CMS Energy Corporation</v>
      </c>
      <c r="B256" s="96" t="str">
        <f t="shared" si="133"/>
        <v>CMS</v>
      </c>
      <c r="C256" s="96">
        <f t="shared" si="133"/>
        <v>4.7746666666666673E-2</v>
      </c>
      <c r="D256" s="115">
        <f>'AEB-7 LT Beta'!M13</f>
        <v>0.69</v>
      </c>
      <c r="E256" s="95">
        <f>'AEB-8 Market Return'!$C$9</f>
        <v>0.12556998267980807</v>
      </c>
      <c r="F256" s="96">
        <f t="shared" si="125"/>
        <v>7.7823316013141394E-2</v>
      </c>
      <c r="G256" s="96">
        <f t="shared" si="126"/>
        <v>0.10144475471573423</v>
      </c>
      <c r="H256" s="96">
        <f t="shared" si="127"/>
        <v>0.1074760617067527</v>
      </c>
    </row>
    <row r="257" spans="1:8" x14ac:dyDescent="0.25">
      <c r="A257" s="113" t="str">
        <f t="shared" ref="A257:C257" si="134">A137</f>
        <v>Duke Energy Corporation</v>
      </c>
      <c r="B257" s="96" t="str">
        <f t="shared" si="134"/>
        <v>DUK</v>
      </c>
      <c r="C257" s="96">
        <f t="shared" si="134"/>
        <v>4.7746666666666673E-2</v>
      </c>
      <c r="D257" s="115">
        <f>'AEB-7 LT Beta'!M14</f>
        <v>0.66499999999999981</v>
      </c>
      <c r="E257" s="95">
        <f>'AEB-8 Market Return'!$C$9</f>
        <v>0.12556998267980807</v>
      </c>
      <c r="F257" s="96">
        <f t="shared" si="125"/>
        <v>7.7823316013141394E-2</v>
      </c>
      <c r="G257" s="96">
        <f t="shared" si="126"/>
        <v>9.9499171815405685E-2</v>
      </c>
      <c r="H257" s="96">
        <f t="shared" si="127"/>
        <v>0.10601687453150628</v>
      </c>
    </row>
    <row r="258" spans="1:8" x14ac:dyDescent="0.25">
      <c r="A258" s="113" t="str">
        <f t="shared" ref="A258:C258" si="135">A138</f>
        <v>Entergy Corporation</v>
      </c>
      <c r="B258" s="96" t="str">
        <f t="shared" si="135"/>
        <v>ETR</v>
      </c>
      <c r="C258" s="96">
        <f t="shared" si="135"/>
        <v>4.7746666666666673E-2</v>
      </c>
      <c r="D258" s="115">
        <f>'AEB-7 LT Beta'!M15</f>
        <v>0.745</v>
      </c>
      <c r="E258" s="95">
        <f>'AEB-8 Market Return'!$C$9</f>
        <v>0.12556998267980807</v>
      </c>
      <c r="F258" s="96">
        <f t="shared" si="125"/>
        <v>7.7823316013141394E-2</v>
      </c>
      <c r="G258" s="96">
        <f t="shared" si="126"/>
        <v>0.105725037096457</v>
      </c>
      <c r="H258" s="96">
        <f t="shared" si="127"/>
        <v>0.11068627349229478</v>
      </c>
    </row>
    <row r="259" spans="1:8" x14ac:dyDescent="0.25">
      <c r="A259" s="113" t="str">
        <f t="shared" ref="A259:C259" si="136">A139</f>
        <v>Evergy, Inc.</v>
      </c>
      <c r="B259" s="96" t="str">
        <f t="shared" si="136"/>
        <v>EVRG</v>
      </c>
      <c r="C259" s="96">
        <f t="shared" si="136"/>
        <v>4.7746666666666673E-2</v>
      </c>
      <c r="D259" s="115">
        <f>'AEB-7 LT Beta'!M16</f>
        <v>0.95000000000000007</v>
      </c>
      <c r="E259" s="95">
        <f>'AEB-8 Market Return'!$C$9</f>
        <v>0.12556998267980807</v>
      </c>
      <c r="F259" s="96">
        <f t="shared" si="125"/>
        <v>7.7823316013141394E-2</v>
      </c>
      <c r="G259" s="96">
        <f t="shared" si="126"/>
        <v>0.121678816879151</v>
      </c>
      <c r="H259" s="96">
        <f t="shared" si="127"/>
        <v>0.12265160832931526</v>
      </c>
    </row>
    <row r="260" spans="1:8" x14ac:dyDescent="0.25">
      <c r="A260" s="113" t="str">
        <f t="shared" ref="A260:C260" si="137">A140</f>
        <v>IDACORP, Inc.</v>
      </c>
      <c r="B260" s="96" t="str">
        <f t="shared" si="137"/>
        <v>IDA</v>
      </c>
      <c r="C260" s="96">
        <f t="shared" si="137"/>
        <v>4.7746666666666673E-2</v>
      </c>
      <c r="D260" s="115">
        <f>'AEB-7 LT Beta'!M17</f>
        <v>0.72999999999999987</v>
      </c>
      <c r="E260" s="95">
        <f>'AEB-8 Market Return'!$C$9</f>
        <v>0.12556998267980807</v>
      </c>
      <c r="F260" s="96">
        <f t="shared" si="125"/>
        <v>7.7823316013141394E-2</v>
      </c>
      <c r="G260" s="96">
        <f t="shared" si="126"/>
        <v>0.10455768735625988</v>
      </c>
      <c r="H260" s="96">
        <f t="shared" si="127"/>
        <v>0.10981076118714693</v>
      </c>
    </row>
    <row r="261" spans="1:8" x14ac:dyDescent="0.25">
      <c r="A261" s="113" t="str">
        <f t="shared" ref="A261:C261" si="138">A141</f>
        <v>MGE Energy, Inc.</v>
      </c>
      <c r="B261" s="96" t="str">
        <f t="shared" si="138"/>
        <v>MGEE</v>
      </c>
      <c r="C261" s="96">
        <f t="shared" si="138"/>
        <v>4.7746666666666673E-2</v>
      </c>
      <c r="D261" s="115">
        <f>'AEB-7 LT Beta'!M18</f>
        <v>0.68499999999999994</v>
      </c>
      <c r="E261" s="95">
        <f>'AEB-8 Market Return'!$C$9</f>
        <v>0.12556998267980807</v>
      </c>
      <c r="F261" s="96">
        <f t="shared" si="125"/>
        <v>7.7823316013141394E-2</v>
      </c>
      <c r="G261" s="96">
        <f t="shared" si="126"/>
        <v>0.10105563813566852</v>
      </c>
      <c r="H261" s="96">
        <f t="shared" si="127"/>
        <v>0.1071842242717034</v>
      </c>
    </row>
    <row r="262" spans="1:8" x14ac:dyDescent="0.25">
      <c r="A262" s="113" t="str">
        <f t="shared" ref="A262:C262" si="139">A142</f>
        <v>NextEra Energy, Inc.</v>
      </c>
      <c r="B262" s="96" t="str">
        <f t="shared" si="139"/>
        <v>NEE</v>
      </c>
      <c r="C262" s="96">
        <f t="shared" si="139"/>
        <v>4.7746666666666673E-2</v>
      </c>
      <c r="D262" s="115">
        <f>'AEB-7 LT Beta'!M19</f>
        <v>0.73000000000000009</v>
      </c>
      <c r="E262" s="95">
        <f>'AEB-8 Market Return'!$C$9</f>
        <v>0.12556998267980807</v>
      </c>
      <c r="F262" s="96">
        <f t="shared" si="125"/>
        <v>7.7823316013141394E-2</v>
      </c>
      <c r="G262" s="96">
        <f t="shared" si="126"/>
        <v>0.10455768735625989</v>
      </c>
      <c r="H262" s="96">
        <f t="shared" si="127"/>
        <v>0.10981076118714694</v>
      </c>
    </row>
    <row r="263" spans="1:8" x14ac:dyDescent="0.25">
      <c r="A263" s="113" t="str">
        <f t="shared" ref="A263:C263" si="140">A143</f>
        <v>NorthWestern Corporation</v>
      </c>
      <c r="B263" s="96" t="str">
        <f t="shared" si="140"/>
        <v>NWE</v>
      </c>
      <c r="C263" s="96">
        <f t="shared" si="140"/>
        <v>4.7746666666666673E-2</v>
      </c>
      <c r="D263" s="115">
        <f>'AEB-7 LT Beta'!M20</f>
        <v>0.745</v>
      </c>
      <c r="E263" s="95">
        <f>'AEB-8 Market Return'!$C$9</f>
        <v>0.12556998267980807</v>
      </c>
      <c r="F263" s="96">
        <f t="shared" si="125"/>
        <v>7.7823316013141394E-2</v>
      </c>
      <c r="G263" s="96">
        <f t="shared" si="126"/>
        <v>0.105725037096457</v>
      </c>
      <c r="H263" s="96">
        <f t="shared" si="127"/>
        <v>0.11068627349229478</v>
      </c>
    </row>
    <row r="264" spans="1:8" x14ac:dyDescent="0.25">
      <c r="A264" s="113" t="str">
        <f t="shared" ref="A264:C264" si="141">A144</f>
        <v>OGE Energy Corporation</v>
      </c>
      <c r="B264" s="96" t="str">
        <f t="shared" si="141"/>
        <v>OGE</v>
      </c>
      <c r="C264" s="96">
        <f t="shared" si="141"/>
        <v>4.7746666666666673E-2</v>
      </c>
      <c r="D264" s="115">
        <f>'AEB-7 LT Beta'!M21</f>
        <v>0.93</v>
      </c>
      <c r="E264" s="95">
        <f>'AEB-8 Market Return'!$C$9</f>
        <v>0.12556998267980807</v>
      </c>
      <c r="F264" s="96">
        <f t="shared" si="125"/>
        <v>7.7823316013141394E-2</v>
      </c>
      <c r="G264" s="96">
        <f t="shared" si="126"/>
        <v>0.12012235055888817</v>
      </c>
      <c r="H264" s="96">
        <f t="shared" si="127"/>
        <v>0.12148425858911814</v>
      </c>
    </row>
    <row r="265" spans="1:8" x14ac:dyDescent="0.25">
      <c r="A265" s="113" t="str">
        <f t="shared" ref="A265:C265" si="142">A145</f>
        <v>Pinnacle West Capital Corporation</v>
      </c>
      <c r="B265" s="96" t="str">
        <f t="shared" si="142"/>
        <v>PNW</v>
      </c>
      <c r="C265" s="96">
        <f t="shared" si="142"/>
        <v>4.7746666666666673E-2</v>
      </c>
      <c r="D265" s="115">
        <f>'AEB-7 LT Beta'!M22</f>
        <v>0.7350000000000001</v>
      </c>
      <c r="E265" s="95">
        <f>'AEB-8 Market Return'!$C$9</f>
        <v>0.12556998267980807</v>
      </c>
      <c r="F265" s="96">
        <f t="shared" si="125"/>
        <v>7.7823316013141394E-2</v>
      </c>
      <c r="G265" s="96">
        <f t="shared" si="126"/>
        <v>0.10494680393632561</v>
      </c>
      <c r="H265" s="96">
        <f t="shared" si="127"/>
        <v>0.11010259862219622</v>
      </c>
    </row>
    <row r="266" spans="1:8" x14ac:dyDescent="0.25">
      <c r="A266" s="113" t="str">
        <f t="shared" ref="A266:C266" si="143">A146</f>
        <v>Portland General Electric Company</v>
      </c>
      <c r="B266" s="96" t="str">
        <f t="shared" si="143"/>
        <v>POR</v>
      </c>
      <c r="C266" s="96">
        <f t="shared" si="143"/>
        <v>4.7746666666666673E-2</v>
      </c>
      <c r="D266" s="115">
        <f>'AEB-7 LT Beta'!M23</f>
        <v>0.74999999999999989</v>
      </c>
      <c r="E266" s="95">
        <f>'AEB-8 Market Return'!$C$9</f>
        <v>0.12556998267980807</v>
      </c>
      <c r="F266" s="96">
        <f t="shared" si="125"/>
        <v>7.7823316013141394E-2</v>
      </c>
      <c r="G266" s="96">
        <f t="shared" si="126"/>
        <v>0.10611415367652272</v>
      </c>
      <c r="H266" s="96">
        <f t="shared" si="127"/>
        <v>0.11097811092734405</v>
      </c>
    </row>
    <row r="267" spans="1:8" x14ac:dyDescent="0.25">
      <c r="A267" s="113" t="str">
        <f t="shared" ref="A267:C267" si="144">A147</f>
        <v>Southern Company</v>
      </c>
      <c r="B267" s="96" t="str">
        <f t="shared" si="144"/>
        <v>SO</v>
      </c>
      <c r="C267" s="96">
        <f t="shared" si="144"/>
        <v>4.7746666666666673E-2</v>
      </c>
      <c r="D267" s="115">
        <f>'AEB-7 LT Beta'!M24</f>
        <v>0.65500000000000003</v>
      </c>
      <c r="E267" s="95">
        <f>'AEB-8 Market Return'!$C$9</f>
        <v>0.12556998267980807</v>
      </c>
      <c r="F267" s="96">
        <f t="shared" si="125"/>
        <v>7.7823316013141394E-2</v>
      </c>
      <c r="G267" s="96">
        <f t="shared" si="126"/>
        <v>9.8720938655274287E-2</v>
      </c>
      <c r="H267" s="96">
        <f t="shared" si="127"/>
        <v>0.10543319966140774</v>
      </c>
    </row>
    <row r="268" spans="1:8" x14ac:dyDescent="0.25">
      <c r="A268" s="113" t="str">
        <f t="shared" ref="A268:C268" si="145">A148</f>
        <v>Wisconsin Energy Corporation</v>
      </c>
      <c r="B268" s="96" t="str">
        <f t="shared" si="145"/>
        <v>WEC</v>
      </c>
      <c r="C268" s="96">
        <f t="shared" si="145"/>
        <v>4.7746666666666673E-2</v>
      </c>
      <c r="D268" s="115">
        <f>'AEB-7 LT Beta'!M25</f>
        <v>0.65999999999999992</v>
      </c>
      <c r="E268" s="95">
        <f>'AEB-8 Market Return'!$C$9</f>
        <v>0.12556998267980807</v>
      </c>
      <c r="F268" s="96">
        <f t="shared" si="125"/>
        <v>7.7823316013141394E-2</v>
      </c>
      <c r="G268" s="96">
        <f t="shared" si="126"/>
        <v>9.9110055235339986E-2</v>
      </c>
      <c r="H268" s="96">
        <f t="shared" si="127"/>
        <v>0.105725037096457</v>
      </c>
    </row>
    <row r="269" spans="1:8" x14ac:dyDescent="0.25">
      <c r="A269" s="113" t="str">
        <f t="shared" ref="A269:C269" si="146">A149</f>
        <v>Xcel Energy Inc.</v>
      </c>
      <c r="B269" s="96" t="str">
        <f t="shared" si="146"/>
        <v>XEL</v>
      </c>
      <c r="C269" s="96">
        <f t="shared" si="146"/>
        <v>4.7746666666666673E-2</v>
      </c>
      <c r="D269" s="116">
        <f>'AEB-7 LT Beta'!M26</f>
        <v>0.65500000000000003</v>
      </c>
      <c r="E269" s="95">
        <f>'AEB-8 Market Return'!$C$9</f>
        <v>0.12556998267980807</v>
      </c>
      <c r="F269" s="96">
        <f t="shared" si="125"/>
        <v>7.7823316013141394E-2</v>
      </c>
      <c r="G269" s="96">
        <f t="shared" si="126"/>
        <v>9.8720938655274287E-2</v>
      </c>
      <c r="H269" s="96">
        <f t="shared" si="127"/>
        <v>0.10543319966140774</v>
      </c>
    </row>
    <row r="270" spans="1:8" x14ac:dyDescent="0.25">
      <c r="A270" s="98" t="s">
        <v>5</v>
      </c>
      <c r="B270" s="99"/>
      <c r="C270" s="99"/>
      <c r="D270" s="97"/>
      <c r="E270" s="98"/>
      <c r="F270" s="98"/>
      <c r="G270" s="100">
        <f>AVERAGE(G249:G269)</f>
        <v>0.10582694858171231</v>
      </c>
      <c r="H270" s="100">
        <f>AVERAGE(H249:H269)</f>
        <v>0.11076270710623624</v>
      </c>
    </row>
    <row r="271" spans="1:8" ht="13.8" thickBot="1" x14ac:dyDescent="0.3">
      <c r="A271" s="101" t="s">
        <v>14</v>
      </c>
      <c r="B271" s="102"/>
      <c r="C271" s="102"/>
      <c r="D271" s="103"/>
      <c r="E271" s="101"/>
      <c r="F271" s="101"/>
      <c r="G271" s="104">
        <f>MEDIAN(G249:G269)</f>
        <v>0.10494680393632561</v>
      </c>
      <c r="H271" s="104">
        <f>MEDIAN(H249:H269)</f>
        <v>0.11010259862219622</v>
      </c>
    </row>
    <row r="273" spans="1:8" x14ac:dyDescent="0.25">
      <c r="A273" s="105" t="s">
        <v>104</v>
      </c>
    </row>
    <row r="274" spans="1:8" x14ac:dyDescent="0.25">
      <c r="A274" s="86" t="str">
        <f>A154</f>
        <v>[1] Source: Bloomberg Professional, as of November 30, 2023</v>
      </c>
    </row>
    <row r="275" spans="1:8" x14ac:dyDescent="0.25">
      <c r="A275" s="86" t="s">
        <v>168</v>
      </c>
    </row>
    <row r="276" spans="1:8" x14ac:dyDescent="0.25">
      <c r="A276" s="86" t="str">
        <f>$A$36</f>
        <v>[3] Source: Market Return</v>
      </c>
    </row>
    <row r="277" spans="1:8" x14ac:dyDescent="0.25">
      <c r="A277" s="86" t="s">
        <v>154</v>
      </c>
    </row>
    <row r="278" spans="1:8" x14ac:dyDescent="0.25">
      <c r="A278" s="86" t="s">
        <v>155</v>
      </c>
    </row>
    <row r="279" spans="1:8" x14ac:dyDescent="0.25">
      <c r="A279" s="86" t="s">
        <v>156</v>
      </c>
    </row>
    <row r="282" spans="1:8" ht="13.5" customHeight="1" x14ac:dyDescent="0.25">
      <c r="A282" s="385" t="s">
        <v>169</v>
      </c>
      <c r="B282" s="385"/>
      <c r="C282" s="385"/>
      <c r="D282" s="385"/>
      <c r="E282" s="385"/>
      <c r="F282" s="385"/>
      <c r="G282" s="385"/>
      <c r="H282" s="385"/>
    </row>
    <row r="284" spans="1:8" x14ac:dyDescent="0.25">
      <c r="A284" s="385" t="s">
        <v>143</v>
      </c>
      <c r="B284" s="385"/>
      <c r="C284" s="385"/>
      <c r="D284" s="385"/>
      <c r="E284" s="385"/>
      <c r="F284" s="385"/>
      <c r="G284" s="385"/>
      <c r="H284" s="385"/>
    </row>
    <row r="285" spans="1:8" x14ac:dyDescent="0.25">
      <c r="A285" s="385" t="s">
        <v>144</v>
      </c>
      <c r="B285" s="385"/>
      <c r="C285" s="385"/>
      <c r="D285" s="385"/>
      <c r="E285" s="385"/>
      <c r="F285" s="385"/>
      <c r="G285" s="385"/>
      <c r="H285" s="385"/>
    </row>
    <row r="287" spans="1:8" ht="13.8" thickBot="1" x14ac:dyDescent="0.3">
      <c r="C287" s="87" t="s">
        <v>38</v>
      </c>
      <c r="D287" s="87" t="s">
        <v>39</v>
      </c>
      <c r="E287" s="87" t="s">
        <v>40</v>
      </c>
      <c r="F287" s="87" t="s">
        <v>41</v>
      </c>
      <c r="G287" s="87" t="s">
        <v>42</v>
      </c>
      <c r="H287" s="87" t="s">
        <v>43</v>
      </c>
    </row>
    <row r="288" spans="1:8" ht="52.8" x14ac:dyDescent="0.25">
      <c r="A288" s="89" t="s">
        <v>46</v>
      </c>
      <c r="B288" s="89" t="s">
        <v>47</v>
      </c>
      <c r="C288" s="90" t="str">
        <f>C168</f>
        <v>Near-term projected 30-year U.S. Treasury bond yield 
(Q1 2024 - Q1 2025)</v>
      </c>
      <c r="D288" s="90" t="s">
        <v>146</v>
      </c>
      <c r="E288" s="90" t="s">
        <v>147</v>
      </c>
      <c r="F288" s="90" t="s">
        <v>148</v>
      </c>
      <c r="G288" s="91" t="s">
        <v>149</v>
      </c>
      <c r="H288" s="91" t="s">
        <v>150</v>
      </c>
    </row>
    <row r="289" spans="1:11" x14ac:dyDescent="0.25">
      <c r="A289" s="86" t="str">
        <f>A169</f>
        <v>NiSource Inc.</v>
      </c>
      <c r="B289" s="87" t="str">
        <f t="shared" ref="B289:C289" si="147">B169</f>
        <v>NI</v>
      </c>
      <c r="C289" s="117">
        <f t="shared" si="147"/>
        <v>4.4800000000000006E-2</v>
      </c>
      <c r="D289" s="115">
        <f>D249</f>
        <v>0.73749999999999982</v>
      </c>
      <c r="E289" s="95">
        <f>'AEB-8 Market Return'!$C$9</f>
        <v>0.12556998267980807</v>
      </c>
      <c r="F289" s="96">
        <f>E289-C289</f>
        <v>8.0769982679808061E-2</v>
      </c>
      <c r="G289" s="96">
        <f>IFERROR(F289*D289+C289, "")</f>
        <v>0.10436786222635844</v>
      </c>
      <c r="H289" s="96">
        <f>IFERROR((0.25*F289)+(0.75*D289*F289)+C289, "")</f>
        <v>0.10966839233972084</v>
      </c>
      <c r="K289" s="118"/>
    </row>
    <row r="290" spans="1:11" x14ac:dyDescent="0.25">
      <c r="A290" s="86" t="str">
        <f t="shared" ref="A290:C290" si="148">A170</f>
        <v>ALLETE, Inc.</v>
      </c>
      <c r="B290" s="87" t="str">
        <f t="shared" si="148"/>
        <v>ALE</v>
      </c>
      <c r="C290" s="117">
        <f t="shared" si="148"/>
        <v>4.4800000000000006E-2</v>
      </c>
      <c r="D290" s="115">
        <f t="shared" ref="D290:D309" si="149">D250</f>
        <v>0.78500000000000014</v>
      </c>
      <c r="E290" s="95">
        <f>'AEB-8 Market Return'!$C$9</f>
        <v>0.12556998267980807</v>
      </c>
      <c r="F290" s="96">
        <f t="shared" ref="F290:F309" si="150">E290-C290</f>
        <v>8.0769982679808061E-2</v>
      </c>
      <c r="G290" s="96">
        <f t="shared" ref="G290:G309" si="151">IFERROR(F290*D290+C290, "")</f>
        <v>0.10820443640364935</v>
      </c>
      <c r="H290" s="96">
        <f t="shared" ref="H290:H309" si="152">IFERROR((0.25*F290)+(0.75*D290*F290)+C290, "")</f>
        <v>0.11254582297268903</v>
      </c>
      <c r="K290" s="118"/>
    </row>
    <row r="291" spans="1:11" x14ac:dyDescent="0.25">
      <c r="A291" s="86" t="str">
        <f t="shared" ref="A291:C291" si="153">A171</f>
        <v>Alliant Energy Corporation</v>
      </c>
      <c r="B291" s="87" t="str">
        <f t="shared" si="153"/>
        <v>LNT</v>
      </c>
      <c r="C291" s="117">
        <f t="shared" si="153"/>
        <v>4.4800000000000006E-2</v>
      </c>
      <c r="D291" s="115">
        <f t="shared" si="149"/>
        <v>0.74999999999999978</v>
      </c>
      <c r="E291" s="95">
        <f>'AEB-8 Market Return'!$C$9</f>
        <v>0.12556998267980807</v>
      </c>
      <c r="F291" s="96">
        <f t="shared" si="150"/>
        <v>8.0769982679808061E-2</v>
      </c>
      <c r="G291" s="96">
        <f t="shared" si="151"/>
        <v>0.10537748700985602</v>
      </c>
      <c r="H291" s="96">
        <f t="shared" si="152"/>
        <v>0.11042561092734404</v>
      </c>
      <c r="K291" s="118"/>
    </row>
    <row r="292" spans="1:11" x14ac:dyDescent="0.25">
      <c r="A292" s="86" t="str">
        <f t="shared" ref="A292:C292" si="154">A172</f>
        <v>Ameren Corporation</v>
      </c>
      <c r="B292" s="87" t="str">
        <f t="shared" si="154"/>
        <v>AEE</v>
      </c>
      <c r="C292" s="117">
        <f t="shared" si="154"/>
        <v>4.4800000000000006E-2</v>
      </c>
      <c r="D292" s="115">
        <f t="shared" si="149"/>
        <v>0.72499999999999987</v>
      </c>
      <c r="E292" s="95">
        <f>'AEB-8 Market Return'!$C$9</f>
        <v>0.12556998267980807</v>
      </c>
      <c r="F292" s="96">
        <f t="shared" si="150"/>
        <v>8.0769982679808061E-2</v>
      </c>
      <c r="G292" s="96">
        <f t="shared" si="151"/>
        <v>0.10335823744286084</v>
      </c>
      <c r="H292" s="96">
        <f t="shared" si="152"/>
        <v>0.10891117375209765</v>
      </c>
      <c r="K292" s="118"/>
    </row>
    <row r="293" spans="1:11" x14ac:dyDescent="0.25">
      <c r="A293" s="86" t="str">
        <f t="shared" ref="A293:C293" si="155">A173</f>
        <v>American Electric Power Company, Inc.</v>
      </c>
      <c r="B293" s="87" t="str">
        <f t="shared" si="155"/>
        <v>AEP</v>
      </c>
      <c r="C293" s="117">
        <f t="shared" si="155"/>
        <v>4.4800000000000006E-2</v>
      </c>
      <c r="D293" s="115">
        <f t="shared" si="149"/>
        <v>0.67499999999999993</v>
      </c>
      <c r="E293" s="95">
        <f>'AEB-8 Market Return'!$C$9</f>
        <v>0.12556998267980807</v>
      </c>
      <c r="F293" s="96">
        <f t="shared" si="150"/>
        <v>8.0769982679808061E-2</v>
      </c>
      <c r="G293" s="96">
        <f t="shared" si="151"/>
        <v>9.9319738308870448E-2</v>
      </c>
      <c r="H293" s="96">
        <f t="shared" si="152"/>
        <v>0.10588229940160485</v>
      </c>
      <c r="K293" s="118"/>
    </row>
    <row r="294" spans="1:11" x14ac:dyDescent="0.25">
      <c r="A294" s="86" t="str">
        <f t="shared" ref="A294:C294" si="156">A174</f>
        <v>Avista Corporation</v>
      </c>
      <c r="B294" s="87" t="str">
        <f t="shared" si="156"/>
        <v>AVA</v>
      </c>
      <c r="C294" s="117">
        <f t="shared" si="156"/>
        <v>4.4800000000000006E-2</v>
      </c>
      <c r="D294" s="115">
        <f t="shared" si="149"/>
        <v>0.78500000000000003</v>
      </c>
      <c r="E294" s="95">
        <f>'AEB-8 Market Return'!$C$9</f>
        <v>0.12556998267980807</v>
      </c>
      <c r="F294" s="96">
        <f t="shared" si="150"/>
        <v>8.0769982679808061E-2</v>
      </c>
      <c r="G294" s="96">
        <f t="shared" si="151"/>
        <v>0.10820443640364934</v>
      </c>
      <c r="H294" s="96">
        <f t="shared" si="152"/>
        <v>0.11254582297268902</v>
      </c>
      <c r="K294" s="118"/>
    </row>
    <row r="295" spans="1:11" x14ac:dyDescent="0.25">
      <c r="A295" s="86" t="str">
        <f t="shared" ref="A295:C295" si="157">A175</f>
        <v>Black Hills Corporation</v>
      </c>
      <c r="B295" s="87" t="str">
        <f t="shared" si="157"/>
        <v>BKH</v>
      </c>
      <c r="C295" s="117">
        <f t="shared" si="157"/>
        <v>4.4800000000000006E-2</v>
      </c>
      <c r="D295" s="115">
        <f t="shared" si="149"/>
        <v>0.89</v>
      </c>
      <c r="E295" s="95">
        <f>'AEB-8 Market Return'!$C$9</f>
        <v>0.12556998267980807</v>
      </c>
      <c r="F295" s="96">
        <f t="shared" si="150"/>
        <v>8.0769982679808061E-2</v>
      </c>
      <c r="G295" s="96">
        <f t="shared" si="151"/>
        <v>0.11668528458502918</v>
      </c>
      <c r="H295" s="96">
        <f t="shared" si="152"/>
        <v>0.11890645910872391</v>
      </c>
      <c r="K295" s="118"/>
    </row>
    <row r="296" spans="1:11" x14ac:dyDescent="0.25">
      <c r="A296" s="86" t="str">
        <f t="shared" ref="A296:C296" si="158">A176</f>
        <v>CMS Energy Corporation</v>
      </c>
      <c r="B296" s="87" t="str">
        <f t="shared" si="158"/>
        <v>CMS</v>
      </c>
      <c r="C296" s="117">
        <f t="shared" si="158"/>
        <v>4.4800000000000006E-2</v>
      </c>
      <c r="D296" s="115">
        <f t="shared" si="149"/>
        <v>0.69</v>
      </c>
      <c r="E296" s="95">
        <f>'AEB-8 Market Return'!$C$9</f>
        <v>0.12556998267980807</v>
      </c>
      <c r="F296" s="96">
        <f t="shared" si="150"/>
        <v>8.0769982679808061E-2</v>
      </c>
      <c r="G296" s="96">
        <f t="shared" si="151"/>
        <v>0.10053128804906757</v>
      </c>
      <c r="H296" s="96">
        <f t="shared" si="152"/>
        <v>0.10679096170675269</v>
      </c>
      <c r="K296" s="118"/>
    </row>
    <row r="297" spans="1:11" x14ac:dyDescent="0.25">
      <c r="A297" s="86" t="str">
        <f t="shared" ref="A297:C297" si="159">A177</f>
        <v>Duke Energy Corporation</v>
      </c>
      <c r="B297" s="87" t="str">
        <f t="shared" si="159"/>
        <v>DUK</v>
      </c>
      <c r="C297" s="117">
        <f t="shared" si="159"/>
        <v>4.4800000000000006E-2</v>
      </c>
      <c r="D297" s="115">
        <f t="shared" si="149"/>
        <v>0.66499999999999981</v>
      </c>
      <c r="E297" s="95">
        <f>'AEB-8 Market Return'!$C$9</f>
        <v>0.12556998267980807</v>
      </c>
      <c r="F297" s="96">
        <f t="shared" si="150"/>
        <v>8.0769982679808061E-2</v>
      </c>
      <c r="G297" s="96">
        <f t="shared" si="151"/>
        <v>9.851203848207235E-2</v>
      </c>
      <c r="H297" s="96">
        <f t="shared" si="152"/>
        <v>0.10527652453150628</v>
      </c>
      <c r="K297" s="118"/>
    </row>
    <row r="298" spans="1:11" x14ac:dyDescent="0.25">
      <c r="A298" s="86" t="str">
        <f t="shared" ref="A298:C298" si="160">A178</f>
        <v>Entergy Corporation</v>
      </c>
      <c r="B298" s="87" t="str">
        <f t="shared" si="160"/>
        <v>ETR</v>
      </c>
      <c r="C298" s="117">
        <f t="shared" si="160"/>
        <v>4.4800000000000006E-2</v>
      </c>
      <c r="D298" s="115">
        <f t="shared" si="149"/>
        <v>0.745</v>
      </c>
      <c r="E298" s="95">
        <f>'AEB-8 Market Return'!$C$9</f>
        <v>0.12556998267980807</v>
      </c>
      <c r="F298" s="96">
        <f t="shared" si="150"/>
        <v>8.0769982679808061E-2</v>
      </c>
      <c r="G298" s="96">
        <f t="shared" si="151"/>
        <v>0.10497363709645702</v>
      </c>
      <c r="H298" s="96">
        <f t="shared" si="152"/>
        <v>0.11012272349229477</v>
      </c>
    </row>
    <row r="299" spans="1:11" x14ac:dyDescent="0.25">
      <c r="A299" s="86" t="str">
        <f t="shared" ref="A299:C299" si="161">A179</f>
        <v>Evergy, Inc.</v>
      </c>
      <c r="B299" s="87" t="str">
        <f t="shared" si="161"/>
        <v>EVRG</v>
      </c>
      <c r="C299" s="117">
        <f t="shared" si="161"/>
        <v>4.4800000000000006E-2</v>
      </c>
      <c r="D299" s="115">
        <f t="shared" si="149"/>
        <v>0.95000000000000007</v>
      </c>
      <c r="E299" s="95">
        <f>'AEB-8 Market Return'!$C$9</f>
        <v>0.12556998267980807</v>
      </c>
      <c r="F299" s="96">
        <f t="shared" si="150"/>
        <v>8.0769982679808061E-2</v>
      </c>
      <c r="G299" s="96">
        <f t="shared" si="151"/>
        <v>0.12153148354581766</v>
      </c>
      <c r="H299" s="96">
        <f t="shared" si="152"/>
        <v>0.12254110832931527</v>
      </c>
    </row>
    <row r="300" spans="1:11" x14ac:dyDescent="0.25">
      <c r="A300" s="86" t="str">
        <f t="shared" ref="A300:C300" si="162">A180</f>
        <v>IDACORP, Inc.</v>
      </c>
      <c r="B300" s="87" t="str">
        <f t="shared" si="162"/>
        <v>IDA</v>
      </c>
      <c r="C300" s="117">
        <f t="shared" si="162"/>
        <v>4.4800000000000006E-2</v>
      </c>
      <c r="D300" s="115">
        <f t="shared" si="149"/>
        <v>0.72999999999999987</v>
      </c>
      <c r="E300" s="95">
        <f>'AEB-8 Market Return'!$C$9</f>
        <v>0.12556998267980807</v>
      </c>
      <c r="F300" s="96">
        <f t="shared" si="150"/>
        <v>8.0769982679808061E-2</v>
      </c>
      <c r="G300" s="96">
        <f t="shared" si="151"/>
        <v>0.10376208735625989</v>
      </c>
      <c r="H300" s="96">
        <f t="shared" si="152"/>
        <v>0.10921406118714692</v>
      </c>
    </row>
    <row r="301" spans="1:11" x14ac:dyDescent="0.25">
      <c r="A301" s="86" t="str">
        <f t="shared" ref="A301:C301" si="163">A181</f>
        <v>MGE Energy, Inc.</v>
      </c>
      <c r="B301" s="87" t="str">
        <f t="shared" si="163"/>
        <v>MGEE</v>
      </c>
      <c r="C301" s="117">
        <f t="shared" si="163"/>
        <v>4.4800000000000006E-2</v>
      </c>
      <c r="D301" s="115">
        <f t="shared" si="149"/>
        <v>0.68499999999999994</v>
      </c>
      <c r="E301" s="95">
        <f>'AEB-8 Market Return'!$C$9</f>
        <v>0.12556998267980807</v>
      </c>
      <c r="F301" s="96">
        <f t="shared" si="150"/>
        <v>8.0769982679808061E-2</v>
      </c>
      <c r="G301" s="96">
        <f t="shared" si="151"/>
        <v>0.10012743813566852</v>
      </c>
      <c r="H301" s="96">
        <f t="shared" si="152"/>
        <v>0.1064880742717034</v>
      </c>
    </row>
    <row r="302" spans="1:11" x14ac:dyDescent="0.25">
      <c r="A302" s="86" t="str">
        <f t="shared" ref="A302:C302" si="164">A182</f>
        <v>NextEra Energy, Inc.</v>
      </c>
      <c r="B302" s="87" t="str">
        <f t="shared" si="164"/>
        <v>NEE</v>
      </c>
      <c r="C302" s="117">
        <f t="shared" si="164"/>
        <v>4.4800000000000006E-2</v>
      </c>
      <c r="D302" s="115">
        <f t="shared" si="149"/>
        <v>0.73000000000000009</v>
      </c>
      <c r="E302" s="95">
        <f>'AEB-8 Market Return'!$C$9</f>
        <v>0.12556998267980807</v>
      </c>
      <c r="F302" s="96">
        <f t="shared" si="150"/>
        <v>8.0769982679808061E-2</v>
      </c>
      <c r="G302" s="96">
        <f t="shared" si="151"/>
        <v>0.1037620873562599</v>
      </c>
      <c r="H302" s="96">
        <f t="shared" si="152"/>
        <v>0.10921406118714694</v>
      </c>
    </row>
    <row r="303" spans="1:11" x14ac:dyDescent="0.25">
      <c r="A303" s="86" t="str">
        <f t="shared" ref="A303:C303" si="165">A183</f>
        <v>NorthWestern Corporation</v>
      </c>
      <c r="B303" s="87" t="str">
        <f t="shared" si="165"/>
        <v>NWE</v>
      </c>
      <c r="C303" s="117">
        <f t="shared" si="165"/>
        <v>4.4800000000000006E-2</v>
      </c>
      <c r="D303" s="115">
        <f t="shared" si="149"/>
        <v>0.745</v>
      </c>
      <c r="E303" s="95">
        <f>'AEB-8 Market Return'!$C$9</f>
        <v>0.12556998267980807</v>
      </c>
      <c r="F303" s="96">
        <f t="shared" si="150"/>
        <v>8.0769982679808061E-2</v>
      </c>
      <c r="G303" s="96">
        <f t="shared" si="151"/>
        <v>0.10497363709645702</v>
      </c>
      <c r="H303" s="96">
        <f t="shared" si="152"/>
        <v>0.11012272349229477</v>
      </c>
    </row>
    <row r="304" spans="1:11" x14ac:dyDescent="0.25">
      <c r="A304" s="86" t="str">
        <f t="shared" ref="A304:C304" si="166">A184</f>
        <v>OGE Energy Corporation</v>
      </c>
      <c r="B304" s="87" t="str">
        <f t="shared" si="166"/>
        <v>OGE</v>
      </c>
      <c r="C304" s="117">
        <f t="shared" si="166"/>
        <v>4.4800000000000006E-2</v>
      </c>
      <c r="D304" s="115">
        <f t="shared" si="149"/>
        <v>0.93</v>
      </c>
      <c r="E304" s="95">
        <f>'AEB-8 Market Return'!$C$9</f>
        <v>0.12556998267980807</v>
      </c>
      <c r="F304" s="96">
        <f t="shared" si="150"/>
        <v>8.0769982679808061E-2</v>
      </c>
      <c r="G304" s="96">
        <f t="shared" si="151"/>
        <v>0.11991608389222151</v>
      </c>
      <c r="H304" s="96">
        <f t="shared" si="152"/>
        <v>0.12132955858911815</v>
      </c>
    </row>
    <row r="305" spans="1:8" x14ac:dyDescent="0.25">
      <c r="A305" s="86" t="str">
        <f t="shared" ref="A305:C305" si="167">A185</f>
        <v>Pinnacle West Capital Corporation</v>
      </c>
      <c r="B305" s="87" t="str">
        <f t="shared" si="167"/>
        <v>PNW</v>
      </c>
      <c r="C305" s="117">
        <f t="shared" si="167"/>
        <v>4.4800000000000006E-2</v>
      </c>
      <c r="D305" s="115">
        <f t="shared" si="149"/>
        <v>0.7350000000000001</v>
      </c>
      <c r="E305" s="95">
        <f>'AEB-8 Market Return'!$C$9</f>
        <v>0.12556998267980807</v>
      </c>
      <c r="F305" s="96">
        <f t="shared" si="150"/>
        <v>8.0769982679808061E-2</v>
      </c>
      <c r="G305" s="96">
        <f t="shared" si="151"/>
        <v>0.10416593726965895</v>
      </c>
      <c r="H305" s="96">
        <f t="shared" si="152"/>
        <v>0.10951694862219621</v>
      </c>
    </row>
    <row r="306" spans="1:8" x14ac:dyDescent="0.25">
      <c r="A306" s="86" t="str">
        <f t="shared" ref="A306:C306" si="168">A186</f>
        <v>Portland General Electric Company</v>
      </c>
      <c r="B306" s="87" t="str">
        <f t="shared" si="168"/>
        <v>POR</v>
      </c>
      <c r="C306" s="117">
        <f t="shared" si="168"/>
        <v>4.4800000000000006E-2</v>
      </c>
      <c r="D306" s="115">
        <f t="shared" si="149"/>
        <v>0.74999999999999989</v>
      </c>
      <c r="E306" s="95">
        <f>'AEB-8 Market Return'!$C$9</f>
        <v>0.12556998267980807</v>
      </c>
      <c r="F306" s="96">
        <f t="shared" si="150"/>
        <v>8.0769982679808061E-2</v>
      </c>
      <c r="G306" s="96">
        <f t="shared" si="151"/>
        <v>0.10537748700985605</v>
      </c>
      <c r="H306" s="96">
        <f t="shared" si="152"/>
        <v>0.11042561092734404</v>
      </c>
    </row>
    <row r="307" spans="1:8" x14ac:dyDescent="0.25">
      <c r="A307" s="86" t="str">
        <f t="shared" ref="A307:C307" si="169">A187</f>
        <v>Southern Company</v>
      </c>
      <c r="B307" s="87" t="str">
        <f t="shared" si="169"/>
        <v>SO</v>
      </c>
      <c r="C307" s="117">
        <f t="shared" si="169"/>
        <v>4.4800000000000006E-2</v>
      </c>
      <c r="D307" s="115">
        <f t="shared" si="149"/>
        <v>0.65500000000000003</v>
      </c>
      <c r="E307" s="95">
        <f>'AEB-8 Market Return'!$C$9</f>
        <v>0.12556998267980807</v>
      </c>
      <c r="F307" s="96">
        <f t="shared" si="150"/>
        <v>8.0769982679808061E-2</v>
      </c>
      <c r="G307" s="96">
        <f t="shared" si="151"/>
        <v>9.7704338655274281E-2</v>
      </c>
      <c r="H307" s="96">
        <f t="shared" si="152"/>
        <v>0.10467074966140774</v>
      </c>
    </row>
    <row r="308" spans="1:8" x14ac:dyDescent="0.25">
      <c r="A308" s="86" t="str">
        <f t="shared" ref="A308:C308" si="170">A188</f>
        <v>Wisconsin Energy Corporation</v>
      </c>
      <c r="B308" s="87" t="str">
        <f t="shared" si="170"/>
        <v>WEC</v>
      </c>
      <c r="C308" s="117">
        <f t="shared" si="170"/>
        <v>4.4800000000000006E-2</v>
      </c>
      <c r="D308" s="115">
        <f t="shared" si="149"/>
        <v>0.65999999999999992</v>
      </c>
      <c r="E308" s="95">
        <f>'AEB-8 Market Return'!$C$9</f>
        <v>0.12556998267980807</v>
      </c>
      <c r="F308" s="96">
        <f t="shared" si="150"/>
        <v>8.0769982679808061E-2</v>
      </c>
      <c r="G308" s="96">
        <f t="shared" si="151"/>
        <v>9.8108188568673316E-2</v>
      </c>
      <c r="H308" s="96">
        <f t="shared" si="152"/>
        <v>0.10497363709645702</v>
      </c>
    </row>
    <row r="309" spans="1:8" x14ac:dyDescent="0.25">
      <c r="A309" s="86" t="str">
        <f t="shared" ref="A309:C309" si="171">A189</f>
        <v>Xcel Energy Inc.</v>
      </c>
      <c r="B309" s="87" t="str">
        <f t="shared" si="171"/>
        <v>XEL</v>
      </c>
      <c r="C309" s="117">
        <f t="shared" si="171"/>
        <v>4.4800000000000006E-2</v>
      </c>
      <c r="D309" s="115">
        <f t="shared" si="149"/>
        <v>0.65500000000000003</v>
      </c>
      <c r="E309" s="95">
        <f>'AEB-8 Market Return'!$C$9</f>
        <v>0.12556998267980807</v>
      </c>
      <c r="F309" s="96">
        <f t="shared" si="150"/>
        <v>8.0769982679808061E-2</v>
      </c>
      <c r="G309" s="96">
        <f t="shared" si="151"/>
        <v>9.7704338655274281E-2</v>
      </c>
      <c r="H309" s="96">
        <f t="shared" si="152"/>
        <v>0.10467074966140774</v>
      </c>
    </row>
    <row r="310" spans="1:8" x14ac:dyDescent="0.25">
      <c r="A310" s="98" t="s">
        <v>5</v>
      </c>
      <c r="B310" s="99"/>
      <c r="C310" s="99"/>
      <c r="D310" s="94"/>
      <c r="E310" s="98"/>
      <c r="F310" s="98"/>
      <c r="G310" s="100">
        <f>AVERAGE(G289:G309)</f>
        <v>0.10507940731187103</v>
      </c>
      <c r="H310" s="100">
        <f>AVERAGE(H289:H309)</f>
        <v>0.1102020511538553</v>
      </c>
    </row>
    <row r="311" spans="1:8" ht="13.8" thickBot="1" x14ac:dyDescent="0.3">
      <c r="A311" s="101" t="s">
        <v>14</v>
      </c>
      <c r="B311" s="102"/>
      <c r="C311" s="102"/>
      <c r="D311" s="103"/>
      <c r="E311" s="101"/>
      <c r="F311" s="101"/>
      <c r="G311" s="104">
        <f>MEDIAN(G289:G309)</f>
        <v>0.10416593726965895</v>
      </c>
      <c r="H311" s="104">
        <f>MEDIAN(H289:H309)</f>
        <v>0.10951694862219621</v>
      </c>
    </row>
    <row r="313" spans="1:8" x14ac:dyDescent="0.25">
      <c r="A313" s="105" t="s">
        <v>104</v>
      </c>
    </row>
    <row r="314" spans="1:8" x14ac:dyDescent="0.25">
      <c r="A314" s="86" t="str">
        <f>A194</f>
        <v>[1] Source: Blue Chip Financial Forecasts, Vol. 42, No. 12, December 1, 2023, at 2</v>
      </c>
    </row>
    <row r="315" spans="1:8" x14ac:dyDescent="0.25">
      <c r="A315" s="86" t="str">
        <f>A275</f>
        <v>[2] Source: LT Beta</v>
      </c>
    </row>
    <row r="316" spans="1:8" x14ac:dyDescent="0.25">
      <c r="A316" s="86" t="str">
        <f>$A$36</f>
        <v>[3] Source: Market Return</v>
      </c>
    </row>
    <row r="317" spans="1:8" x14ac:dyDescent="0.25">
      <c r="A317" s="86" t="s">
        <v>154</v>
      </c>
    </row>
    <row r="318" spans="1:8" x14ac:dyDescent="0.25">
      <c r="A318" s="86" t="s">
        <v>155</v>
      </c>
    </row>
    <row r="319" spans="1:8" x14ac:dyDescent="0.25">
      <c r="A319" s="86" t="s">
        <v>156</v>
      </c>
    </row>
    <row r="322" spans="1:8" ht="13.5" customHeight="1" x14ac:dyDescent="0.25">
      <c r="A322" s="385" t="s">
        <v>170</v>
      </c>
      <c r="B322" s="385"/>
      <c r="C322" s="385"/>
      <c r="D322" s="385"/>
      <c r="E322" s="385"/>
      <c r="F322" s="385"/>
      <c r="G322" s="385"/>
      <c r="H322" s="385"/>
    </row>
    <row r="324" spans="1:8" x14ac:dyDescent="0.25">
      <c r="A324" s="385" t="s">
        <v>143</v>
      </c>
      <c r="B324" s="385"/>
      <c r="C324" s="385"/>
      <c r="D324" s="385"/>
      <c r="E324" s="385"/>
      <c r="F324" s="385"/>
      <c r="G324" s="385"/>
      <c r="H324" s="385"/>
    </row>
    <row r="325" spans="1:8" x14ac:dyDescent="0.25">
      <c r="A325" s="385" t="s">
        <v>144</v>
      </c>
      <c r="B325" s="385"/>
      <c r="C325" s="385"/>
      <c r="D325" s="385"/>
      <c r="E325" s="385"/>
      <c r="F325" s="385"/>
      <c r="G325" s="385"/>
      <c r="H325" s="385"/>
    </row>
    <row r="327" spans="1:8" ht="13.8" thickBot="1" x14ac:dyDescent="0.3">
      <c r="C327" s="87" t="s">
        <v>38</v>
      </c>
      <c r="D327" s="87" t="s">
        <v>39</v>
      </c>
      <c r="E327" s="87" t="s">
        <v>40</v>
      </c>
      <c r="F327" s="87" t="s">
        <v>41</v>
      </c>
      <c r="G327" s="87" t="s">
        <v>42</v>
      </c>
      <c r="H327" s="87" t="s">
        <v>43</v>
      </c>
    </row>
    <row r="328" spans="1:8" ht="52.8" x14ac:dyDescent="0.25">
      <c r="A328" s="89" t="s">
        <v>46</v>
      </c>
      <c r="B328" s="89" t="s">
        <v>47</v>
      </c>
      <c r="C328" s="90" t="str">
        <f>C208</f>
        <v>Projected 30-year U.S. Treasury bond yield 
(2025 - 2029)</v>
      </c>
      <c r="D328" s="90" t="s">
        <v>146</v>
      </c>
      <c r="E328" s="90" t="s">
        <v>147</v>
      </c>
      <c r="F328" s="90" t="s">
        <v>148</v>
      </c>
      <c r="G328" s="91" t="s">
        <v>149</v>
      </c>
      <c r="H328" s="91" t="s">
        <v>150</v>
      </c>
    </row>
    <row r="329" spans="1:8" x14ac:dyDescent="0.25">
      <c r="A329" s="86" t="str">
        <f>A209</f>
        <v>NiSource Inc.</v>
      </c>
      <c r="B329" s="87" t="str">
        <f t="shared" ref="B329:C329" si="172">B209</f>
        <v>NI</v>
      </c>
      <c r="C329" s="100">
        <f t="shared" si="172"/>
        <v>4.1000000000000002E-2</v>
      </c>
      <c r="D329" s="115">
        <f>D289</f>
        <v>0.73749999999999982</v>
      </c>
      <c r="E329" s="95">
        <f>'AEB-8 Market Return'!$C$9</f>
        <v>0.12556998267980807</v>
      </c>
      <c r="F329" s="96">
        <f>E329-C329</f>
        <v>8.4569982679808059E-2</v>
      </c>
      <c r="G329" s="96">
        <f>IFERROR(F329*D329+C329, "")</f>
        <v>0.10337036222635843</v>
      </c>
      <c r="H329" s="96">
        <f>IFERROR((0.25*F329)+(0.75*D329*F329)+C329, "")</f>
        <v>0.10892026733972085</v>
      </c>
    </row>
    <row r="330" spans="1:8" x14ac:dyDescent="0.25">
      <c r="A330" s="86" t="str">
        <f t="shared" ref="A330:C330" si="173">A210</f>
        <v>ALLETE, Inc.</v>
      </c>
      <c r="B330" s="87" t="str">
        <f t="shared" si="173"/>
        <v>ALE</v>
      </c>
      <c r="C330" s="96">
        <f t="shared" si="173"/>
        <v>4.1000000000000002E-2</v>
      </c>
      <c r="D330" s="115">
        <f t="shared" ref="D330:D349" si="174">D290</f>
        <v>0.78500000000000014</v>
      </c>
      <c r="E330" s="95">
        <f>'AEB-8 Market Return'!$C$9</f>
        <v>0.12556998267980807</v>
      </c>
      <c r="F330" s="96">
        <f t="shared" ref="F330:F349" si="175">E330-C330</f>
        <v>8.4569982679808059E-2</v>
      </c>
      <c r="G330" s="96">
        <f t="shared" ref="G330:G349" si="176">IFERROR(F330*D330+C330, "")</f>
        <v>0.10738743640364934</v>
      </c>
      <c r="H330" s="96">
        <f t="shared" ref="H330:H349" si="177">IFERROR((0.25*F330)+(0.75*D330*F330)+C330, "")</f>
        <v>0.11193307297268903</v>
      </c>
    </row>
    <row r="331" spans="1:8" x14ac:dyDescent="0.25">
      <c r="A331" s="86" t="str">
        <f t="shared" ref="A331:C331" si="178">A211</f>
        <v>Alliant Energy Corporation</v>
      </c>
      <c r="B331" s="87" t="str">
        <f t="shared" si="178"/>
        <v>LNT</v>
      </c>
      <c r="C331" s="96">
        <f t="shared" si="178"/>
        <v>4.1000000000000002E-2</v>
      </c>
      <c r="D331" s="115">
        <f t="shared" si="174"/>
        <v>0.74999999999999978</v>
      </c>
      <c r="E331" s="95">
        <f>'AEB-8 Market Return'!$C$9</f>
        <v>0.12556998267980807</v>
      </c>
      <c r="F331" s="96">
        <f t="shared" si="175"/>
        <v>8.4569982679808059E-2</v>
      </c>
      <c r="G331" s="96">
        <f t="shared" si="176"/>
        <v>0.10442748700985602</v>
      </c>
      <c r="H331" s="96">
        <f t="shared" si="177"/>
        <v>0.10971311092734404</v>
      </c>
    </row>
    <row r="332" spans="1:8" x14ac:dyDescent="0.25">
      <c r="A332" s="86" t="str">
        <f t="shared" ref="A332:C332" si="179">A212</f>
        <v>Ameren Corporation</v>
      </c>
      <c r="B332" s="87" t="str">
        <f t="shared" si="179"/>
        <v>AEE</v>
      </c>
      <c r="C332" s="96">
        <f t="shared" si="179"/>
        <v>4.1000000000000002E-2</v>
      </c>
      <c r="D332" s="115">
        <f t="shared" si="174"/>
        <v>0.72499999999999987</v>
      </c>
      <c r="E332" s="95">
        <f>'AEB-8 Market Return'!$C$9</f>
        <v>0.12556998267980807</v>
      </c>
      <c r="F332" s="96">
        <f t="shared" si="175"/>
        <v>8.4569982679808059E-2</v>
      </c>
      <c r="G332" s="96">
        <f t="shared" si="176"/>
        <v>0.10231323744286083</v>
      </c>
      <c r="H332" s="96">
        <f t="shared" si="177"/>
        <v>0.10812742375209763</v>
      </c>
    </row>
    <row r="333" spans="1:8" x14ac:dyDescent="0.25">
      <c r="A333" s="86" t="str">
        <f t="shared" ref="A333:C333" si="180">A213</f>
        <v>American Electric Power Company, Inc.</v>
      </c>
      <c r="B333" s="87" t="str">
        <f t="shared" si="180"/>
        <v>AEP</v>
      </c>
      <c r="C333" s="96">
        <f t="shared" si="180"/>
        <v>4.1000000000000002E-2</v>
      </c>
      <c r="D333" s="115">
        <f t="shared" si="174"/>
        <v>0.67499999999999993</v>
      </c>
      <c r="E333" s="95">
        <f>'AEB-8 Market Return'!$C$9</f>
        <v>0.12556998267980807</v>
      </c>
      <c r="F333" s="96">
        <f t="shared" si="175"/>
        <v>8.4569982679808059E-2</v>
      </c>
      <c r="G333" s="96">
        <f t="shared" si="176"/>
        <v>9.8084738308870434E-2</v>
      </c>
      <c r="H333" s="96">
        <f t="shared" si="177"/>
        <v>0.10495604940160486</v>
      </c>
    </row>
    <row r="334" spans="1:8" x14ac:dyDescent="0.25">
      <c r="A334" s="86" t="str">
        <f t="shared" ref="A334:C334" si="181">A214</f>
        <v>Avista Corporation</v>
      </c>
      <c r="B334" s="87" t="str">
        <f t="shared" si="181"/>
        <v>AVA</v>
      </c>
      <c r="C334" s="96">
        <f t="shared" si="181"/>
        <v>4.1000000000000002E-2</v>
      </c>
      <c r="D334" s="115">
        <f t="shared" si="174"/>
        <v>0.78500000000000003</v>
      </c>
      <c r="E334" s="95">
        <f>'AEB-8 Market Return'!$C$9</f>
        <v>0.12556998267980807</v>
      </c>
      <c r="F334" s="96">
        <f t="shared" si="175"/>
        <v>8.4569982679808059E-2</v>
      </c>
      <c r="G334" s="96">
        <f t="shared" si="176"/>
        <v>0.10738743640364934</v>
      </c>
      <c r="H334" s="96">
        <f t="shared" si="177"/>
        <v>0.11193307297268901</v>
      </c>
    </row>
    <row r="335" spans="1:8" x14ac:dyDescent="0.25">
      <c r="A335" s="86" t="str">
        <f t="shared" ref="A335:C335" si="182">A215</f>
        <v>Black Hills Corporation</v>
      </c>
      <c r="B335" s="87" t="str">
        <f t="shared" si="182"/>
        <v>BKH</v>
      </c>
      <c r="C335" s="96">
        <f t="shared" si="182"/>
        <v>4.1000000000000002E-2</v>
      </c>
      <c r="D335" s="115">
        <f t="shared" si="174"/>
        <v>0.89</v>
      </c>
      <c r="E335" s="95">
        <f>'AEB-8 Market Return'!$C$9</f>
        <v>0.12556998267980807</v>
      </c>
      <c r="F335" s="96">
        <f t="shared" si="175"/>
        <v>8.4569982679808059E-2</v>
      </c>
      <c r="G335" s="96">
        <f t="shared" si="176"/>
        <v>0.11626728458502916</v>
      </c>
      <c r="H335" s="96">
        <f t="shared" si="177"/>
        <v>0.11859295910872389</v>
      </c>
    </row>
    <row r="336" spans="1:8" x14ac:dyDescent="0.25">
      <c r="A336" s="86" t="str">
        <f t="shared" ref="A336:C336" si="183">A216</f>
        <v>CMS Energy Corporation</v>
      </c>
      <c r="B336" s="87" t="str">
        <f t="shared" si="183"/>
        <v>CMS</v>
      </c>
      <c r="C336" s="96">
        <f t="shared" si="183"/>
        <v>4.1000000000000002E-2</v>
      </c>
      <c r="D336" s="115">
        <f t="shared" si="174"/>
        <v>0.69</v>
      </c>
      <c r="E336" s="95">
        <f>'AEB-8 Market Return'!$C$9</f>
        <v>0.12556998267980807</v>
      </c>
      <c r="F336" s="96">
        <f t="shared" si="175"/>
        <v>8.4569982679808059E-2</v>
      </c>
      <c r="G336" s="96">
        <f t="shared" si="176"/>
        <v>9.9353288049067567E-2</v>
      </c>
      <c r="H336" s="96">
        <f t="shared" si="177"/>
        <v>0.10590746170675269</v>
      </c>
    </row>
    <row r="337" spans="1:8" x14ac:dyDescent="0.25">
      <c r="A337" s="86" t="str">
        <f t="shared" ref="A337:C337" si="184">A217</f>
        <v>Duke Energy Corporation</v>
      </c>
      <c r="B337" s="87" t="str">
        <f t="shared" si="184"/>
        <v>DUK</v>
      </c>
      <c r="C337" s="96">
        <f t="shared" si="184"/>
        <v>4.1000000000000002E-2</v>
      </c>
      <c r="D337" s="115">
        <f t="shared" si="174"/>
        <v>0.66499999999999981</v>
      </c>
      <c r="E337" s="95">
        <f>'AEB-8 Market Return'!$C$9</f>
        <v>0.12556998267980807</v>
      </c>
      <c r="F337" s="96">
        <f t="shared" si="175"/>
        <v>8.4569982679808059E-2</v>
      </c>
      <c r="G337" s="96">
        <f t="shared" si="176"/>
        <v>9.7239038482072354E-2</v>
      </c>
      <c r="H337" s="96">
        <f t="shared" si="177"/>
        <v>0.10432177453150629</v>
      </c>
    </row>
    <row r="338" spans="1:8" x14ac:dyDescent="0.25">
      <c r="A338" s="86" t="str">
        <f t="shared" ref="A338:C338" si="185">A218</f>
        <v>Entergy Corporation</v>
      </c>
      <c r="B338" s="87" t="str">
        <f t="shared" si="185"/>
        <v>ETR</v>
      </c>
      <c r="C338" s="96">
        <f t="shared" si="185"/>
        <v>4.1000000000000002E-2</v>
      </c>
      <c r="D338" s="115">
        <f t="shared" si="174"/>
        <v>0.745</v>
      </c>
      <c r="E338" s="95">
        <f>'AEB-8 Market Return'!$C$9</f>
        <v>0.12556998267980807</v>
      </c>
      <c r="F338" s="96">
        <f t="shared" si="175"/>
        <v>8.4569982679808059E-2</v>
      </c>
      <c r="G338" s="96">
        <f t="shared" si="176"/>
        <v>0.10400463709645699</v>
      </c>
      <c r="H338" s="96">
        <f t="shared" si="177"/>
        <v>0.10939597349229477</v>
      </c>
    </row>
    <row r="339" spans="1:8" x14ac:dyDescent="0.25">
      <c r="A339" s="86" t="str">
        <f t="shared" ref="A339:C339" si="186">A219</f>
        <v>Evergy, Inc.</v>
      </c>
      <c r="B339" s="87" t="str">
        <f t="shared" si="186"/>
        <v>EVRG</v>
      </c>
      <c r="C339" s="96">
        <f t="shared" si="186"/>
        <v>4.1000000000000002E-2</v>
      </c>
      <c r="D339" s="115">
        <f t="shared" si="174"/>
        <v>0.95000000000000007</v>
      </c>
      <c r="E339" s="95">
        <f>'AEB-8 Market Return'!$C$9</f>
        <v>0.12556998267980807</v>
      </c>
      <c r="F339" s="96">
        <f t="shared" si="175"/>
        <v>8.4569982679808059E-2</v>
      </c>
      <c r="G339" s="96">
        <f t="shared" si="176"/>
        <v>0.12134148354581767</v>
      </c>
      <c r="H339" s="96">
        <f t="shared" si="177"/>
        <v>0.12239860832931526</v>
      </c>
    </row>
    <row r="340" spans="1:8" x14ac:dyDescent="0.25">
      <c r="A340" s="86" t="str">
        <f t="shared" ref="A340:C340" si="187">A220</f>
        <v>IDACORP, Inc.</v>
      </c>
      <c r="B340" s="87" t="str">
        <f t="shared" si="187"/>
        <v>IDA</v>
      </c>
      <c r="C340" s="96">
        <f t="shared" si="187"/>
        <v>4.1000000000000002E-2</v>
      </c>
      <c r="D340" s="115">
        <f t="shared" si="174"/>
        <v>0.72999999999999987</v>
      </c>
      <c r="E340" s="95">
        <f>'AEB-8 Market Return'!$C$9</f>
        <v>0.12556998267980807</v>
      </c>
      <c r="F340" s="96">
        <f t="shared" si="175"/>
        <v>8.4569982679808059E-2</v>
      </c>
      <c r="G340" s="96">
        <f t="shared" si="176"/>
        <v>0.10273608735625987</v>
      </c>
      <c r="H340" s="96">
        <f t="shared" si="177"/>
        <v>0.10844456118714693</v>
      </c>
    </row>
    <row r="341" spans="1:8" x14ac:dyDescent="0.25">
      <c r="A341" s="86" t="str">
        <f t="shared" ref="A341:C341" si="188">A221</f>
        <v>MGE Energy, Inc.</v>
      </c>
      <c r="B341" s="87" t="str">
        <f t="shared" si="188"/>
        <v>MGEE</v>
      </c>
      <c r="C341" s="96">
        <f t="shared" si="188"/>
        <v>4.1000000000000002E-2</v>
      </c>
      <c r="D341" s="115">
        <f t="shared" si="174"/>
        <v>0.68499999999999994</v>
      </c>
      <c r="E341" s="95">
        <f>'AEB-8 Market Return'!$C$9</f>
        <v>0.12556998267980807</v>
      </c>
      <c r="F341" s="96">
        <f t="shared" si="175"/>
        <v>8.4569982679808059E-2</v>
      </c>
      <c r="G341" s="96">
        <f t="shared" si="176"/>
        <v>9.8930438135668514E-2</v>
      </c>
      <c r="H341" s="96">
        <f t="shared" si="177"/>
        <v>0.1055903242717034</v>
      </c>
    </row>
    <row r="342" spans="1:8" x14ac:dyDescent="0.25">
      <c r="A342" s="86" t="str">
        <f t="shared" ref="A342:C342" si="189">A222</f>
        <v>NextEra Energy, Inc.</v>
      </c>
      <c r="B342" s="87" t="str">
        <f t="shared" si="189"/>
        <v>NEE</v>
      </c>
      <c r="C342" s="96">
        <f t="shared" si="189"/>
        <v>4.1000000000000002E-2</v>
      </c>
      <c r="D342" s="115">
        <f t="shared" si="174"/>
        <v>0.73000000000000009</v>
      </c>
      <c r="E342" s="95">
        <f>'AEB-8 Market Return'!$C$9</f>
        <v>0.12556998267980807</v>
      </c>
      <c r="F342" s="96">
        <f t="shared" si="175"/>
        <v>8.4569982679808059E-2</v>
      </c>
      <c r="G342" s="96">
        <f t="shared" si="176"/>
        <v>0.10273608735625989</v>
      </c>
      <c r="H342" s="96">
        <f t="shared" si="177"/>
        <v>0.10844456118714693</v>
      </c>
    </row>
    <row r="343" spans="1:8" x14ac:dyDescent="0.25">
      <c r="A343" s="86" t="str">
        <f t="shared" ref="A343:C343" si="190">A223</f>
        <v>NorthWestern Corporation</v>
      </c>
      <c r="B343" s="87" t="str">
        <f t="shared" si="190"/>
        <v>NWE</v>
      </c>
      <c r="C343" s="96">
        <f t="shared" si="190"/>
        <v>4.1000000000000002E-2</v>
      </c>
      <c r="D343" s="115">
        <f t="shared" si="174"/>
        <v>0.745</v>
      </c>
      <c r="E343" s="95">
        <f>'AEB-8 Market Return'!$C$9</f>
        <v>0.12556998267980807</v>
      </c>
      <c r="F343" s="96">
        <f t="shared" si="175"/>
        <v>8.4569982679808059E-2</v>
      </c>
      <c r="G343" s="96">
        <f t="shared" si="176"/>
        <v>0.10400463709645699</v>
      </c>
      <c r="H343" s="96">
        <f t="shared" si="177"/>
        <v>0.10939597349229477</v>
      </c>
    </row>
    <row r="344" spans="1:8" x14ac:dyDescent="0.25">
      <c r="A344" s="86" t="str">
        <f t="shared" ref="A344:C344" si="191">A224</f>
        <v>OGE Energy Corporation</v>
      </c>
      <c r="B344" s="87" t="str">
        <f t="shared" si="191"/>
        <v>OGE</v>
      </c>
      <c r="C344" s="96">
        <f t="shared" si="191"/>
        <v>4.1000000000000002E-2</v>
      </c>
      <c r="D344" s="115">
        <f t="shared" si="174"/>
        <v>0.93</v>
      </c>
      <c r="E344" s="95">
        <f>'AEB-8 Market Return'!$C$9</f>
        <v>0.12556998267980807</v>
      </c>
      <c r="F344" s="96">
        <f t="shared" si="175"/>
        <v>8.4569982679808059E-2</v>
      </c>
      <c r="G344" s="96">
        <f t="shared" si="176"/>
        <v>0.11965008389222151</v>
      </c>
      <c r="H344" s="96">
        <f t="shared" si="177"/>
        <v>0.12113005858911813</v>
      </c>
    </row>
    <row r="345" spans="1:8" x14ac:dyDescent="0.25">
      <c r="A345" s="86" t="str">
        <f t="shared" ref="A345:C345" si="192">A225</f>
        <v>Pinnacle West Capital Corporation</v>
      </c>
      <c r="B345" s="87" t="str">
        <f t="shared" si="192"/>
        <v>PNW</v>
      </c>
      <c r="C345" s="96">
        <f t="shared" si="192"/>
        <v>4.1000000000000002E-2</v>
      </c>
      <c r="D345" s="115">
        <f t="shared" si="174"/>
        <v>0.7350000000000001</v>
      </c>
      <c r="E345" s="95">
        <f>'AEB-8 Market Return'!$C$9</f>
        <v>0.12556998267980807</v>
      </c>
      <c r="F345" s="96">
        <f t="shared" si="175"/>
        <v>8.4569982679808059E-2</v>
      </c>
      <c r="G345" s="96">
        <f t="shared" si="176"/>
        <v>0.10315893726965894</v>
      </c>
      <c r="H345" s="96">
        <f t="shared" si="177"/>
        <v>0.1087616986221962</v>
      </c>
    </row>
    <row r="346" spans="1:8" x14ac:dyDescent="0.25">
      <c r="A346" s="86" t="str">
        <f t="shared" ref="A346:C346" si="193">A226</f>
        <v>Portland General Electric Company</v>
      </c>
      <c r="B346" s="87" t="str">
        <f t="shared" si="193"/>
        <v>POR</v>
      </c>
      <c r="C346" s="96">
        <f t="shared" si="193"/>
        <v>4.1000000000000002E-2</v>
      </c>
      <c r="D346" s="115">
        <f t="shared" si="174"/>
        <v>0.74999999999999989</v>
      </c>
      <c r="E346" s="95">
        <f>'AEB-8 Market Return'!$C$9</f>
        <v>0.12556998267980807</v>
      </c>
      <c r="F346" s="96">
        <f t="shared" si="175"/>
        <v>8.4569982679808059E-2</v>
      </c>
      <c r="G346" s="96">
        <f t="shared" si="176"/>
        <v>0.10442748700985605</v>
      </c>
      <c r="H346" s="96">
        <f t="shared" si="177"/>
        <v>0.10971311092734404</v>
      </c>
    </row>
    <row r="347" spans="1:8" x14ac:dyDescent="0.25">
      <c r="A347" s="86" t="str">
        <f t="shared" ref="A347:C347" si="194">A227</f>
        <v>Southern Company</v>
      </c>
      <c r="B347" s="87" t="str">
        <f t="shared" si="194"/>
        <v>SO</v>
      </c>
      <c r="C347" s="96">
        <f t="shared" si="194"/>
        <v>4.1000000000000002E-2</v>
      </c>
      <c r="D347" s="115">
        <f t="shared" si="174"/>
        <v>0.65500000000000003</v>
      </c>
      <c r="E347" s="95">
        <f>'AEB-8 Market Return'!$C$9</f>
        <v>0.12556998267980807</v>
      </c>
      <c r="F347" s="96">
        <f t="shared" si="175"/>
        <v>8.4569982679808059E-2</v>
      </c>
      <c r="G347" s="96">
        <f t="shared" si="176"/>
        <v>9.6393338655274274E-2</v>
      </c>
      <c r="H347" s="96">
        <f t="shared" si="177"/>
        <v>0.10368749966140772</v>
      </c>
    </row>
    <row r="348" spans="1:8" x14ac:dyDescent="0.25">
      <c r="A348" s="86" t="str">
        <f t="shared" ref="A348:C348" si="195">A228</f>
        <v>Wisconsin Energy Corporation</v>
      </c>
      <c r="B348" s="87" t="str">
        <f t="shared" si="195"/>
        <v>WEC</v>
      </c>
      <c r="C348" s="96">
        <f t="shared" si="195"/>
        <v>4.1000000000000002E-2</v>
      </c>
      <c r="D348" s="115">
        <f t="shared" si="174"/>
        <v>0.65999999999999992</v>
      </c>
      <c r="E348" s="95">
        <f>'AEB-8 Market Return'!$C$9</f>
        <v>0.12556998267980807</v>
      </c>
      <c r="F348" s="96">
        <f t="shared" si="175"/>
        <v>8.4569982679808059E-2</v>
      </c>
      <c r="G348" s="96">
        <f t="shared" si="176"/>
        <v>9.6816188568673314E-2</v>
      </c>
      <c r="H348" s="96">
        <f t="shared" si="177"/>
        <v>0.10400463709645699</v>
      </c>
    </row>
    <row r="349" spans="1:8" x14ac:dyDescent="0.25">
      <c r="A349" s="86" t="str">
        <f t="shared" ref="A349:C349" si="196">A229</f>
        <v>Xcel Energy Inc.</v>
      </c>
      <c r="B349" s="87" t="str">
        <f t="shared" si="196"/>
        <v>XEL</v>
      </c>
      <c r="C349" s="109">
        <f t="shared" si="196"/>
        <v>4.1000000000000002E-2</v>
      </c>
      <c r="D349" s="115">
        <f t="shared" si="174"/>
        <v>0.65500000000000003</v>
      </c>
      <c r="E349" s="95">
        <f>'AEB-8 Market Return'!$C$9</f>
        <v>0.12556998267980807</v>
      </c>
      <c r="F349" s="96">
        <f t="shared" si="175"/>
        <v>8.4569982679808059E-2</v>
      </c>
      <c r="G349" s="96">
        <f t="shared" si="176"/>
        <v>9.6393338655274274E-2</v>
      </c>
      <c r="H349" s="96">
        <f t="shared" si="177"/>
        <v>0.10368749966140772</v>
      </c>
    </row>
    <row r="350" spans="1:8" x14ac:dyDescent="0.25">
      <c r="A350" s="98" t="s">
        <v>5</v>
      </c>
      <c r="B350" s="99"/>
      <c r="D350" s="94"/>
      <c r="E350" s="98"/>
      <c r="F350" s="98"/>
      <c r="G350" s="100">
        <f>AVERAGE(G329:G349)</f>
        <v>0.10411538350234723</v>
      </c>
      <c r="H350" s="100">
        <f>AVERAGE(H329:H349)</f>
        <v>0.10947903329671242</v>
      </c>
    </row>
    <row r="351" spans="1:8" ht="13.8" thickBot="1" x14ac:dyDescent="0.3">
      <c r="A351" s="101" t="s">
        <v>14</v>
      </c>
      <c r="B351" s="102"/>
      <c r="C351" s="102"/>
      <c r="D351" s="103"/>
      <c r="E351" s="101"/>
      <c r="F351" s="101"/>
      <c r="G351" s="104">
        <f>MEDIAN(G329:G349)</f>
        <v>0.10315893726965894</v>
      </c>
      <c r="H351" s="104">
        <f>MEDIAN(H329:H349)</f>
        <v>0.1087616986221962</v>
      </c>
    </row>
    <row r="352" spans="1:8" x14ac:dyDescent="0.25">
      <c r="G352" s="113"/>
      <c r="H352" s="113"/>
    </row>
    <row r="353" spans="1:1" x14ac:dyDescent="0.25">
      <c r="A353" s="105" t="s">
        <v>104</v>
      </c>
    </row>
    <row r="354" spans="1:1" x14ac:dyDescent="0.25">
      <c r="A354" s="86" t="str">
        <f>A234</f>
        <v>[1] Source: Blue Chip Financial Forecasts, Vol. 42, No. 12, December 1, 2023, at 14</v>
      </c>
    </row>
    <row r="355" spans="1:1" x14ac:dyDescent="0.25">
      <c r="A355" s="86" t="str">
        <f>A275</f>
        <v>[2] Source: LT Beta</v>
      </c>
    </row>
    <row r="356" spans="1:1" x14ac:dyDescent="0.25">
      <c r="A356" s="86" t="str">
        <f>$A$36</f>
        <v>[3] Source: Market Return</v>
      </c>
    </row>
    <row r="357" spans="1:1" x14ac:dyDescent="0.25">
      <c r="A357" s="86" t="s">
        <v>154</v>
      </c>
    </row>
    <row r="358" spans="1:1" x14ac:dyDescent="0.25">
      <c r="A358" s="86" t="s">
        <v>155</v>
      </c>
    </row>
    <row r="359" spans="1:1" x14ac:dyDescent="0.25">
      <c r="A359" s="86" t="s">
        <v>156</v>
      </c>
    </row>
  </sheetData>
  <mergeCells count="27">
    <mergeCell ref="A45:H45"/>
    <mergeCell ref="A2:H2"/>
    <mergeCell ref="A4:H4"/>
    <mergeCell ref="A5:H5"/>
    <mergeCell ref="A42:H42"/>
    <mergeCell ref="A44:H44"/>
    <mergeCell ref="A205:H205"/>
    <mergeCell ref="A82:H82"/>
    <mergeCell ref="A84:H84"/>
    <mergeCell ref="A85:H85"/>
    <mergeCell ref="A122:H122"/>
    <mergeCell ref="A124:H124"/>
    <mergeCell ref="A125:H125"/>
    <mergeCell ref="A162:H162"/>
    <mergeCell ref="A164:H164"/>
    <mergeCell ref="A165:H165"/>
    <mergeCell ref="A202:H202"/>
    <mergeCell ref="A204:H204"/>
    <mergeCell ref="A322:H322"/>
    <mergeCell ref="A324:H324"/>
    <mergeCell ref="A325:H325"/>
    <mergeCell ref="A242:H242"/>
    <mergeCell ref="A244:H244"/>
    <mergeCell ref="A245:H245"/>
    <mergeCell ref="A282:H282"/>
    <mergeCell ref="A284:H284"/>
    <mergeCell ref="A285:H285"/>
  </mergeCells>
  <printOptions horizontalCentered="1"/>
  <pageMargins left="0.7" right="0.7" top="1.25" bottom="0.75" header="0.3" footer="0.3"/>
  <pageSetup scale="80" orientation="portrait" useFirstPageNumber="1" r:id="rId1"/>
  <headerFooter scaleWithDoc="0">
    <oddHeader>&amp;L&amp;"Times New Roman,Bold"&amp;12&amp;KFF0000Draft- Privileged and Confidential&amp;R&amp;"Times New Roman,Regular"&amp;12Exhibit AEB-6
Page &amp;P of &amp;N</oddHeader>
  </headerFooter>
  <rowBreaks count="8" manualBreakCount="8">
    <brk id="40" max="16383" man="1"/>
    <brk id="80" max="16383" man="1"/>
    <brk id="120" max="16383" man="1"/>
    <brk id="160" max="16383" man="1"/>
    <brk id="200" max="16383" man="1"/>
    <brk id="240" max="16383" man="1"/>
    <brk id="280" max="16383" man="1"/>
    <brk id="320" max="16383" man="1"/>
  </rowBreaks>
  <ignoredErrors>
    <ignoredError sqref="C310 C49:C6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R40"/>
  <sheetViews>
    <sheetView view="pageBreakPreview" zoomScale="60" zoomScaleNormal="90" zoomScalePageLayoutView="90" workbookViewId="0"/>
  </sheetViews>
  <sheetFormatPr defaultColWidth="8.6640625" defaultRowHeight="13.2" x14ac:dyDescent="0.25"/>
  <cols>
    <col min="1" max="1" width="34.44140625" style="1" bestFit="1" customWidth="1"/>
    <col min="2" max="2" width="8.6640625" style="1"/>
    <col min="3" max="12" width="11.6640625" style="1" customWidth="1"/>
    <col min="13" max="16384" width="8.6640625" style="1"/>
  </cols>
  <sheetData>
    <row r="2" spans="1:13" x14ac:dyDescent="0.25">
      <c r="A2" s="386" t="s">
        <v>171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</row>
    <row r="4" spans="1:13" ht="13.8" thickBot="1" x14ac:dyDescent="0.3">
      <c r="A4" s="119"/>
      <c r="B4" s="119"/>
      <c r="C4" s="57" t="s">
        <v>38</v>
      </c>
      <c r="D4" s="57" t="s">
        <v>39</v>
      </c>
      <c r="E4" s="57" t="s">
        <v>40</v>
      </c>
      <c r="F4" s="57" t="s">
        <v>41</v>
      </c>
      <c r="G4" s="57" t="s">
        <v>42</v>
      </c>
      <c r="H4" s="57" t="s">
        <v>43</v>
      </c>
      <c r="I4" s="57" t="s">
        <v>44</v>
      </c>
      <c r="J4" s="57" t="s">
        <v>45</v>
      </c>
      <c r="K4" s="57" t="s">
        <v>113</v>
      </c>
      <c r="L4" s="57" t="s">
        <v>114</v>
      </c>
      <c r="M4" s="57" t="s">
        <v>115</v>
      </c>
    </row>
    <row r="5" spans="1:13" x14ac:dyDescent="0.25">
      <c r="A5" s="120" t="s">
        <v>46</v>
      </c>
      <c r="B5" s="89" t="s">
        <v>47</v>
      </c>
      <c r="C5" s="121">
        <v>41639</v>
      </c>
      <c r="D5" s="122">
        <v>42004</v>
      </c>
      <c r="E5" s="121">
        <v>42369</v>
      </c>
      <c r="F5" s="121">
        <v>42735</v>
      </c>
      <c r="G5" s="123">
        <v>43100</v>
      </c>
      <c r="H5" s="121">
        <v>43465</v>
      </c>
      <c r="I5" s="123">
        <v>43830</v>
      </c>
      <c r="J5" s="121">
        <v>44196</v>
      </c>
      <c r="K5" s="121">
        <v>44561</v>
      </c>
      <c r="L5" s="121">
        <v>44926</v>
      </c>
      <c r="M5" s="121" t="s">
        <v>172</v>
      </c>
    </row>
    <row r="6" spans="1:13" x14ac:dyDescent="0.25">
      <c r="A6" s="64" t="str">
        <f>'AEB-4 Proxy Selection'!A6</f>
        <v>NiSource Inc.</v>
      </c>
      <c r="B6" s="194" t="str">
        <f>'AEB-4 Proxy Selection'!B6</f>
        <v>NI</v>
      </c>
      <c r="C6" s="124">
        <v>0.85</v>
      </c>
      <c r="D6" s="124">
        <v>0.85</v>
      </c>
      <c r="E6" s="124" t="s">
        <v>173</v>
      </c>
      <c r="F6" s="124" t="s">
        <v>173</v>
      </c>
      <c r="G6" s="124">
        <v>0.6</v>
      </c>
      <c r="H6" s="124">
        <v>0.5</v>
      </c>
      <c r="I6" s="124">
        <v>0.55000000000000004</v>
      </c>
      <c r="J6" s="124">
        <v>0.85</v>
      </c>
      <c r="K6" s="124">
        <v>0.85</v>
      </c>
      <c r="L6" s="124">
        <v>0.85</v>
      </c>
      <c r="M6" s="125">
        <f>AVERAGE(C6:L6)</f>
        <v>0.73749999999999982</v>
      </c>
    </row>
    <row r="7" spans="1:13" x14ac:dyDescent="0.25">
      <c r="A7" s="64" t="str">
        <f>'AEB-4 Proxy Selection'!A7</f>
        <v>ALLETE, Inc.</v>
      </c>
      <c r="B7" s="194" t="str">
        <f>'AEB-4 Proxy Selection'!B7</f>
        <v>ALE</v>
      </c>
      <c r="C7" s="124">
        <v>0.75</v>
      </c>
      <c r="D7" s="124">
        <v>0.8</v>
      </c>
      <c r="E7" s="124">
        <v>0.8</v>
      </c>
      <c r="F7" s="124">
        <v>0.75</v>
      </c>
      <c r="G7" s="124">
        <v>0.8</v>
      </c>
      <c r="H7" s="124">
        <v>0.65</v>
      </c>
      <c r="I7" s="124">
        <v>0.65</v>
      </c>
      <c r="J7" s="124">
        <v>0.85</v>
      </c>
      <c r="K7" s="124">
        <v>0.9</v>
      </c>
      <c r="L7" s="124">
        <v>0.9</v>
      </c>
      <c r="M7" s="125">
        <f t="shared" ref="M7:M26" si="0">AVERAGE(C7:L7)</f>
        <v>0.78500000000000014</v>
      </c>
    </row>
    <row r="8" spans="1:13" x14ac:dyDescent="0.25">
      <c r="A8" s="64" t="str">
        <f>'AEB-4 Proxy Selection'!A8</f>
        <v>Alliant Energy Corporation</v>
      </c>
      <c r="B8" s="194" t="str">
        <f>'AEB-4 Proxy Selection'!B8</f>
        <v>LNT</v>
      </c>
      <c r="C8" s="124">
        <v>0.75</v>
      </c>
      <c r="D8" s="124">
        <v>0.8</v>
      </c>
      <c r="E8" s="124">
        <v>0.8</v>
      </c>
      <c r="F8" s="124">
        <v>0.7</v>
      </c>
      <c r="G8" s="124">
        <v>0.7</v>
      </c>
      <c r="H8" s="124">
        <v>0.6</v>
      </c>
      <c r="I8" s="124">
        <v>0.6</v>
      </c>
      <c r="J8" s="124">
        <v>0.85</v>
      </c>
      <c r="K8" s="124">
        <v>0.85</v>
      </c>
      <c r="L8" s="124">
        <v>0.85</v>
      </c>
      <c r="M8" s="125">
        <f t="shared" si="0"/>
        <v>0.74999999999999978</v>
      </c>
    </row>
    <row r="9" spans="1:13" x14ac:dyDescent="0.25">
      <c r="A9" s="64" t="str">
        <f>'AEB-4 Proxy Selection'!A9</f>
        <v>Ameren Corporation</v>
      </c>
      <c r="B9" s="194" t="str">
        <f>'AEB-4 Proxy Selection'!B9</f>
        <v>AEE</v>
      </c>
      <c r="C9" s="124">
        <v>0.8</v>
      </c>
      <c r="D9" s="124">
        <v>0.75</v>
      </c>
      <c r="E9" s="124">
        <v>0.75</v>
      </c>
      <c r="F9" s="124">
        <v>0.65</v>
      </c>
      <c r="G9" s="124">
        <v>0.7</v>
      </c>
      <c r="H9" s="124">
        <v>0.55000000000000004</v>
      </c>
      <c r="I9" s="124">
        <v>0.55000000000000004</v>
      </c>
      <c r="J9" s="124">
        <v>0.85</v>
      </c>
      <c r="K9" s="124">
        <v>0.8</v>
      </c>
      <c r="L9" s="124">
        <v>0.85</v>
      </c>
      <c r="M9" s="125">
        <f t="shared" si="0"/>
        <v>0.72499999999999987</v>
      </c>
    </row>
    <row r="10" spans="1:13" x14ac:dyDescent="0.25">
      <c r="A10" s="64" t="str">
        <f>'AEB-4 Proxy Selection'!A10</f>
        <v>American Electric Power Company, Inc.</v>
      </c>
      <c r="B10" s="194" t="str">
        <f>'AEB-4 Proxy Selection'!B10</f>
        <v>AEP</v>
      </c>
      <c r="C10" s="124">
        <v>0.7</v>
      </c>
      <c r="D10" s="124">
        <v>0.7</v>
      </c>
      <c r="E10" s="124">
        <v>0.7</v>
      </c>
      <c r="F10" s="124">
        <v>0.65</v>
      </c>
      <c r="G10" s="124">
        <v>0.65</v>
      </c>
      <c r="H10" s="124">
        <v>0.55000000000000004</v>
      </c>
      <c r="I10" s="124">
        <v>0.55000000000000004</v>
      </c>
      <c r="J10" s="124">
        <v>0.75</v>
      </c>
      <c r="K10" s="124">
        <v>0.75</v>
      </c>
      <c r="L10" s="124">
        <v>0.75</v>
      </c>
      <c r="M10" s="125">
        <f t="shared" si="0"/>
        <v>0.67499999999999993</v>
      </c>
    </row>
    <row r="11" spans="1:13" x14ac:dyDescent="0.25">
      <c r="A11" s="64" t="str">
        <f>'AEB-4 Proxy Selection'!A11</f>
        <v>Avista Corporation</v>
      </c>
      <c r="B11" s="194" t="str">
        <f>'AEB-4 Proxy Selection'!B11</f>
        <v>AVA</v>
      </c>
      <c r="C11" s="124">
        <v>0.75</v>
      </c>
      <c r="D11" s="124">
        <v>0.8</v>
      </c>
      <c r="E11" s="124">
        <v>0.8</v>
      </c>
      <c r="F11" s="124">
        <v>0.7</v>
      </c>
      <c r="G11" s="124">
        <v>0.75</v>
      </c>
      <c r="H11" s="124">
        <v>0.65</v>
      </c>
      <c r="I11" s="124">
        <v>0.6</v>
      </c>
      <c r="J11" s="124">
        <v>0.95</v>
      </c>
      <c r="K11" s="124">
        <v>0.95</v>
      </c>
      <c r="L11" s="124">
        <v>0.9</v>
      </c>
      <c r="M11" s="125">
        <f t="shared" si="0"/>
        <v>0.78500000000000003</v>
      </c>
    </row>
    <row r="12" spans="1:13" x14ac:dyDescent="0.25">
      <c r="A12" s="64" t="str">
        <f>'AEB-4 Proxy Selection'!A12</f>
        <v>Black Hills Corporation</v>
      </c>
      <c r="B12" s="194" t="str">
        <f>'AEB-4 Proxy Selection'!B12</f>
        <v>BKH</v>
      </c>
      <c r="C12" s="124">
        <v>0.9</v>
      </c>
      <c r="D12" s="124">
        <v>0.9</v>
      </c>
      <c r="E12" s="124">
        <v>0.9</v>
      </c>
      <c r="F12" s="124">
        <v>0.9</v>
      </c>
      <c r="G12" s="124">
        <v>0.9</v>
      </c>
      <c r="H12" s="124">
        <v>0.75</v>
      </c>
      <c r="I12" s="124">
        <v>0.7</v>
      </c>
      <c r="J12" s="124">
        <v>1</v>
      </c>
      <c r="K12" s="124">
        <v>1</v>
      </c>
      <c r="L12" s="124">
        <v>0.95</v>
      </c>
      <c r="M12" s="125">
        <f t="shared" si="0"/>
        <v>0.89</v>
      </c>
    </row>
    <row r="13" spans="1:13" x14ac:dyDescent="0.25">
      <c r="A13" s="64" t="str">
        <f>'AEB-4 Proxy Selection'!A13</f>
        <v>CMS Energy Corporation</v>
      </c>
      <c r="B13" s="194" t="str">
        <f>'AEB-4 Proxy Selection'!B13</f>
        <v>CMS</v>
      </c>
      <c r="C13" s="124">
        <v>0.7</v>
      </c>
      <c r="D13" s="124">
        <v>0.7</v>
      </c>
      <c r="E13" s="124">
        <v>0.75</v>
      </c>
      <c r="F13" s="124">
        <v>0.65</v>
      </c>
      <c r="G13" s="124">
        <v>0.65</v>
      </c>
      <c r="H13" s="124">
        <v>0.55000000000000004</v>
      </c>
      <c r="I13" s="124">
        <v>0.5</v>
      </c>
      <c r="J13" s="124">
        <v>0.8</v>
      </c>
      <c r="K13" s="124">
        <v>0.8</v>
      </c>
      <c r="L13" s="124">
        <v>0.8</v>
      </c>
      <c r="M13" s="125">
        <f t="shared" si="0"/>
        <v>0.69</v>
      </c>
    </row>
    <row r="14" spans="1:13" x14ac:dyDescent="0.25">
      <c r="A14" s="64" t="str">
        <f>'AEB-4 Proxy Selection'!A14</f>
        <v>Duke Energy Corporation</v>
      </c>
      <c r="B14" s="194" t="str">
        <f>'AEB-4 Proxy Selection'!B14</f>
        <v>DUK</v>
      </c>
      <c r="C14" s="124">
        <v>0.65</v>
      </c>
      <c r="D14" s="124">
        <v>0.6</v>
      </c>
      <c r="E14" s="124">
        <v>0.65</v>
      </c>
      <c r="F14" s="124">
        <v>0.6</v>
      </c>
      <c r="G14" s="124">
        <v>0.6</v>
      </c>
      <c r="H14" s="124">
        <v>0.5</v>
      </c>
      <c r="I14" s="124">
        <v>0.5</v>
      </c>
      <c r="J14" s="124">
        <v>0.85</v>
      </c>
      <c r="K14" s="124">
        <v>0.85</v>
      </c>
      <c r="L14" s="124">
        <v>0.85</v>
      </c>
      <c r="M14" s="125">
        <f t="shared" si="0"/>
        <v>0.66499999999999981</v>
      </c>
    </row>
    <row r="15" spans="1:13" x14ac:dyDescent="0.25">
      <c r="A15" s="64" t="str">
        <f>'AEB-4 Proxy Selection'!A15</f>
        <v>Entergy Corporation</v>
      </c>
      <c r="B15" s="194" t="str">
        <f>'AEB-4 Proxy Selection'!B15</f>
        <v>ETR</v>
      </c>
      <c r="C15" s="124">
        <v>0.7</v>
      </c>
      <c r="D15" s="124">
        <v>0.7</v>
      </c>
      <c r="E15" s="124">
        <v>0.7</v>
      </c>
      <c r="F15" s="124">
        <v>0.65</v>
      </c>
      <c r="G15" s="124">
        <v>0.65</v>
      </c>
      <c r="H15" s="124">
        <v>0.6</v>
      </c>
      <c r="I15" s="124">
        <v>0.6</v>
      </c>
      <c r="J15" s="124">
        <v>0.95</v>
      </c>
      <c r="K15" s="124">
        <v>0.95</v>
      </c>
      <c r="L15" s="124">
        <v>0.95</v>
      </c>
      <c r="M15" s="125">
        <f t="shared" si="0"/>
        <v>0.745</v>
      </c>
    </row>
    <row r="16" spans="1:13" x14ac:dyDescent="0.25">
      <c r="A16" s="64" t="str">
        <f>'AEB-4 Proxy Selection'!A16</f>
        <v>Evergy, Inc.</v>
      </c>
      <c r="B16" s="194" t="str">
        <f>'AEB-4 Proxy Selection'!B16</f>
        <v>EVRG</v>
      </c>
      <c r="C16" s="124"/>
      <c r="D16" s="124"/>
      <c r="E16" s="124"/>
      <c r="F16" s="124"/>
      <c r="G16" s="124"/>
      <c r="H16" s="124" t="s">
        <v>173</v>
      </c>
      <c r="I16" s="124" t="s">
        <v>173</v>
      </c>
      <c r="J16" s="124">
        <v>1</v>
      </c>
      <c r="K16" s="124">
        <v>0.95</v>
      </c>
      <c r="L16" s="124">
        <v>0.9</v>
      </c>
      <c r="M16" s="125">
        <f t="shared" si="0"/>
        <v>0.95000000000000007</v>
      </c>
    </row>
    <row r="17" spans="1:18" x14ac:dyDescent="0.25">
      <c r="A17" s="64" t="str">
        <f>'AEB-4 Proxy Selection'!A17</f>
        <v>IDACORP, Inc.</v>
      </c>
      <c r="B17" s="194" t="str">
        <f>'AEB-4 Proxy Selection'!B17</f>
        <v>IDA</v>
      </c>
      <c r="C17" s="124">
        <v>0.75</v>
      </c>
      <c r="D17" s="124">
        <v>0.8</v>
      </c>
      <c r="E17" s="124">
        <v>0.8</v>
      </c>
      <c r="F17" s="124">
        <v>0.75</v>
      </c>
      <c r="G17" s="124">
        <v>0.7</v>
      </c>
      <c r="H17" s="124">
        <v>0.55000000000000004</v>
      </c>
      <c r="I17" s="124">
        <v>0.55000000000000004</v>
      </c>
      <c r="J17" s="124">
        <v>0.8</v>
      </c>
      <c r="K17" s="124">
        <v>0.8</v>
      </c>
      <c r="L17" s="124">
        <v>0.8</v>
      </c>
      <c r="M17" s="125">
        <f t="shared" si="0"/>
        <v>0.72999999999999987</v>
      </c>
    </row>
    <row r="18" spans="1:18" x14ac:dyDescent="0.25">
      <c r="A18" s="64" t="str">
        <f>'AEB-4 Proxy Selection'!A18</f>
        <v>MGE Energy, Inc.</v>
      </c>
      <c r="B18" s="194" t="str">
        <f>'AEB-4 Proxy Selection'!B18</f>
        <v>MGEE</v>
      </c>
      <c r="C18" s="124">
        <v>0.65</v>
      </c>
      <c r="D18" s="124">
        <v>0.7</v>
      </c>
      <c r="E18" s="124">
        <v>0.75</v>
      </c>
      <c r="F18" s="124">
        <v>0.7</v>
      </c>
      <c r="G18" s="124">
        <v>0.75</v>
      </c>
      <c r="H18" s="124">
        <v>0.6</v>
      </c>
      <c r="I18" s="124">
        <v>0.55000000000000004</v>
      </c>
      <c r="J18" s="124">
        <v>0.7</v>
      </c>
      <c r="K18" s="124">
        <v>0.75</v>
      </c>
      <c r="L18" s="124">
        <v>0.7</v>
      </c>
      <c r="M18" s="125">
        <f t="shared" si="0"/>
        <v>0.68499999999999994</v>
      </c>
    </row>
    <row r="19" spans="1:18" x14ac:dyDescent="0.25">
      <c r="A19" s="64" t="str">
        <f>'AEB-4 Proxy Selection'!A19</f>
        <v>NextEra Energy, Inc.</v>
      </c>
      <c r="B19" s="194" t="str">
        <f>'AEB-4 Proxy Selection'!B19</f>
        <v>NEE</v>
      </c>
      <c r="C19" s="124">
        <v>0.7</v>
      </c>
      <c r="D19" s="124">
        <v>0.7</v>
      </c>
      <c r="E19" s="124">
        <v>0.75</v>
      </c>
      <c r="F19" s="124">
        <v>0.65</v>
      </c>
      <c r="G19" s="124">
        <v>0.65</v>
      </c>
      <c r="H19" s="124">
        <v>0.55000000000000004</v>
      </c>
      <c r="I19" s="124">
        <v>0.55000000000000004</v>
      </c>
      <c r="J19" s="124">
        <v>0.9</v>
      </c>
      <c r="K19" s="124">
        <v>0.9</v>
      </c>
      <c r="L19" s="124">
        <v>0.95</v>
      </c>
      <c r="M19" s="125">
        <f t="shared" si="0"/>
        <v>0.73000000000000009</v>
      </c>
    </row>
    <row r="20" spans="1:18" x14ac:dyDescent="0.25">
      <c r="A20" s="64" t="str">
        <f>'AEB-4 Proxy Selection'!A20</f>
        <v>NorthWestern Corporation</v>
      </c>
      <c r="B20" s="194" t="str">
        <f>'AEB-4 Proxy Selection'!B20</f>
        <v>NWE</v>
      </c>
      <c r="C20" s="124">
        <v>0.7</v>
      </c>
      <c r="D20" s="124">
        <v>0.7</v>
      </c>
      <c r="E20" s="124">
        <v>0.7</v>
      </c>
      <c r="F20" s="124">
        <v>0.7</v>
      </c>
      <c r="G20" s="124">
        <v>0.7</v>
      </c>
      <c r="H20" s="124">
        <v>0.55000000000000004</v>
      </c>
      <c r="I20" s="124">
        <v>0.6</v>
      </c>
      <c r="J20" s="124">
        <v>0.95</v>
      </c>
      <c r="K20" s="124">
        <v>0.95</v>
      </c>
      <c r="L20" s="124">
        <v>0.9</v>
      </c>
      <c r="M20" s="125">
        <f t="shared" si="0"/>
        <v>0.745</v>
      </c>
    </row>
    <row r="21" spans="1:18" x14ac:dyDescent="0.25">
      <c r="A21" s="64" t="str">
        <f>'AEB-4 Proxy Selection'!A21</f>
        <v>OGE Energy Corporation</v>
      </c>
      <c r="B21" s="194" t="str">
        <f>'AEB-4 Proxy Selection'!B21</f>
        <v>OGE</v>
      </c>
      <c r="C21" s="124">
        <v>0.85</v>
      </c>
      <c r="D21" s="124">
        <v>0.9</v>
      </c>
      <c r="E21" s="124">
        <v>0.95</v>
      </c>
      <c r="F21" s="124">
        <v>0.9</v>
      </c>
      <c r="G21" s="124">
        <v>0.95</v>
      </c>
      <c r="H21" s="124">
        <v>0.85</v>
      </c>
      <c r="I21" s="124">
        <v>0.75</v>
      </c>
      <c r="J21" s="124">
        <v>1.1000000000000001</v>
      </c>
      <c r="K21" s="124">
        <v>1.05</v>
      </c>
      <c r="L21" s="124">
        <v>1</v>
      </c>
      <c r="M21" s="125">
        <f t="shared" si="0"/>
        <v>0.93</v>
      </c>
    </row>
    <row r="22" spans="1:18" x14ac:dyDescent="0.25">
      <c r="A22" s="64" t="str">
        <f>'AEB-4 Proxy Selection'!A22</f>
        <v>Pinnacle West Capital Corporation</v>
      </c>
      <c r="B22" s="194" t="str">
        <f>'AEB-4 Proxy Selection'!B22</f>
        <v>PNW</v>
      </c>
      <c r="C22" s="124">
        <v>0.75</v>
      </c>
      <c r="D22" s="124">
        <v>0.7</v>
      </c>
      <c r="E22" s="124">
        <v>0.75</v>
      </c>
      <c r="F22" s="124">
        <v>0.7</v>
      </c>
      <c r="G22" s="124">
        <v>0.7</v>
      </c>
      <c r="H22" s="124">
        <v>0.55000000000000004</v>
      </c>
      <c r="I22" s="124">
        <v>0.5</v>
      </c>
      <c r="J22" s="124">
        <v>0.9</v>
      </c>
      <c r="K22" s="124">
        <v>0.9</v>
      </c>
      <c r="L22" s="124">
        <v>0.9</v>
      </c>
      <c r="M22" s="125">
        <f t="shared" si="0"/>
        <v>0.7350000000000001</v>
      </c>
    </row>
    <row r="23" spans="1:18" x14ac:dyDescent="0.25">
      <c r="A23" s="64" t="str">
        <f>'AEB-4 Proxy Selection'!A23</f>
        <v>Portland General Electric Company</v>
      </c>
      <c r="B23" s="194" t="str">
        <f>'AEB-4 Proxy Selection'!B23</f>
        <v>POR</v>
      </c>
      <c r="C23" s="124">
        <v>0.75</v>
      </c>
      <c r="D23" s="124">
        <v>0.8</v>
      </c>
      <c r="E23" s="124">
        <v>0.8</v>
      </c>
      <c r="F23" s="124">
        <v>0.7</v>
      </c>
      <c r="G23" s="124">
        <v>0.7</v>
      </c>
      <c r="H23" s="124">
        <v>0.6</v>
      </c>
      <c r="I23" s="124">
        <v>0.55000000000000004</v>
      </c>
      <c r="J23" s="124">
        <v>0.85</v>
      </c>
      <c r="K23" s="124">
        <v>0.9</v>
      </c>
      <c r="L23" s="124">
        <v>0.85</v>
      </c>
      <c r="M23" s="125">
        <f>AVERAGE(C23:L23)</f>
        <v>0.74999999999999989</v>
      </c>
    </row>
    <row r="24" spans="1:18" x14ac:dyDescent="0.25">
      <c r="A24" s="64" t="str">
        <f>'AEB-4 Proxy Selection'!A24</f>
        <v>Southern Company</v>
      </c>
      <c r="B24" s="194" t="str">
        <f>'AEB-4 Proxy Selection'!B24</f>
        <v>SO</v>
      </c>
      <c r="C24" s="124">
        <v>0.55000000000000004</v>
      </c>
      <c r="D24" s="124">
        <v>0.55000000000000004</v>
      </c>
      <c r="E24" s="124">
        <v>0.6</v>
      </c>
      <c r="F24" s="124">
        <v>0.55000000000000004</v>
      </c>
      <c r="G24" s="124">
        <v>0.55000000000000004</v>
      </c>
      <c r="H24" s="124">
        <v>0.5</v>
      </c>
      <c r="I24" s="124">
        <v>0.5</v>
      </c>
      <c r="J24" s="124">
        <v>0.9</v>
      </c>
      <c r="K24" s="124">
        <v>0.95</v>
      </c>
      <c r="L24" s="124">
        <v>0.9</v>
      </c>
      <c r="M24" s="125">
        <f t="shared" si="0"/>
        <v>0.65500000000000003</v>
      </c>
    </row>
    <row r="25" spans="1:18" x14ac:dyDescent="0.25">
      <c r="A25" s="64" t="str">
        <f>'AEB-4 Proxy Selection'!A25</f>
        <v>Wisconsin Energy Corporation</v>
      </c>
      <c r="B25" s="194" t="str">
        <f>'AEB-4 Proxy Selection'!B25</f>
        <v>WEC</v>
      </c>
      <c r="C25" s="126">
        <v>0.65</v>
      </c>
      <c r="D25" s="126">
        <v>0.65</v>
      </c>
      <c r="E25" s="126">
        <v>0.7</v>
      </c>
      <c r="F25" s="126">
        <v>0.6</v>
      </c>
      <c r="G25" s="126">
        <v>0.6</v>
      </c>
      <c r="H25" s="126">
        <v>0.5</v>
      </c>
      <c r="I25" s="126">
        <v>0.5</v>
      </c>
      <c r="J25" s="126">
        <v>0.8</v>
      </c>
      <c r="K25" s="126">
        <v>0.8</v>
      </c>
      <c r="L25" s="126">
        <v>0.8</v>
      </c>
      <c r="M25" s="125">
        <f t="shared" si="0"/>
        <v>0.65999999999999992</v>
      </c>
    </row>
    <row r="26" spans="1:18" s="128" customFormat="1" x14ac:dyDescent="0.25">
      <c r="A26" s="64" t="str">
        <f>'AEB-4 Proxy Selection'!A26</f>
        <v>Xcel Energy Inc.</v>
      </c>
      <c r="B26" s="194" t="str">
        <f>'AEB-4 Proxy Selection'!B26</f>
        <v>XEL</v>
      </c>
      <c r="C26" s="127">
        <v>0.65</v>
      </c>
      <c r="D26" s="127">
        <v>0.65</v>
      </c>
      <c r="E26" s="127">
        <v>0.65</v>
      </c>
      <c r="F26" s="127">
        <v>0.6</v>
      </c>
      <c r="G26" s="127">
        <v>0.6</v>
      </c>
      <c r="H26" s="127">
        <v>0.5</v>
      </c>
      <c r="I26" s="127">
        <v>0.5</v>
      </c>
      <c r="J26" s="127">
        <v>0.8</v>
      </c>
      <c r="K26" s="127">
        <v>0.8</v>
      </c>
      <c r="L26" s="127">
        <v>0.8</v>
      </c>
      <c r="M26" s="125">
        <f t="shared" si="0"/>
        <v>0.65500000000000003</v>
      </c>
      <c r="N26" s="1"/>
      <c r="Q26" s="1"/>
      <c r="R26" s="1"/>
    </row>
    <row r="27" spans="1:18" s="128" customFormat="1" x14ac:dyDescent="0.25">
      <c r="A27" s="129" t="s">
        <v>5</v>
      </c>
      <c r="B27" s="129"/>
      <c r="C27" s="130">
        <f>AVERAGE(C6:C26)</f>
        <v>0.72750000000000004</v>
      </c>
      <c r="D27" s="130">
        <f t="shared" ref="D27:L27" si="1">AVERAGE(D6:D26)</f>
        <v>0.73750000000000004</v>
      </c>
      <c r="E27" s="130">
        <f t="shared" si="1"/>
        <v>0.75263157894736832</v>
      </c>
      <c r="F27" s="130">
        <f t="shared" si="1"/>
        <v>0.68947368421052635</v>
      </c>
      <c r="G27" s="130">
        <f t="shared" si="1"/>
        <v>0.69499999999999984</v>
      </c>
      <c r="H27" s="130">
        <f t="shared" si="1"/>
        <v>0.58249999999999991</v>
      </c>
      <c r="I27" s="130">
        <f t="shared" si="1"/>
        <v>0.5675</v>
      </c>
      <c r="J27" s="130">
        <f t="shared" si="1"/>
        <v>0.87619047619047608</v>
      </c>
      <c r="K27" s="130">
        <f t="shared" si="1"/>
        <v>0.87857142857142867</v>
      </c>
      <c r="L27" s="130">
        <f t="shared" si="1"/>
        <v>0.86428571428571443</v>
      </c>
      <c r="M27" s="130">
        <f>AVERAGE(M6:M26)</f>
        <v>0.74630952380952364</v>
      </c>
      <c r="N27" s="1"/>
      <c r="Q27" s="1"/>
      <c r="R27" s="1"/>
    </row>
    <row r="29" spans="1:18" x14ac:dyDescent="0.25">
      <c r="A29" s="131" t="s">
        <v>104</v>
      </c>
      <c r="M29" s="132"/>
    </row>
    <row r="30" spans="1:18" x14ac:dyDescent="0.25">
      <c r="A30" s="64" t="s">
        <v>174</v>
      </c>
    </row>
    <row r="31" spans="1:18" x14ac:dyDescent="0.25">
      <c r="A31" s="64" t="s">
        <v>175</v>
      </c>
    </row>
    <row r="32" spans="1:18" x14ac:dyDescent="0.25">
      <c r="A32" s="64" t="s">
        <v>176</v>
      </c>
    </row>
    <row r="33" spans="1:1" x14ac:dyDescent="0.25">
      <c r="A33" s="64" t="s">
        <v>177</v>
      </c>
    </row>
    <row r="34" spans="1:1" x14ac:dyDescent="0.25">
      <c r="A34" s="1" t="s">
        <v>178</v>
      </c>
    </row>
    <row r="35" spans="1:1" x14ac:dyDescent="0.25">
      <c r="A35" s="1" t="s">
        <v>179</v>
      </c>
    </row>
    <row r="36" spans="1:1" x14ac:dyDescent="0.25">
      <c r="A36" s="81" t="s">
        <v>180</v>
      </c>
    </row>
    <row r="37" spans="1:1" x14ac:dyDescent="0.25">
      <c r="A37" s="1" t="s">
        <v>181</v>
      </c>
    </row>
    <row r="38" spans="1:1" x14ac:dyDescent="0.25">
      <c r="A38" s="1" t="s">
        <v>182</v>
      </c>
    </row>
    <row r="39" spans="1:1" x14ac:dyDescent="0.25">
      <c r="A39" s="1" t="s">
        <v>183</v>
      </c>
    </row>
    <row r="40" spans="1:1" x14ac:dyDescent="0.25">
      <c r="A40" s="1" t="s">
        <v>184</v>
      </c>
    </row>
  </sheetData>
  <mergeCells count="1">
    <mergeCell ref="A2:M2"/>
  </mergeCells>
  <conditionalFormatting sqref="A6:B27">
    <cfRule type="expression" dxfId="17" priority="1">
      <formula>"(blank)"</formula>
    </cfRule>
    <cfRule type="expression" dxfId="16" priority="2">
      <formula>#REF!</formula>
    </cfRule>
  </conditionalFormatting>
  <printOptions horizontalCentered="1"/>
  <pageMargins left="0.7" right="0.7" top="1.25" bottom="0.75" header="0.3" footer="0.3"/>
  <pageSetup scale="72" orientation="landscape" useFirstPageNumber="1" r:id="rId1"/>
  <headerFooter scaleWithDoc="0">
    <oddFooter>&amp;L&amp;"Times New Roman,Bold"&amp;12&amp;KFF0000Draft- Privileged and Confidential&amp;R&amp;"Times New Roman,Regular"&amp;12Exhibit AEB-7
Page &amp;P of &amp;N</oddFooter>
  </headerFooter>
  <ignoredErrors>
    <ignoredError sqref="C27:L2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2:M537"/>
  <sheetViews>
    <sheetView tabSelected="1" view="pageBreakPreview" zoomScale="85" zoomScaleNormal="90" zoomScaleSheetLayoutView="85" zoomScalePageLayoutView="85" workbookViewId="0"/>
  </sheetViews>
  <sheetFormatPr defaultColWidth="9" defaultRowHeight="13.2" x14ac:dyDescent="0.25"/>
  <cols>
    <col min="1" max="1" width="2.5546875" style="133" customWidth="1"/>
    <col min="2" max="2" width="44.33203125" style="133" customWidth="1"/>
    <col min="3" max="3" width="15.5546875" style="133" customWidth="1"/>
    <col min="4" max="4" width="10.44140625" style="133" customWidth="1"/>
    <col min="5" max="5" width="9.5546875" style="133" customWidth="1"/>
    <col min="6" max="6" width="12.6640625" style="133" bestFit="1" customWidth="1"/>
    <col min="7" max="7" width="9.109375" style="133" customWidth="1"/>
    <col min="8" max="8" width="13.6640625" style="133" customWidth="1"/>
    <col min="9" max="9" width="15.109375" style="133" customWidth="1"/>
    <col min="10" max="10" width="11.109375" style="133" customWidth="1"/>
    <col min="11" max="11" width="14" style="133" customWidth="1"/>
    <col min="12" max="16384" width="9" style="133"/>
  </cols>
  <sheetData>
    <row r="2" spans="2:11" ht="13.5" customHeight="1" x14ac:dyDescent="0.25">
      <c r="B2" s="391" t="s">
        <v>185</v>
      </c>
      <c r="C2" s="391"/>
      <c r="D2" s="391"/>
      <c r="E2" s="391"/>
      <c r="F2" s="391"/>
      <c r="G2" s="391"/>
      <c r="H2" s="391"/>
      <c r="I2" s="391"/>
      <c r="J2" s="391"/>
      <c r="K2" s="391"/>
    </row>
    <row r="3" spans="2:11" s="134" customFormat="1" x14ac:dyDescent="0.25"/>
    <row r="4" spans="2:11" s="134" customFormat="1" x14ac:dyDescent="0.25"/>
    <row r="5" spans="2:11" s="134" customFormat="1" x14ac:dyDescent="0.25">
      <c r="B5" s="134" t="s">
        <v>186</v>
      </c>
      <c r="C5" s="387">
        <f>SUM(I20:I521)</f>
        <v>1.6887943229906312E-2</v>
      </c>
      <c r="D5" s="388"/>
    </row>
    <row r="6" spans="2:11" s="134" customFormat="1" x14ac:dyDescent="0.25"/>
    <row r="7" spans="2:11" s="134" customFormat="1" x14ac:dyDescent="0.25">
      <c r="B7" s="134" t="s">
        <v>187</v>
      </c>
      <c r="C7" s="387">
        <f>SUM(K20:K521)</f>
        <v>0.10777201560921129</v>
      </c>
      <c r="D7" s="388"/>
    </row>
    <row r="8" spans="2:11" s="134" customFormat="1" x14ac:dyDescent="0.25"/>
    <row r="9" spans="2:11" s="134" customFormat="1" x14ac:dyDescent="0.25">
      <c r="B9" s="134" t="s">
        <v>188</v>
      </c>
      <c r="C9" s="389">
        <f>C5*(1+0.5*C7)+C7</f>
        <v>0.12556998267980807</v>
      </c>
      <c r="D9" s="390"/>
    </row>
    <row r="10" spans="2:11" s="134" customFormat="1" x14ac:dyDescent="0.25"/>
    <row r="11" spans="2:11" s="134" customFormat="1" x14ac:dyDescent="0.25"/>
    <row r="12" spans="2:11" s="134" customFormat="1" x14ac:dyDescent="0.25"/>
    <row r="13" spans="2:11" x14ac:dyDescent="0.25">
      <c r="B13" s="135" t="s">
        <v>189</v>
      </c>
      <c r="C13" s="135"/>
      <c r="D13" s="135"/>
      <c r="E13" s="135"/>
      <c r="F13" s="135"/>
      <c r="G13" s="135"/>
      <c r="H13" s="135"/>
      <c r="I13" s="135"/>
      <c r="J13" s="135"/>
      <c r="K13" s="135"/>
    </row>
    <row r="15" spans="2:11" ht="13.8" thickBot="1" x14ac:dyDescent="0.3">
      <c r="D15" s="136" t="s">
        <v>41</v>
      </c>
      <c r="E15" s="136" t="s">
        <v>42</v>
      </c>
      <c r="F15" s="136" t="s">
        <v>43</v>
      </c>
      <c r="G15" s="136" t="s">
        <v>44</v>
      </c>
      <c r="H15" s="136" t="s">
        <v>45</v>
      </c>
      <c r="I15" s="136" t="s">
        <v>113</v>
      </c>
      <c r="J15" s="136" t="s">
        <v>114</v>
      </c>
      <c r="K15" s="136" t="s">
        <v>115</v>
      </c>
    </row>
    <row r="16" spans="2:11" x14ac:dyDescent="0.25">
      <c r="B16" s="137"/>
      <c r="C16" s="137"/>
      <c r="D16" s="137"/>
      <c r="E16" s="137"/>
      <c r="F16" s="137"/>
      <c r="G16" s="138"/>
      <c r="H16" s="139"/>
      <c r="I16" s="137"/>
      <c r="J16" s="140" t="s">
        <v>190</v>
      </c>
      <c r="K16" s="140" t="s">
        <v>191</v>
      </c>
    </row>
    <row r="17" spans="2:13" x14ac:dyDescent="0.25">
      <c r="D17" s="136" t="s">
        <v>192</v>
      </c>
      <c r="F17" s="136" t="s">
        <v>193</v>
      </c>
      <c r="G17" s="29" t="s">
        <v>194</v>
      </c>
      <c r="H17" s="29" t="s">
        <v>195</v>
      </c>
      <c r="I17" s="136" t="s">
        <v>196</v>
      </c>
      <c r="J17" s="29" t="s">
        <v>197</v>
      </c>
      <c r="K17" s="136" t="s">
        <v>197</v>
      </c>
    </row>
    <row r="18" spans="2:13" x14ac:dyDescent="0.25">
      <c r="B18" s="141" t="s">
        <v>198</v>
      </c>
      <c r="C18" s="141" t="s">
        <v>47</v>
      </c>
      <c r="D18" s="141" t="s">
        <v>199</v>
      </c>
      <c r="E18" s="141" t="s">
        <v>200</v>
      </c>
      <c r="F18" s="141" t="s">
        <v>201</v>
      </c>
      <c r="G18" s="33" t="s">
        <v>202</v>
      </c>
      <c r="H18" s="33" t="s">
        <v>118</v>
      </c>
      <c r="I18" s="141" t="s">
        <v>118</v>
      </c>
      <c r="J18" s="33" t="s">
        <v>203</v>
      </c>
      <c r="K18" s="141" t="s">
        <v>203</v>
      </c>
    </row>
    <row r="19" spans="2:13" s="134" customFormat="1" x14ac:dyDescent="0.25"/>
    <row r="20" spans="2:13" x14ac:dyDescent="0.25">
      <c r="B20" s="134" t="s">
        <v>204</v>
      </c>
      <c r="C20" s="142" t="s">
        <v>205</v>
      </c>
      <c r="D20" s="143">
        <v>324.36200000000002</v>
      </c>
      <c r="E20" s="143">
        <v>95.1</v>
      </c>
      <c r="F20" s="143">
        <f>IFERROR(D20*E20,"")</f>
        <v>30846.8262</v>
      </c>
      <c r="G20" s="144">
        <f>IF(AND(ISNUMBER($J20)), IF(AND($J20&lt;=20%,$J20&gt;0%), $F20/SUMIFS($F$20:$F$521,$J$20:$J$521, "&gt;"&amp;0%,$J$20:$J$521, "&lt;="&amp;20%),""),"")</f>
        <v>1.0516451557882806E-3</v>
      </c>
      <c r="H20" s="145">
        <v>5.2576235541535232E-2</v>
      </c>
      <c r="I20" s="144">
        <f>IFERROR($H20*$G20,"")</f>
        <v>5.5291543416839159E-5</v>
      </c>
      <c r="J20" s="145">
        <v>0.08</v>
      </c>
      <c r="K20" s="144">
        <f>IFERROR($J20*$G20,"")</f>
        <v>8.4131612463062455E-5</v>
      </c>
      <c r="M20" s="146"/>
    </row>
    <row r="21" spans="2:13" x14ac:dyDescent="0.25">
      <c r="B21" s="134" t="s">
        <v>206</v>
      </c>
      <c r="C21" s="142" t="s">
        <v>207</v>
      </c>
      <c r="D21" s="143">
        <v>728.74599999999998</v>
      </c>
      <c r="E21" s="143">
        <v>170.77</v>
      </c>
      <c r="F21" s="143">
        <f t="shared" ref="F21:F84" si="0">IFERROR(D21*E21,"")</f>
        <v>124447.95442000001</v>
      </c>
      <c r="G21" s="144">
        <f t="shared" ref="G21:G84" si="1">IF(AND(ISNUMBER($J21)), IF(AND($J21&lt;=20%,$J21&gt;0%), $F21/SUMIFS($F$20:$F$521,$J$20:$J$521, "&gt;"&amp;0%,$J$20:$J$521, "&lt;="&amp;20%),""),"")</f>
        <v>4.2427408111617585E-3</v>
      </c>
      <c r="H21" s="145">
        <v>1.4053990747789423E-2</v>
      </c>
      <c r="I21" s="144">
        <f t="shared" ref="I21:I84" si="2">IFERROR($H21*$G21,"")</f>
        <v>5.9627440105335947E-5</v>
      </c>
      <c r="J21" s="145">
        <v>0.14005000000000001</v>
      </c>
      <c r="K21" s="144">
        <f t="shared" ref="K21:K84" si="3">IFERROR($J21*$G21,"")</f>
        <v>5.9419585060320435E-4</v>
      </c>
      <c r="M21" s="146"/>
    </row>
    <row r="22" spans="2:13" x14ac:dyDescent="0.25">
      <c r="B22" s="134" t="s">
        <v>208</v>
      </c>
      <c r="C22" s="142" t="s">
        <v>209</v>
      </c>
      <c r="D22" s="143">
        <v>4204.1019999999999</v>
      </c>
      <c r="E22" s="143">
        <v>38.33</v>
      </c>
      <c r="F22" s="143">
        <f t="shared" si="0"/>
        <v>161143.22965999998</v>
      </c>
      <c r="G22" s="144" t="str">
        <f t="shared" si="1"/>
        <v/>
      </c>
      <c r="H22" s="145">
        <v>6.9397338899034711E-2</v>
      </c>
      <c r="I22" s="144" t="str">
        <f t="shared" si="2"/>
        <v/>
      </c>
      <c r="J22" s="145" t="s">
        <v>210</v>
      </c>
      <c r="K22" s="144" t="str">
        <f t="shared" si="3"/>
        <v/>
      </c>
      <c r="M22" s="146"/>
    </row>
    <row r="23" spans="2:13" x14ac:dyDescent="0.25">
      <c r="B23" s="134" t="s">
        <v>211</v>
      </c>
      <c r="C23" s="142" t="s">
        <v>212</v>
      </c>
      <c r="D23" s="143">
        <v>469.42599999999999</v>
      </c>
      <c r="E23" s="143">
        <v>925.73</v>
      </c>
      <c r="F23" s="143">
        <f t="shared" si="0"/>
        <v>434561.73097999999</v>
      </c>
      <c r="G23" s="144">
        <f t="shared" si="1"/>
        <v>1.481529205996846E-2</v>
      </c>
      <c r="H23" s="145">
        <v>1.9876205805148369E-2</v>
      </c>
      <c r="I23" s="144">
        <f t="shared" si="2"/>
        <v>2.9447179404731361E-4</v>
      </c>
      <c r="J23" s="145">
        <v>0.13885</v>
      </c>
      <c r="K23" s="144">
        <f t="shared" si="3"/>
        <v>2.0571033025266207E-3</v>
      </c>
      <c r="M23" s="146"/>
    </row>
    <row r="24" spans="2:13" x14ac:dyDescent="0.25">
      <c r="B24" s="134" t="s">
        <v>213</v>
      </c>
      <c r="C24" s="142" t="s">
        <v>214</v>
      </c>
      <c r="D24" s="143">
        <v>604.97699999999998</v>
      </c>
      <c r="E24" s="143">
        <v>231.63</v>
      </c>
      <c r="F24" s="143">
        <f t="shared" si="0"/>
        <v>140130.82251</v>
      </c>
      <c r="G24" s="144" t="str">
        <f t="shared" si="1"/>
        <v/>
      </c>
      <c r="H24" s="145" t="s">
        <v>210</v>
      </c>
      <c r="I24" s="144" t="str">
        <f t="shared" si="2"/>
        <v/>
      </c>
      <c r="J24" s="145">
        <v>1.8361000000000001</v>
      </c>
      <c r="K24" s="144" t="str">
        <f t="shared" si="3"/>
        <v/>
      </c>
      <c r="M24" s="146"/>
    </row>
    <row r="25" spans="2:13" x14ac:dyDescent="0.25">
      <c r="B25" s="134" t="s">
        <v>215</v>
      </c>
      <c r="C25" s="142" t="s">
        <v>216</v>
      </c>
      <c r="D25" s="143">
        <v>509.08499999999998</v>
      </c>
      <c r="E25" s="143">
        <v>250.72</v>
      </c>
      <c r="F25" s="143">
        <f t="shared" si="0"/>
        <v>127637.79119999999</v>
      </c>
      <c r="G25" s="144">
        <f t="shared" si="1"/>
        <v>4.3514902940321306E-3</v>
      </c>
      <c r="H25" s="145">
        <v>2.0740268028079132E-2</v>
      </c>
      <c r="I25" s="144">
        <f t="shared" si="2"/>
        <v>9.0251075019811259E-5</v>
      </c>
      <c r="J25" s="145">
        <v>0.2</v>
      </c>
      <c r="K25" s="144">
        <f t="shared" si="3"/>
        <v>8.7029805880642613E-4</v>
      </c>
      <c r="M25" s="146"/>
    </row>
    <row r="26" spans="2:13" x14ac:dyDescent="0.25">
      <c r="B26" s="134" t="s">
        <v>217</v>
      </c>
      <c r="C26" s="142" t="s">
        <v>218</v>
      </c>
      <c r="D26" s="143">
        <v>2891.0079999999998</v>
      </c>
      <c r="E26" s="143">
        <v>156.08000000000001</v>
      </c>
      <c r="F26" s="143">
        <f t="shared" si="0"/>
        <v>451228.52864000003</v>
      </c>
      <c r="G26" s="144">
        <f t="shared" si="1"/>
        <v>1.5383504715234838E-2</v>
      </c>
      <c r="H26" s="145">
        <v>2.6909277293695539E-2</v>
      </c>
      <c r="I26" s="144">
        <f t="shared" si="2"/>
        <v>4.1395899413112705E-4</v>
      </c>
      <c r="J26" s="145">
        <v>0.01</v>
      </c>
      <c r="K26" s="144">
        <f t="shared" si="3"/>
        <v>1.5383504715234838E-4</v>
      </c>
      <c r="M26" s="146"/>
    </row>
    <row r="27" spans="2:13" x14ac:dyDescent="0.25">
      <c r="B27" s="134" t="s">
        <v>219</v>
      </c>
      <c r="C27" s="142" t="s">
        <v>220</v>
      </c>
      <c r="D27" s="143">
        <v>1887.749</v>
      </c>
      <c r="E27" s="143">
        <v>143.6</v>
      </c>
      <c r="F27" s="143">
        <f t="shared" si="0"/>
        <v>271080.75640000001</v>
      </c>
      <c r="G27" s="144">
        <f t="shared" si="1"/>
        <v>9.2418183461442458E-3</v>
      </c>
      <c r="H27" s="145">
        <v>4.2061281337047354E-2</v>
      </c>
      <c r="I27" s="144">
        <f t="shared" si="2"/>
        <v>3.8872272152305884E-4</v>
      </c>
      <c r="J27" s="145">
        <v>7.2649999999999992E-2</v>
      </c>
      <c r="K27" s="144">
        <f t="shared" si="3"/>
        <v>6.7141810284737939E-4</v>
      </c>
      <c r="M27" s="146"/>
    </row>
    <row r="28" spans="2:13" x14ac:dyDescent="0.25">
      <c r="B28" s="134" t="s">
        <v>221</v>
      </c>
      <c r="C28" s="142" t="s">
        <v>222</v>
      </c>
      <c r="D28" s="143">
        <v>4323.4139999999998</v>
      </c>
      <c r="E28" s="143">
        <v>58.44</v>
      </c>
      <c r="F28" s="143">
        <f t="shared" si="0"/>
        <v>252660.31415999998</v>
      </c>
      <c r="G28" s="144">
        <f t="shared" si="1"/>
        <v>8.6138195781810811E-3</v>
      </c>
      <c r="H28" s="145">
        <v>3.1485284052019169E-2</v>
      </c>
      <c r="I28" s="144">
        <f t="shared" si="2"/>
        <v>2.7120855619187527E-4</v>
      </c>
      <c r="J28" s="145">
        <v>6.5099999999999991E-2</v>
      </c>
      <c r="K28" s="144">
        <f t="shared" si="3"/>
        <v>5.607596545395883E-4</v>
      </c>
      <c r="M28" s="146"/>
    </row>
    <row r="29" spans="2:13" x14ac:dyDescent="0.25">
      <c r="B29" s="134" t="s">
        <v>223</v>
      </c>
      <c r="C29" s="142" t="s">
        <v>224</v>
      </c>
      <c r="D29" s="143">
        <v>1765.537</v>
      </c>
      <c r="E29" s="143">
        <v>142.38999999999999</v>
      </c>
      <c r="F29" s="143">
        <f t="shared" si="0"/>
        <v>251394.81342999998</v>
      </c>
      <c r="G29" s="144">
        <f t="shared" si="1"/>
        <v>8.570675505474145E-3</v>
      </c>
      <c r="H29" s="145">
        <v>4.3542383594353543E-2</v>
      </c>
      <c r="I29" s="144">
        <f t="shared" si="2"/>
        <v>3.7318764052208516E-4</v>
      </c>
      <c r="J29" s="145">
        <v>1.9E-3</v>
      </c>
      <c r="K29" s="144">
        <f t="shared" si="3"/>
        <v>1.6284283460400875E-5</v>
      </c>
      <c r="M29" s="146"/>
    </row>
    <row r="30" spans="2:13" x14ac:dyDescent="0.25">
      <c r="B30" s="134" t="s">
        <v>225</v>
      </c>
      <c r="C30" s="142" t="s">
        <v>226</v>
      </c>
      <c r="D30" s="143">
        <v>1830.316</v>
      </c>
      <c r="E30" s="143">
        <v>92.69</v>
      </c>
      <c r="F30" s="143">
        <f t="shared" si="0"/>
        <v>169651.99004</v>
      </c>
      <c r="G30" s="144">
        <f t="shared" si="1"/>
        <v>5.7838590050929665E-3</v>
      </c>
      <c r="H30" s="145">
        <v>6.4731902039054916E-3</v>
      </c>
      <c r="I30" s="144">
        <f t="shared" si="2"/>
        <v>3.7440019452538356E-5</v>
      </c>
      <c r="J30" s="145">
        <v>0.18875</v>
      </c>
      <c r="K30" s="144">
        <f t="shared" si="3"/>
        <v>1.0917033872112974E-3</v>
      </c>
      <c r="M30" s="146"/>
    </row>
    <row r="31" spans="2:13" x14ac:dyDescent="0.25">
      <c r="B31" s="134" t="s">
        <v>227</v>
      </c>
      <c r="C31" s="142" t="s">
        <v>228</v>
      </c>
      <c r="D31" s="143">
        <v>72.203999999999994</v>
      </c>
      <c r="E31" s="143">
        <v>240.5</v>
      </c>
      <c r="F31" s="143">
        <f t="shared" si="0"/>
        <v>17365.061999999998</v>
      </c>
      <c r="G31" s="144">
        <f t="shared" si="1"/>
        <v>5.9201822624666499E-4</v>
      </c>
      <c r="H31" s="145" t="s">
        <v>210</v>
      </c>
      <c r="I31" s="144" t="str">
        <f t="shared" si="2"/>
        <v/>
      </c>
      <c r="J31" s="145">
        <v>0.12920000000000001</v>
      </c>
      <c r="K31" s="144">
        <f t="shared" si="3"/>
        <v>7.6488754831069127E-5</v>
      </c>
      <c r="M31" s="146"/>
    </row>
    <row r="32" spans="2:13" x14ac:dyDescent="0.25">
      <c r="B32" s="134" t="s">
        <v>229</v>
      </c>
      <c r="C32" s="142" t="s">
        <v>230</v>
      </c>
      <c r="D32" s="143">
        <v>211.27799999999999</v>
      </c>
      <c r="E32" s="143">
        <v>130.16999999999999</v>
      </c>
      <c r="F32" s="143">
        <f t="shared" si="0"/>
        <v>27502.057259999998</v>
      </c>
      <c r="G32" s="144">
        <f t="shared" si="1"/>
        <v>9.3761364959131239E-4</v>
      </c>
      <c r="H32" s="145">
        <v>4.9781055542751793E-2</v>
      </c>
      <c r="I32" s="144">
        <f t="shared" si="2"/>
        <v>4.6675397167947337E-5</v>
      </c>
      <c r="J32" s="145">
        <v>1.1000000000000001E-2</v>
      </c>
      <c r="K32" s="144">
        <f t="shared" si="3"/>
        <v>1.0313750145504437E-5</v>
      </c>
      <c r="M32" s="146"/>
    </row>
    <row r="33" spans="2:13" x14ac:dyDescent="0.25">
      <c r="B33" s="134" t="s">
        <v>231</v>
      </c>
      <c r="C33" s="142" t="s">
        <v>232</v>
      </c>
      <c r="D33" s="143">
        <v>4006.1329999999998</v>
      </c>
      <c r="E33" s="143">
        <v>102.74</v>
      </c>
      <c r="F33" s="143">
        <f t="shared" si="0"/>
        <v>411590.10441999999</v>
      </c>
      <c r="G33" s="144" t="str">
        <f t="shared" si="1"/>
        <v/>
      </c>
      <c r="H33" s="145">
        <v>3.6986568035818575E-2</v>
      </c>
      <c r="I33" s="144" t="str">
        <f t="shared" si="2"/>
        <v/>
      </c>
      <c r="J33" s="145">
        <v>0.45590000000000003</v>
      </c>
      <c r="K33" s="144" t="str">
        <f t="shared" si="3"/>
        <v/>
      </c>
      <c r="M33" s="146"/>
    </row>
    <row r="34" spans="2:13" x14ac:dyDescent="0.25">
      <c r="B34" s="134" t="s">
        <v>233</v>
      </c>
      <c r="C34" s="142" t="s">
        <v>234</v>
      </c>
      <c r="D34" s="143">
        <v>439.95600000000002</v>
      </c>
      <c r="E34" s="143">
        <v>128.88999999999999</v>
      </c>
      <c r="F34" s="143">
        <f t="shared" si="0"/>
        <v>56705.928839999993</v>
      </c>
      <c r="G34" s="144">
        <f t="shared" si="1"/>
        <v>1.9332463891880375E-3</v>
      </c>
      <c r="H34" s="145">
        <v>3.2585925983396699E-2</v>
      </c>
      <c r="I34" s="144">
        <f t="shared" si="2"/>
        <v>6.2996623745750313E-5</v>
      </c>
      <c r="J34" s="145">
        <v>0.15210000000000001</v>
      </c>
      <c r="K34" s="144">
        <f t="shared" si="3"/>
        <v>2.9404677579550055E-4</v>
      </c>
      <c r="M34" s="146"/>
    </row>
    <row r="35" spans="2:13" x14ac:dyDescent="0.25">
      <c r="B35" s="134" t="s">
        <v>235</v>
      </c>
      <c r="C35" s="142" t="s">
        <v>236</v>
      </c>
      <c r="D35" s="143">
        <v>1088.386</v>
      </c>
      <c r="E35" s="143">
        <v>121.8</v>
      </c>
      <c r="F35" s="143">
        <f t="shared" si="0"/>
        <v>132565.4148</v>
      </c>
      <c r="G35" s="144" t="str">
        <f t="shared" si="1"/>
        <v/>
      </c>
      <c r="H35" s="145">
        <v>2.6272577996715929E-3</v>
      </c>
      <c r="I35" s="144" t="str">
        <f t="shared" si="2"/>
        <v/>
      </c>
      <c r="J35" s="145">
        <v>0.22500000000000001</v>
      </c>
      <c r="K35" s="144" t="str">
        <f t="shared" si="3"/>
        <v/>
      </c>
      <c r="M35" s="146"/>
    </row>
    <row r="36" spans="2:13" x14ac:dyDescent="0.25">
      <c r="B36" s="134" t="s">
        <v>237</v>
      </c>
      <c r="C36" s="142" t="s">
        <v>238</v>
      </c>
      <c r="D36" s="143">
        <v>988.26900000000001</v>
      </c>
      <c r="E36" s="143">
        <v>29.34</v>
      </c>
      <c r="F36" s="143">
        <f t="shared" si="0"/>
        <v>28995.812460000001</v>
      </c>
      <c r="G36" s="144">
        <f t="shared" si="1"/>
        <v>9.8853948584520747E-4</v>
      </c>
      <c r="H36" s="145">
        <v>3.7573278800272669E-2</v>
      </c>
      <c r="I36" s="144">
        <f t="shared" si="2"/>
        <v>3.7142669706740176E-5</v>
      </c>
      <c r="J36" s="145">
        <v>0.03</v>
      </c>
      <c r="K36" s="144">
        <f t="shared" si="3"/>
        <v>2.9656184575356222E-5</v>
      </c>
      <c r="M36" s="146"/>
    </row>
    <row r="37" spans="2:13" x14ac:dyDescent="0.25">
      <c r="B37" s="134" t="s">
        <v>239</v>
      </c>
      <c r="C37" s="142" t="s">
        <v>240</v>
      </c>
      <c r="D37" s="143">
        <v>995.26199999999994</v>
      </c>
      <c r="E37" s="143">
        <v>313.49</v>
      </c>
      <c r="F37" s="143">
        <f t="shared" si="0"/>
        <v>312004.68437999999</v>
      </c>
      <c r="G37" s="144">
        <f t="shared" si="1"/>
        <v>1.0637017007327595E-2</v>
      </c>
      <c r="H37" s="145">
        <v>2.6667517305177198E-2</v>
      </c>
      <c r="I37" s="144">
        <f t="shared" si="2"/>
        <v>2.8366283511837279E-4</v>
      </c>
      <c r="J37" s="145">
        <v>1.6899999999999998E-2</v>
      </c>
      <c r="K37" s="144">
        <f t="shared" si="3"/>
        <v>1.7976558742383635E-4</v>
      </c>
      <c r="M37" s="146"/>
    </row>
    <row r="38" spans="2:13" x14ac:dyDescent="0.25">
      <c r="B38" s="134" t="s">
        <v>241</v>
      </c>
      <c r="C38" s="142" t="s">
        <v>242</v>
      </c>
      <c r="D38" s="143">
        <v>47.911999999999999</v>
      </c>
      <c r="E38" s="143">
        <v>548.72</v>
      </c>
      <c r="F38" s="143">
        <f t="shared" si="0"/>
        <v>26290.272639999999</v>
      </c>
      <c r="G38" s="144">
        <f t="shared" si="1"/>
        <v>8.9630089290058544E-4</v>
      </c>
      <c r="H38" s="145">
        <v>7.2896923749817752E-3</v>
      </c>
      <c r="I38" s="144">
        <f t="shared" si="2"/>
        <v>6.533757784666754E-6</v>
      </c>
      <c r="J38" s="145">
        <v>0.08</v>
      </c>
      <c r="K38" s="144">
        <f t="shared" si="3"/>
        <v>7.1704071432046831E-5</v>
      </c>
      <c r="M38" s="146"/>
    </row>
    <row r="39" spans="2:13" x14ac:dyDescent="0.25">
      <c r="B39" s="134" t="s">
        <v>243</v>
      </c>
      <c r="C39" s="142" t="s">
        <v>244</v>
      </c>
      <c r="D39" s="143">
        <v>913.11900000000003</v>
      </c>
      <c r="E39" s="143">
        <v>158.56</v>
      </c>
      <c r="F39" s="143">
        <f t="shared" si="0"/>
        <v>144784.14864</v>
      </c>
      <c r="G39" s="144">
        <f t="shared" si="1"/>
        <v>4.9360523369560271E-3</v>
      </c>
      <c r="H39" s="145">
        <v>4.1876892028254287E-2</v>
      </c>
      <c r="I39" s="144">
        <f t="shared" si="2"/>
        <v>2.0670653076051979E-4</v>
      </c>
      <c r="J39" s="145">
        <v>2.7699999999999999E-2</v>
      </c>
      <c r="K39" s="144">
        <f t="shared" si="3"/>
        <v>1.3672864973368195E-4</v>
      </c>
      <c r="M39" s="146"/>
    </row>
    <row r="40" spans="2:13" x14ac:dyDescent="0.25">
      <c r="B40" s="134" t="s">
        <v>245</v>
      </c>
      <c r="C40" s="142" t="s">
        <v>246</v>
      </c>
      <c r="D40" s="143">
        <v>2407.279</v>
      </c>
      <c r="E40" s="143">
        <v>154.66</v>
      </c>
      <c r="F40" s="143">
        <f t="shared" si="0"/>
        <v>372309.77013999998</v>
      </c>
      <c r="G40" s="144">
        <f t="shared" si="1"/>
        <v>1.2692967622723509E-2</v>
      </c>
      <c r="H40" s="145">
        <v>3.0777188671925512E-2</v>
      </c>
      <c r="I40" s="144">
        <f t="shared" si="2"/>
        <v>3.9065385933120328E-4</v>
      </c>
      <c r="J40" s="145">
        <v>3.8550000000000001E-2</v>
      </c>
      <c r="K40" s="144">
        <f t="shared" si="3"/>
        <v>4.8931390185599126E-4</v>
      </c>
      <c r="M40" s="146"/>
    </row>
    <row r="41" spans="2:13" x14ac:dyDescent="0.25">
      <c r="B41" s="134" t="s">
        <v>247</v>
      </c>
      <c r="C41" s="142" t="s">
        <v>248</v>
      </c>
      <c r="D41" s="143">
        <v>121.425</v>
      </c>
      <c r="E41" s="143">
        <v>446.8</v>
      </c>
      <c r="F41" s="143">
        <f t="shared" si="0"/>
        <v>54252.69</v>
      </c>
      <c r="G41" s="144">
        <f t="shared" si="1"/>
        <v>1.8496093652248511E-3</v>
      </c>
      <c r="H41" s="145" t="s">
        <v>210</v>
      </c>
      <c r="I41" s="144" t="str">
        <f t="shared" si="2"/>
        <v/>
      </c>
      <c r="J41" s="145">
        <v>0.16</v>
      </c>
      <c r="K41" s="144">
        <f t="shared" si="3"/>
        <v>2.9593749843597616E-4</v>
      </c>
      <c r="M41" s="146"/>
    </row>
    <row r="42" spans="2:13" x14ac:dyDescent="0.25">
      <c r="B42" s="134" t="s">
        <v>249</v>
      </c>
      <c r="C42" s="142" t="s">
        <v>250</v>
      </c>
      <c r="D42" s="143">
        <v>725.34199999999998</v>
      </c>
      <c r="E42" s="143">
        <v>281.83999999999997</v>
      </c>
      <c r="F42" s="143">
        <f t="shared" si="0"/>
        <v>204430.38927999997</v>
      </c>
      <c r="G42" s="144">
        <f t="shared" si="1"/>
        <v>6.9695412807890249E-3</v>
      </c>
      <c r="H42" s="145">
        <v>2.3701390860062448E-2</v>
      </c>
      <c r="I42" s="144">
        <f t="shared" si="2"/>
        <v>1.6518782201132093E-4</v>
      </c>
      <c r="J42" s="145">
        <v>9.3399999999999997E-2</v>
      </c>
      <c r="K42" s="144">
        <f t="shared" si="3"/>
        <v>6.5095515562569488E-4</v>
      </c>
      <c r="M42" s="146"/>
    </row>
    <row r="43" spans="2:13" x14ac:dyDescent="0.25">
      <c r="B43" s="134" t="s">
        <v>251</v>
      </c>
      <c r="C43" s="142" t="s">
        <v>252</v>
      </c>
      <c r="D43" s="143">
        <v>2534.0230000000001</v>
      </c>
      <c r="E43" s="143">
        <v>102.48</v>
      </c>
      <c r="F43" s="143">
        <f t="shared" si="0"/>
        <v>259686.67704000004</v>
      </c>
      <c r="G43" s="144">
        <f t="shared" si="1"/>
        <v>8.853365793978241E-3</v>
      </c>
      <c r="H43" s="145">
        <v>3.0054644808743168E-2</v>
      </c>
      <c r="I43" s="144">
        <f t="shared" si="2"/>
        <v>2.6608476429989245E-4</v>
      </c>
      <c r="J43" s="145">
        <v>9.0800000000000006E-2</v>
      </c>
      <c r="K43" s="144">
        <f t="shared" si="3"/>
        <v>8.0388561409322436E-4</v>
      </c>
      <c r="M43" s="146"/>
    </row>
    <row r="44" spans="2:13" x14ac:dyDescent="0.25">
      <c r="B44" s="134" t="s">
        <v>253</v>
      </c>
      <c r="C44" s="142" t="s">
        <v>254</v>
      </c>
      <c r="D44" s="143">
        <v>552.31700000000001</v>
      </c>
      <c r="E44" s="143">
        <v>99.07</v>
      </c>
      <c r="F44" s="143">
        <f t="shared" si="0"/>
        <v>54718.045189999997</v>
      </c>
      <c r="G44" s="144">
        <f t="shared" si="1"/>
        <v>1.8654744830204843E-3</v>
      </c>
      <c r="H44" s="145">
        <v>6.0563238114464527E-2</v>
      </c>
      <c r="I44" s="144">
        <f t="shared" si="2"/>
        <v>1.129791753116272E-4</v>
      </c>
      <c r="J44" s="145">
        <v>0.04</v>
      </c>
      <c r="K44" s="144">
        <f t="shared" si="3"/>
        <v>7.4618979320819367E-5</v>
      </c>
      <c r="M44" s="146"/>
    </row>
    <row r="45" spans="2:13" x14ac:dyDescent="0.25">
      <c r="B45" s="134" t="s">
        <v>255</v>
      </c>
      <c r="C45" s="142" t="s">
        <v>256</v>
      </c>
      <c r="D45" s="143">
        <v>194.70500000000001</v>
      </c>
      <c r="E45" s="143">
        <v>131.84</v>
      </c>
      <c r="F45" s="143">
        <f t="shared" si="0"/>
        <v>25669.907200000001</v>
      </c>
      <c r="G45" s="144">
        <f t="shared" si="1"/>
        <v>8.7515108949570675E-4</v>
      </c>
      <c r="H45" s="145">
        <v>2.1465412621359224E-2</v>
      </c>
      <c r="I45" s="144">
        <f t="shared" si="2"/>
        <v>1.8785479242057419E-5</v>
      </c>
      <c r="J45" s="145">
        <v>0.08</v>
      </c>
      <c r="K45" s="144">
        <f t="shared" si="3"/>
        <v>7.0012087159656547E-5</v>
      </c>
      <c r="M45" s="146"/>
    </row>
    <row r="46" spans="2:13" x14ac:dyDescent="0.25">
      <c r="B46" s="134" t="s">
        <v>257</v>
      </c>
      <c r="C46" s="142" t="s">
        <v>258</v>
      </c>
      <c r="D46" s="143">
        <v>7913.732</v>
      </c>
      <c r="E46" s="143">
        <v>30.49</v>
      </c>
      <c r="F46" s="143">
        <f t="shared" si="0"/>
        <v>241289.68867999999</v>
      </c>
      <c r="G46" s="144" t="str">
        <f t="shared" si="1"/>
        <v/>
      </c>
      <c r="H46" s="145">
        <v>3.1485733027222039E-2</v>
      </c>
      <c r="I46" s="144" t="str">
        <f t="shared" si="2"/>
        <v/>
      </c>
      <c r="J46" s="145">
        <v>-0.05</v>
      </c>
      <c r="K46" s="144" t="str">
        <f t="shared" si="3"/>
        <v/>
      </c>
      <c r="M46" s="146"/>
    </row>
    <row r="47" spans="2:13" x14ac:dyDescent="0.25">
      <c r="B47" s="134" t="s">
        <v>259</v>
      </c>
      <c r="C47" s="142" t="s">
        <v>260</v>
      </c>
      <c r="D47" s="143">
        <v>5646.4129999999996</v>
      </c>
      <c r="E47" s="143">
        <v>30.47</v>
      </c>
      <c r="F47" s="143">
        <f t="shared" si="0"/>
        <v>172046.20410999999</v>
      </c>
      <c r="G47" s="144" t="str">
        <f t="shared" si="1"/>
        <v/>
      </c>
      <c r="H47" s="145">
        <v>5.3823432884804727E-2</v>
      </c>
      <c r="I47" s="144" t="str">
        <f t="shared" si="2"/>
        <v/>
      </c>
      <c r="J47" s="145">
        <v>0.504</v>
      </c>
      <c r="K47" s="144" t="str">
        <f t="shared" si="3"/>
        <v/>
      </c>
      <c r="M47" s="146"/>
    </row>
    <row r="48" spans="2:13" x14ac:dyDescent="0.25">
      <c r="B48" s="134" t="s">
        <v>261</v>
      </c>
      <c r="C48" s="142" t="s">
        <v>262</v>
      </c>
      <c r="D48" s="143">
        <v>2356.886</v>
      </c>
      <c r="E48" s="143">
        <v>153.52000000000001</v>
      </c>
      <c r="F48" s="143">
        <f t="shared" si="0"/>
        <v>361829.13872000005</v>
      </c>
      <c r="G48" s="144">
        <f t="shared" si="1"/>
        <v>1.2335656786562175E-2</v>
      </c>
      <c r="H48" s="145">
        <v>2.4510161542470033E-2</v>
      </c>
      <c r="I48" s="144">
        <f t="shared" si="2"/>
        <v>3.0234894057110567E-4</v>
      </c>
      <c r="J48" s="145">
        <v>7.5130000000000002E-2</v>
      </c>
      <c r="K48" s="144">
        <f t="shared" si="3"/>
        <v>9.2677789437441626E-4</v>
      </c>
      <c r="M48" s="146"/>
    </row>
    <row r="49" spans="2:13" x14ac:dyDescent="0.25">
      <c r="B49" s="134" t="s">
        <v>263</v>
      </c>
      <c r="C49" s="142" t="s">
        <v>264</v>
      </c>
      <c r="D49" s="143">
        <v>7150.02</v>
      </c>
      <c r="E49" s="143">
        <v>16.57</v>
      </c>
      <c r="F49" s="143">
        <f t="shared" si="0"/>
        <v>118475.83140000001</v>
      </c>
      <c r="G49" s="144">
        <f t="shared" si="1"/>
        <v>4.0391362586857998E-3</v>
      </c>
      <c r="H49" s="145">
        <v>6.6988533494266755E-2</v>
      </c>
      <c r="I49" s="144">
        <f t="shared" si="2"/>
        <v>2.7057581455288099E-4</v>
      </c>
      <c r="J49" s="145">
        <v>3.3549999999999996E-2</v>
      </c>
      <c r="K49" s="144">
        <f t="shared" si="3"/>
        <v>1.3551302147890858E-4</v>
      </c>
      <c r="M49" s="146"/>
    </row>
    <row r="50" spans="2:13" x14ac:dyDescent="0.25">
      <c r="B50" s="134" t="s">
        <v>265</v>
      </c>
      <c r="C50" s="142" t="s">
        <v>266</v>
      </c>
      <c r="D50" s="143">
        <v>228.399</v>
      </c>
      <c r="E50" s="143">
        <v>180.62</v>
      </c>
      <c r="F50" s="143">
        <f t="shared" si="0"/>
        <v>41253.427380000001</v>
      </c>
      <c r="G50" s="144">
        <f t="shared" si="1"/>
        <v>1.4064321166318442E-3</v>
      </c>
      <c r="H50" s="145">
        <v>2.2145941756173182E-2</v>
      </c>
      <c r="I50" s="144">
        <f t="shared" si="2"/>
        <v>3.114676373894019E-5</v>
      </c>
      <c r="J50" s="145">
        <v>0.15329999999999999</v>
      </c>
      <c r="K50" s="144">
        <f t="shared" si="3"/>
        <v>2.1560604347966171E-4</v>
      </c>
      <c r="M50" s="146"/>
    </row>
    <row r="51" spans="2:13" x14ac:dyDescent="0.25">
      <c r="B51" s="134" t="s">
        <v>267</v>
      </c>
      <c r="C51" s="142" t="s">
        <v>268</v>
      </c>
      <c r="D51" s="143">
        <v>1437.9010000000001</v>
      </c>
      <c r="E51" s="143">
        <v>81.48</v>
      </c>
      <c r="F51" s="143">
        <f t="shared" si="0"/>
        <v>117160.17348000001</v>
      </c>
      <c r="G51" s="144">
        <f t="shared" si="1"/>
        <v>3.9942822024120134E-3</v>
      </c>
      <c r="H51" s="145">
        <v>2.8964162984781539E-2</v>
      </c>
      <c r="I51" s="144">
        <f t="shared" si="2"/>
        <v>1.1569104071787372E-4</v>
      </c>
      <c r="J51" s="145">
        <v>8.6050000000000001E-2</v>
      </c>
      <c r="K51" s="144">
        <f t="shared" si="3"/>
        <v>3.4370798351755376E-4</v>
      </c>
      <c r="M51" s="146"/>
    </row>
    <row r="52" spans="2:13" x14ac:dyDescent="0.25">
      <c r="B52" s="134" t="s">
        <v>269</v>
      </c>
      <c r="C52" s="142" t="s">
        <v>270</v>
      </c>
      <c r="D52" s="143">
        <v>496.262</v>
      </c>
      <c r="E52" s="143">
        <v>182.51990000000001</v>
      </c>
      <c r="F52" s="143">
        <f t="shared" si="0"/>
        <v>90577.690613800005</v>
      </c>
      <c r="G52" s="144">
        <f t="shared" si="1"/>
        <v>3.08801913489863E-3</v>
      </c>
      <c r="H52" s="145">
        <v>1.8847259942614474E-2</v>
      </c>
      <c r="I52" s="144">
        <f t="shared" si="2"/>
        <v>5.8200699343201952E-5</v>
      </c>
      <c r="J52" s="145">
        <v>4.4999999999999998E-2</v>
      </c>
      <c r="K52" s="144">
        <f t="shared" si="3"/>
        <v>1.3896086107043835E-4</v>
      </c>
      <c r="M52" s="146"/>
    </row>
    <row r="53" spans="2:13" x14ac:dyDescent="0.25">
      <c r="B53" s="134" t="s">
        <v>271</v>
      </c>
      <c r="C53" s="142" t="s">
        <v>272</v>
      </c>
      <c r="D53" s="143">
        <v>2692.2339999999999</v>
      </c>
      <c r="E53" s="143">
        <v>155.69</v>
      </c>
      <c r="F53" s="143">
        <f t="shared" si="0"/>
        <v>419153.91145999997</v>
      </c>
      <c r="G53" s="144">
        <f t="shared" si="1"/>
        <v>1.4290001106065781E-2</v>
      </c>
      <c r="H53" s="145">
        <v>1.464448583724067E-2</v>
      </c>
      <c r="I53" s="144">
        <f t="shared" si="2"/>
        <v>2.0926971881193385E-4</v>
      </c>
      <c r="J53" s="145">
        <v>0.03</v>
      </c>
      <c r="K53" s="144">
        <f t="shared" si="3"/>
        <v>4.287000331819734E-4</v>
      </c>
      <c r="M53" s="146"/>
    </row>
    <row r="54" spans="2:13" x14ac:dyDescent="0.25">
      <c r="B54" s="134" t="s">
        <v>273</v>
      </c>
      <c r="C54" s="142" t="s">
        <v>274</v>
      </c>
      <c r="D54" s="143">
        <v>4063.4760000000001</v>
      </c>
      <c r="E54" s="143">
        <v>48.38</v>
      </c>
      <c r="F54" s="143">
        <f t="shared" si="0"/>
        <v>196590.96888000003</v>
      </c>
      <c r="G54" s="144">
        <f t="shared" si="1"/>
        <v>6.7022759085139426E-3</v>
      </c>
      <c r="H54" s="145">
        <v>3.2244729226953289E-2</v>
      </c>
      <c r="I54" s="144">
        <f t="shared" si="2"/>
        <v>2.1611307187436443E-4</v>
      </c>
      <c r="J54" s="145">
        <v>0.1</v>
      </c>
      <c r="K54" s="144">
        <f t="shared" si="3"/>
        <v>6.7022759085139431E-4</v>
      </c>
      <c r="M54" s="146"/>
    </row>
    <row r="55" spans="2:13" x14ac:dyDescent="0.25">
      <c r="B55" s="134" t="s">
        <v>275</v>
      </c>
      <c r="C55" s="142" t="s">
        <v>276</v>
      </c>
      <c r="D55" s="143">
        <v>4216</v>
      </c>
      <c r="E55" s="143">
        <v>44.7</v>
      </c>
      <c r="F55" s="143">
        <f t="shared" si="0"/>
        <v>188455.2</v>
      </c>
      <c r="G55" s="144" t="str">
        <f t="shared" si="1"/>
        <v/>
      </c>
      <c r="H55" s="145">
        <v>1.1185682326621923E-2</v>
      </c>
      <c r="I55" s="144" t="str">
        <f t="shared" si="2"/>
        <v/>
      </c>
      <c r="J55" s="145">
        <v>-1.8200000000000001E-2</v>
      </c>
      <c r="K55" s="144" t="str">
        <f t="shared" si="3"/>
        <v/>
      </c>
      <c r="M55" s="146"/>
    </row>
    <row r="56" spans="2:13" x14ac:dyDescent="0.25">
      <c r="B56" s="134" t="s">
        <v>277</v>
      </c>
      <c r="C56" s="142" t="s">
        <v>278</v>
      </c>
      <c r="D56" s="143">
        <v>1369.481</v>
      </c>
      <c r="E56" s="143">
        <v>31.6</v>
      </c>
      <c r="F56" s="143">
        <f t="shared" si="0"/>
        <v>43275.599600000001</v>
      </c>
      <c r="G56" s="144" t="str">
        <f t="shared" si="1"/>
        <v/>
      </c>
      <c r="H56" s="145">
        <v>1.1392405063291138E-2</v>
      </c>
      <c r="I56" s="144" t="str">
        <f t="shared" si="2"/>
        <v/>
      </c>
      <c r="J56" s="145">
        <v>-4.6449999999999998E-2</v>
      </c>
      <c r="K56" s="144" t="str">
        <f t="shared" si="3"/>
        <v/>
      </c>
      <c r="M56" s="146"/>
    </row>
    <row r="57" spans="2:13" x14ac:dyDescent="0.25">
      <c r="B57" s="134" t="s">
        <v>279</v>
      </c>
      <c r="C57" s="142" t="s">
        <v>280</v>
      </c>
      <c r="D57" s="143">
        <v>7432.2619999999997</v>
      </c>
      <c r="E57" s="143">
        <v>378.91</v>
      </c>
      <c r="F57" s="143">
        <f t="shared" si="0"/>
        <v>2816158.3944200003</v>
      </c>
      <c r="G57" s="144">
        <f t="shared" si="1"/>
        <v>9.6009855737583E-2</v>
      </c>
      <c r="H57" s="145">
        <v>7.9174474149534182E-3</v>
      </c>
      <c r="I57" s="144">
        <f t="shared" si="2"/>
        <v>7.6015298411957711E-4</v>
      </c>
      <c r="J57" s="145">
        <v>0.15723000000000001</v>
      </c>
      <c r="K57" s="144">
        <f t="shared" si="3"/>
        <v>1.5095629617620177E-2</v>
      </c>
      <c r="M57" s="146"/>
    </row>
    <row r="58" spans="2:13" x14ac:dyDescent="0.25">
      <c r="B58" s="134" t="s">
        <v>281</v>
      </c>
      <c r="C58" s="142" t="s">
        <v>282</v>
      </c>
      <c r="D58" s="143">
        <v>219.476</v>
      </c>
      <c r="E58" s="143">
        <v>131.12</v>
      </c>
      <c r="F58" s="143">
        <f t="shared" si="0"/>
        <v>28777.69312</v>
      </c>
      <c r="G58" s="144" t="str">
        <f t="shared" si="1"/>
        <v/>
      </c>
      <c r="H58" s="145">
        <v>1.7998779743746186E-2</v>
      </c>
      <c r="I58" s="144" t="str">
        <f t="shared" si="2"/>
        <v/>
      </c>
      <c r="J58" s="145">
        <v>-2.5000000000000001E-2</v>
      </c>
      <c r="K58" s="144" t="str">
        <f t="shared" si="3"/>
        <v/>
      </c>
      <c r="M58" s="146"/>
    </row>
    <row r="59" spans="2:13" x14ac:dyDescent="0.25">
      <c r="B59" s="134" t="s">
        <v>283</v>
      </c>
      <c r="C59" s="142" t="s">
        <v>284</v>
      </c>
      <c r="D59" s="143">
        <v>292.62</v>
      </c>
      <c r="E59" s="143">
        <v>262.88</v>
      </c>
      <c r="F59" s="143">
        <f t="shared" si="0"/>
        <v>76923.945600000006</v>
      </c>
      <c r="G59" s="144">
        <f t="shared" si="1"/>
        <v>2.6225289509479986E-3</v>
      </c>
      <c r="H59" s="145">
        <v>1.8715763846622033E-2</v>
      </c>
      <c r="I59" s="144">
        <f t="shared" si="2"/>
        <v>4.9082632526872156E-5</v>
      </c>
      <c r="J59" s="145">
        <v>9.8000000000000004E-2</v>
      </c>
      <c r="K59" s="144">
        <f t="shared" si="3"/>
        <v>2.5700783719290388E-4</v>
      </c>
      <c r="M59" s="146"/>
    </row>
    <row r="60" spans="2:13" x14ac:dyDescent="0.25">
      <c r="B60" s="134" t="s">
        <v>285</v>
      </c>
      <c r="C60" s="142" t="s">
        <v>286</v>
      </c>
      <c r="D60" s="143">
        <v>2222.7739999999999</v>
      </c>
      <c r="E60" s="143">
        <v>17.57</v>
      </c>
      <c r="F60" s="143">
        <f t="shared" si="0"/>
        <v>39054.139179999998</v>
      </c>
      <c r="G60" s="144">
        <f t="shared" si="1"/>
        <v>1.3314529026693936E-3</v>
      </c>
      <c r="H60" s="145">
        <v>6.431417188389299E-2</v>
      </c>
      <c r="I60" s="144">
        <f t="shared" si="2"/>
        <v>8.5631290837587622E-5</v>
      </c>
      <c r="J60" s="145">
        <v>0.02</v>
      </c>
      <c r="K60" s="144">
        <f t="shared" si="3"/>
        <v>2.6629058053387871E-5</v>
      </c>
      <c r="M60" s="146"/>
    </row>
    <row r="61" spans="2:13" x14ac:dyDescent="0.25">
      <c r="B61" s="134" t="s">
        <v>287</v>
      </c>
      <c r="C61" s="142" t="s">
        <v>288</v>
      </c>
      <c r="D61" s="143">
        <v>1913.8820000000001</v>
      </c>
      <c r="E61" s="143">
        <v>46.1</v>
      </c>
      <c r="F61" s="143">
        <f t="shared" si="0"/>
        <v>88229.960200000001</v>
      </c>
      <c r="G61" s="144" t="str">
        <f t="shared" si="1"/>
        <v/>
      </c>
      <c r="H61" s="145">
        <v>4.598698481561822E-2</v>
      </c>
      <c r="I61" s="144" t="str">
        <f t="shared" si="2"/>
        <v/>
      </c>
      <c r="J61" s="145">
        <v>-9.6999999999999989E-2</v>
      </c>
      <c r="K61" s="144" t="str">
        <f t="shared" si="3"/>
        <v/>
      </c>
      <c r="M61" s="146"/>
    </row>
    <row r="62" spans="2:13" x14ac:dyDescent="0.25">
      <c r="B62" s="134" t="s">
        <v>289</v>
      </c>
      <c r="C62" s="142" t="s">
        <v>290</v>
      </c>
      <c r="D62" s="143">
        <v>702.04</v>
      </c>
      <c r="E62" s="143">
        <v>65.81</v>
      </c>
      <c r="F62" s="143">
        <f t="shared" si="0"/>
        <v>46201.252399999998</v>
      </c>
      <c r="G62" s="144">
        <f t="shared" si="1"/>
        <v>1.5751157983900359E-3</v>
      </c>
      <c r="H62" s="145">
        <v>2.188117307400091E-2</v>
      </c>
      <c r="I62" s="144">
        <f t="shared" si="2"/>
        <v>3.44653813961655E-5</v>
      </c>
      <c r="J62" s="145">
        <v>0.1</v>
      </c>
      <c r="K62" s="144">
        <f t="shared" si="3"/>
        <v>1.575115798390036E-4</v>
      </c>
      <c r="M62" s="146"/>
    </row>
    <row r="63" spans="2:13" x14ac:dyDescent="0.25">
      <c r="B63" s="134" t="s">
        <v>291</v>
      </c>
      <c r="C63" s="142" t="s">
        <v>292</v>
      </c>
      <c r="D63" s="143">
        <v>1768.6469999999999</v>
      </c>
      <c r="E63" s="143">
        <v>42.04</v>
      </c>
      <c r="F63" s="143">
        <f t="shared" si="0"/>
        <v>74353.919880000001</v>
      </c>
      <c r="G63" s="144">
        <f t="shared" si="1"/>
        <v>2.5349103712871421E-3</v>
      </c>
      <c r="H63" s="145">
        <v>9.3244529019980968E-2</v>
      </c>
      <c r="I63" s="144">
        <f t="shared" si="2"/>
        <v>2.3636652367853465E-4</v>
      </c>
      <c r="J63" s="145">
        <v>4.4999999999999998E-2</v>
      </c>
      <c r="K63" s="144">
        <f t="shared" si="3"/>
        <v>1.1407096670792139E-4</v>
      </c>
      <c r="M63" s="146"/>
    </row>
    <row r="64" spans="2:13" x14ac:dyDescent="0.25">
      <c r="B64" s="134" t="s">
        <v>293</v>
      </c>
      <c r="C64" s="142" t="s">
        <v>294</v>
      </c>
      <c r="D64" s="143">
        <v>267.661</v>
      </c>
      <c r="E64" s="143">
        <v>250.48</v>
      </c>
      <c r="F64" s="143">
        <f t="shared" si="0"/>
        <v>67043.727279999992</v>
      </c>
      <c r="G64" s="144">
        <f t="shared" si="1"/>
        <v>2.2856876932124252E-3</v>
      </c>
      <c r="H64" s="145">
        <v>9.5816033216224849E-3</v>
      </c>
      <c r="I64" s="144">
        <f t="shared" si="2"/>
        <v>2.190055279347581E-5</v>
      </c>
      <c r="J64" s="145">
        <v>7.5600000000000001E-2</v>
      </c>
      <c r="K64" s="144">
        <f t="shared" si="3"/>
        <v>1.7279798960685936E-4</v>
      </c>
      <c r="M64" s="146"/>
    </row>
    <row r="65" spans="2:13" x14ac:dyDescent="0.25">
      <c r="B65" s="134" t="s">
        <v>295</v>
      </c>
      <c r="C65" s="142" t="s">
        <v>296</v>
      </c>
      <c r="D65" s="143">
        <v>346.017</v>
      </c>
      <c r="E65" s="143">
        <v>36.94</v>
      </c>
      <c r="F65" s="143">
        <f t="shared" si="0"/>
        <v>12781.867979999999</v>
      </c>
      <c r="G65" s="144" t="str">
        <f t="shared" si="1"/>
        <v/>
      </c>
      <c r="H65" s="145">
        <v>5.0081212777476992E-2</v>
      </c>
      <c r="I65" s="144" t="str">
        <f t="shared" si="2"/>
        <v/>
      </c>
      <c r="J65" s="145">
        <v>-0.02</v>
      </c>
      <c r="K65" s="144" t="str">
        <f t="shared" si="3"/>
        <v/>
      </c>
      <c r="M65" s="146"/>
    </row>
    <row r="66" spans="2:13" x14ac:dyDescent="0.25">
      <c r="B66" s="134" t="s">
        <v>297</v>
      </c>
      <c r="C66" s="142" t="s">
        <v>298</v>
      </c>
      <c r="D66" s="143">
        <v>1283</v>
      </c>
      <c r="E66" s="143">
        <v>16.91</v>
      </c>
      <c r="F66" s="143">
        <f t="shared" si="0"/>
        <v>21695.53</v>
      </c>
      <c r="G66" s="144">
        <f t="shared" si="1"/>
        <v>7.3965466913284317E-4</v>
      </c>
      <c r="H66" s="145">
        <v>3.075103489059728E-2</v>
      </c>
      <c r="I66" s="144">
        <f t="shared" si="2"/>
        <v>2.2745146537497248E-5</v>
      </c>
      <c r="J66" s="145">
        <v>3.0299999999999997E-2</v>
      </c>
      <c r="K66" s="144">
        <f t="shared" si="3"/>
        <v>2.2411536474725147E-5</v>
      </c>
      <c r="M66" s="146"/>
    </row>
    <row r="67" spans="2:13" x14ac:dyDescent="0.25">
      <c r="B67" s="134" t="s">
        <v>299</v>
      </c>
      <c r="C67" s="142" t="s">
        <v>300</v>
      </c>
      <c r="D67" s="143">
        <v>1736.059</v>
      </c>
      <c r="E67" s="143">
        <v>104.29</v>
      </c>
      <c r="F67" s="143">
        <f t="shared" si="0"/>
        <v>181053.59311000002</v>
      </c>
      <c r="G67" s="144">
        <f t="shared" si="1"/>
        <v>6.1725680592771637E-3</v>
      </c>
      <c r="H67" s="145">
        <v>1.9560839965480869E-2</v>
      </c>
      <c r="I67" s="144">
        <f t="shared" si="2"/>
        <v>1.2074061598355943E-4</v>
      </c>
      <c r="J67" s="145">
        <v>3.27E-2</v>
      </c>
      <c r="K67" s="144">
        <f t="shared" si="3"/>
        <v>2.0184297553836326E-4</v>
      </c>
      <c r="M67" s="146"/>
    </row>
    <row r="68" spans="2:13" x14ac:dyDescent="0.25">
      <c r="B68" s="134" t="s">
        <v>301</v>
      </c>
      <c r="C68" s="142" t="s">
        <v>302</v>
      </c>
      <c r="D68" s="143">
        <v>584.38</v>
      </c>
      <c r="E68" s="143">
        <v>82.71</v>
      </c>
      <c r="F68" s="143">
        <f t="shared" si="0"/>
        <v>48334.069799999997</v>
      </c>
      <c r="G68" s="144">
        <f t="shared" si="1"/>
        <v>1.6478288571776189E-3</v>
      </c>
      <c r="H68" s="145">
        <v>2.4180872929512758E-2</v>
      </c>
      <c r="I68" s="144">
        <f t="shared" si="2"/>
        <v>3.9845940204996231E-5</v>
      </c>
      <c r="J68" s="145">
        <v>8.0399999999999985E-2</v>
      </c>
      <c r="K68" s="144">
        <f t="shared" si="3"/>
        <v>1.3248544011708053E-4</v>
      </c>
      <c r="M68" s="146"/>
    </row>
    <row r="69" spans="2:13" x14ac:dyDescent="0.25">
      <c r="B69" s="134" t="s">
        <v>303</v>
      </c>
      <c r="C69" s="142" t="s">
        <v>304</v>
      </c>
      <c r="D69" s="143">
        <v>222.208</v>
      </c>
      <c r="E69" s="143">
        <v>270.55</v>
      </c>
      <c r="F69" s="143">
        <f t="shared" si="0"/>
        <v>60118.374400000001</v>
      </c>
      <c r="G69" s="144">
        <f t="shared" si="1"/>
        <v>2.0495851599678086E-3</v>
      </c>
      <c r="H69" s="145">
        <v>2.5873221216041395E-2</v>
      </c>
      <c r="I69" s="144">
        <f t="shared" si="2"/>
        <v>5.3029370244962703E-5</v>
      </c>
      <c r="J69" s="145">
        <v>0.12545000000000001</v>
      </c>
      <c r="K69" s="144">
        <f t="shared" si="3"/>
        <v>2.571204583179616E-4</v>
      </c>
      <c r="M69" s="146"/>
    </row>
    <row r="70" spans="2:13" x14ac:dyDescent="0.25">
      <c r="B70" s="134" t="s">
        <v>305</v>
      </c>
      <c r="C70" s="142" t="s">
        <v>306</v>
      </c>
      <c r="D70" s="143">
        <v>256.23500000000001</v>
      </c>
      <c r="E70" s="143">
        <v>107.46</v>
      </c>
      <c r="F70" s="143">
        <f t="shared" si="0"/>
        <v>27535.0131</v>
      </c>
      <c r="G70" s="144" t="str">
        <f t="shared" si="1"/>
        <v/>
      </c>
      <c r="H70" s="145" t="s">
        <v>210</v>
      </c>
      <c r="I70" s="144" t="str">
        <f t="shared" si="2"/>
        <v/>
      </c>
      <c r="J70" s="145" t="s">
        <v>210</v>
      </c>
      <c r="K70" s="144" t="str">
        <f t="shared" si="3"/>
        <v/>
      </c>
      <c r="M70" s="146"/>
    </row>
    <row r="71" spans="2:13" x14ac:dyDescent="0.25">
      <c r="B71" s="134" t="s">
        <v>307</v>
      </c>
      <c r="C71" s="142" t="s">
        <v>308</v>
      </c>
      <c r="D71" s="143">
        <v>307.15199999999999</v>
      </c>
      <c r="E71" s="143">
        <v>140.56</v>
      </c>
      <c r="F71" s="143">
        <f t="shared" si="0"/>
        <v>43173.28512</v>
      </c>
      <c r="G71" s="144">
        <f t="shared" si="1"/>
        <v>1.471884850050287E-3</v>
      </c>
      <c r="H71" s="145">
        <v>1.245019920318725E-2</v>
      </c>
      <c r="I71" s="144">
        <f t="shared" si="2"/>
        <v>1.8325259587279469E-5</v>
      </c>
      <c r="J71" s="145">
        <v>0.13</v>
      </c>
      <c r="K71" s="144">
        <f t="shared" si="3"/>
        <v>1.9134503050653731E-4</v>
      </c>
      <c r="M71" s="146"/>
    </row>
    <row r="72" spans="2:13" x14ac:dyDescent="0.25">
      <c r="B72" s="134" t="s">
        <v>309</v>
      </c>
      <c r="C72" s="142" t="s">
        <v>310</v>
      </c>
      <c r="D72" s="143">
        <v>533.38099999999997</v>
      </c>
      <c r="E72" s="143">
        <v>73.73</v>
      </c>
      <c r="F72" s="143">
        <f t="shared" si="0"/>
        <v>39326.181129999997</v>
      </c>
      <c r="G72" s="144" t="str">
        <f t="shared" si="1"/>
        <v/>
      </c>
      <c r="H72" s="145">
        <v>2.4413400244134003E-2</v>
      </c>
      <c r="I72" s="144" t="str">
        <f t="shared" si="2"/>
        <v/>
      </c>
      <c r="J72" s="145">
        <v>-7.0699999999999999E-2</v>
      </c>
      <c r="K72" s="144" t="str">
        <f t="shared" si="3"/>
        <v/>
      </c>
      <c r="M72" s="146"/>
    </row>
    <row r="73" spans="2:13" x14ac:dyDescent="0.25">
      <c r="B73" s="134" t="s">
        <v>311</v>
      </c>
      <c r="C73" s="142" t="s">
        <v>312</v>
      </c>
      <c r="D73" s="143">
        <v>411.30500000000001</v>
      </c>
      <c r="E73" s="143">
        <v>229.92</v>
      </c>
      <c r="F73" s="143">
        <f t="shared" si="0"/>
        <v>94567.245599999995</v>
      </c>
      <c r="G73" s="144">
        <f t="shared" si="1"/>
        <v>3.2240330038064207E-3</v>
      </c>
      <c r="H73" s="145">
        <v>2.4356297842727904E-2</v>
      </c>
      <c r="I73" s="144">
        <f t="shared" si="2"/>
        <v>7.8525508095493885E-5</v>
      </c>
      <c r="J73" s="145">
        <v>0.16</v>
      </c>
      <c r="K73" s="144">
        <f t="shared" si="3"/>
        <v>5.1584528060902735E-4</v>
      </c>
      <c r="M73" s="146"/>
    </row>
    <row r="74" spans="2:13" x14ac:dyDescent="0.25">
      <c r="B74" s="134" t="s">
        <v>313</v>
      </c>
      <c r="C74" s="142" t="s">
        <v>314</v>
      </c>
      <c r="D74" s="143">
        <v>144.98699999999999</v>
      </c>
      <c r="E74" s="143">
        <v>241.43</v>
      </c>
      <c r="F74" s="143">
        <f t="shared" si="0"/>
        <v>35004.211409999996</v>
      </c>
      <c r="G74" s="144">
        <f t="shared" si="1"/>
        <v>1.1933807751513625E-3</v>
      </c>
      <c r="H74" s="145">
        <v>5.6331027627055464E-3</v>
      </c>
      <c r="I74" s="144">
        <f t="shared" si="2"/>
        <v>6.7224365414648268E-6</v>
      </c>
      <c r="J74" s="145">
        <v>0.1215</v>
      </c>
      <c r="K74" s="144">
        <f t="shared" si="3"/>
        <v>1.4499576418089055E-4</v>
      </c>
      <c r="M74" s="146"/>
    </row>
    <row r="75" spans="2:13" x14ac:dyDescent="0.25">
      <c r="B75" s="134" t="s">
        <v>315</v>
      </c>
      <c r="C75" s="142" t="s">
        <v>316</v>
      </c>
      <c r="D75" s="143">
        <v>17.634</v>
      </c>
      <c r="E75" s="143">
        <v>2609.9299999999998</v>
      </c>
      <c r="F75" s="143">
        <f t="shared" si="0"/>
        <v>46023.505619999996</v>
      </c>
      <c r="G75" s="144">
        <f t="shared" si="1"/>
        <v>1.5690559678281492E-3</v>
      </c>
      <c r="H75" s="145" t="s">
        <v>210</v>
      </c>
      <c r="I75" s="144" t="str">
        <f t="shared" si="2"/>
        <v/>
      </c>
      <c r="J75" s="145">
        <v>0.13720000000000002</v>
      </c>
      <c r="K75" s="144">
        <f t="shared" si="3"/>
        <v>2.1527447878602209E-4</v>
      </c>
      <c r="M75" s="146"/>
    </row>
    <row r="76" spans="2:13" x14ac:dyDescent="0.25">
      <c r="B76" s="134" t="s">
        <v>317</v>
      </c>
      <c r="C76" s="142" t="s">
        <v>318</v>
      </c>
      <c r="D76" s="143">
        <v>484.89</v>
      </c>
      <c r="E76" s="143">
        <v>412.49520000000001</v>
      </c>
      <c r="F76" s="143">
        <f t="shared" si="0"/>
        <v>200014.797528</v>
      </c>
      <c r="G76" s="144">
        <f t="shared" si="1"/>
        <v>6.819002757123032E-3</v>
      </c>
      <c r="H76" s="145">
        <v>1.2363780233079075E-2</v>
      </c>
      <c r="I76" s="144">
        <f t="shared" si="2"/>
        <v>8.430865149782946E-5</v>
      </c>
      <c r="J76" s="145">
        <v>0.14000000000000001</v>
      </c>
      <c r="K76" s="144">
        <f t="shared" si="3"/>
        <v>9.5466038599722461E-4</v>
      </c>
      <c r="M76" s="146"/>
    </row>
    <row r="77" spans="2:13" x14ac:dyDescent="0.25">
      <c r="B77" s="134" t="s">
        <v>319</v>
      </c>
      <c r="C77" s="142" t="s">
        <v>320</v>
      </c>
      <c r="D77" s="143">
        <v>80.531000000000006</v>
      </c>
      <c r="E77" s="143">
        <v>194.5</v>
      </c>
      <c r="F77" s="143">
        <f t="shared" si="0"/>
        <v>15663.279500000001</v>
      </c>
      <c r="G77" s="144">
        <f t="shared" si="1"/>
        <v>5.3400022106432729E-4</v>
      </c>
      <c r="H77" s="145">
        <v>1.6658097686375321E-2</v>
      </c>
      <c r="I77" s="144">
        <f t="shared" si="2"/>
        <v>8.8954278470355799E-6</v>
      </c>
      <c r="J77" s="145">
        <v>7.0000000000000007E-2</v>
      </c>
      <c r="K77" s="144">
        <f t="shared" si="3"/>
        <v>3.7380015474502916E-5</v>
      </c>
      <c r="M77" s="146"/>
    </row>
    <row r="78" spans="2:13" x14ac:dyDescent="0.25">
      <c r="B78" s="134" t="s">
        <v>321</v>
      </c>
      <c r="C78" s="142" t="s">
        <v>322</v>
      </c>
      <c r="D78" s="143">
        <v>136.55099999999999</v>
      </c>
      <c r="E78" s="143">
        <v>101.02</v>
      </c>
      <c r="F78" s="143">
        <f t="shared" si="0"/>
        <v>13794.382019999999</v>
      </c>
      <c r="G78" s="144" t="str">
        <f t="shared" si="1"/>
        <v/>
      </c>
      <c r="H78" s="145" t="s">
        <v>210</v>
      </c>
      <c r="I78" s="144" t="str">
        <f t="shared" si="2"/>
        <v/>
      </c>
      <c r="J78" s="145">
        <v>0.28584999999999999</v>
      </c>
      <c r="K78" s="144" t="str">
        <f t="shared" si="3"/>
        <v/>
      </c>
      <c r="M78" s="146"/>
    </row>
    <row r="79" spans="2:13" x14ac:dyDescent="0.25">
      <c r="B79" s="134" t="s">
        <v>323</v>
      </c>
      <c r="C79" s="142" t="s">
        <v>324</v>
      </c>
      <c r="D79" s="143">
        <v>79.090999999999994</v>
      </c>
      <c r="E79" s="143">
        <v>520.85</v>
      </c>
      <c r="F79" s="143">
        <f t="shared" si="0"/>
        <v>41194.547350000001</v>
      </c>
      <c r="G79" s="144">
        <f t="shared" si="1"/>
        <v>1.4044247497176374E-3</v>
      </c>
      <c r="H79" s="145">
        <v>1.0598060862052413E-2</v>
      </c>
      <c r="I79" s="144">
        <f t="shared" si="2"/>
        <v>1.4884178973680248E-5</v>
      </c>
      <c r="J79" s="145">
        <v>0.14474999999999999</v>
      </c>
      <c r="K79" s="144">
        <f t="shared" si="3"/>
        <v>2.03290482521628E-4</v>
      </c>
      <c r="M79" s="146"/>
    </row>
    <row r="80" spans="2:13" x14ac:dyDescent="0.25">
      <c r="B80" s="134" t="s">
        <v>325</v>
      </c>
      <c r="C80" s="142" t="s">
        <v>326</v>
      </c>
      <c r="D80" s="143">
        <v>315.30099999999999</v>
      </c>
      <c r="E80" s="143">
        <v>55.29</v>
      </c>
      <c r="F80" s="143">
        <f t="shared" si="0"/>
        <v>17432.992289999998</v>
      </c>
      <c r="G80" s="144">
        <f t="shared" si="1"/>
        <v>5.9433413907175137E-4</v>
      </c>
      <c r="H80" s="145">
        <v>1.4469162597214686E-2</v>
      </c>
      <c r="I80" s="144">
        <f t="shared" si="2"/>
        <v>8.599517295304777E-6</v>
      </c>
      <c r="J80" s="145">
        <v>0.10300000000000001</v>
      </c>
      <c r="K80" s="144">
        <f t="shared" si="3"/>
        <v>6.1216416324390399E-5</v>
      </c>
      <c r="M80" s="146"/>
    </row>
    <row r="81" spans="2:13" x14ac:dyDescent="0.25">
      <c r="B81" s="134" t="s">
        <v>327</v>
      </c>
      <c r="C81" s="142" t="s">
        <v>328</v>
      </c>
      <c r="D81" s="143">
        <v>74.933999999999997</v>
      </c>
      <c r="E81" s="143">
        <v>229.87</v>
      </c>
      <c r="F81" s="143">
        <f t="shared" si="0"/>
        <v>17225.078580000001</v>
      </c>
      <c r="G81" s="144" t="str">
        <f t="shared" si="1"/>
        <v/>
      </c>
      <c r="H81" s="145" t="s">
        <v>210</v>
      </c>
      <c r="I81" s="144" t="str">
        <f t="shared" si="2"/>
        <v/>
      </c>
      <c r="J81" s="145" t="s">
        <v>210</v>
      </c>
      <c r="K81" s="144" t="str">
        <f t="shared" si="3"/>
        <v/>
      </c>
      <c r="M81" s="146"/>
    </row>
    <row r="82" spans="2:13" x14ac:dyDescent="0.25">
      <c r="B82" s="134" t="s">
        <v>329</v>
      </c>
      <c r="C82" s="142" t="s">
        <v>330</v>
      </c>
      <c r="D82" s="143">
        <v>156.12700000000001</v>
      </c>
      <c r="E82" s="143">
        <v>68.900000000000006</v>
      </c>
      <c r="F82" s="143">
        <f t="shared" si="0"/>
        <v>10757.150300000001</v>
      </c>
      <c r="G82" s="144" t="str">
        <f t="shared" si="1"/>
        <v/>
      </c>
      <c r="H82" s="145" t="s">
        <v>210</v>
      </c>
      <c r="I82" s="144" t="str">
        <f t="shared" si="2"/>
        <v/>
      </c>
      <c r="J82" s="145" t="s">
        <v>210</v>
      </c>
      <c r="K82" s="144" t="str">
        <f t="shared" si="3"/>
        <v/>
      </c>
      <c r="M82" s="146"/>
    </row>
    <row r="83" spans="2:13" x14ac:dyDescent="0.25">
      <c r="B83" s="134" t="s">
        <v>331</v>
      </c>
      <c r="C83" s="142" t="s">
        <v>332</v>
      </c>
      <c r="D83" s="143">
        <v>839.04700000000003</v>
      </c>
      <c r="E83" s="143">
        <v>51.96</v>
      </c>
      <c r="F83" s="143">
        <f t="shared" si="0"/>
        <v>43596.882120000002</v>
      </c>
      <c r="G83" s="144">
        <f t="shared" si="1"/>
        <v>1.4863263271140262E-3</v>
      </c>
      <c r="H83" s="145">
        <v>1.424172440338722E-2</v>
      </c>
      <c r="I83" s="144">
        <f t="shared" si="2"/>
        <v>2.1167849924256722E-5</v>
      </c>
      <c r="J83" s="145">
        <v>0.10795</v>
      </c>
      <c r="K83" s="144">
        <f t="shared" si="3"/>
        <v>1.6044892701195913E-4</v>
      </c>
      <c r="M83" s="146"/>
    </row>
    <row r="84" spans="2:13" x14ac:dyDescent="0.25">
      <c r="B84" s="134" t="s">
        <v>333</v>
      </c>
      <c r="C84" s="142" t="s">
        <v>334</v>
      </c>
      <c r="D84" s="143">
        <v>769.07299999999998</v>
      </c>
      <c r="E84" s="143">
        <v>48.32</v>
      </c>
      <c r="F84" s="143">
        <f t="shared" si="0"/>
        <v>37161.607360000002</v>
      </c>
      <c r="G84" s="144">
        <f t="shared" si="1"/>
        <v>1.266931777942527E-3</v>
      </c>
      <c r="H84" s="145">
        <v>3.4768211920529798E-2</v>
      </c>
      <c r="I84" s="144">
        <f t="shared" si="2"/>
        <v>4.4048952544359378E-5</v>
      </c>
      <c r="J84" s="145">
        <v>0.1</v>
      </c>
      <c r="K84" s="144">
        <f t="shared" si="3"/>
        <v>1.266931777942527E-4</v>
      </c>
      <c r="M84" s="146"/>
    </row>
    <row r="85" spans="2:13" x14ac:dyDescent="0.25">
      <c r="B85" s="134" t="s">
        <v>335</v>
      </c>
      <c r="C85" s="142" t="s">
        <v>336</v>
      </c>
      <c r="D85" s="143">
        <v>409.25900000000001</v>
      </c>
      <c r="E85" s="143">
        <v>85.79</v>
      </c>
      <c r="F85" s="143">
        <f t="shared" ref="F85:F148" si="4">IFERROR(D85*E85,"")</f>
        <v>35110.329610000001</v>
      </c>
      <c r="G85" s="144">
        <f t="shared" ref="G85:G148" si="5">IF(AND(ISNUMBER($J85)), IF(AND($J85&lt;=20%,$J85&gt;0%), $F85/SUMIFS($F$20:$F$521,$J$20:$J$521, "&gt;"&amp;0%,$J$20:$J$521, "&lt;="&amp;20%),""),"")</f>
        <v>1.1969986089682813E-3</v>
      </c>
      <c r="H85" s="145">
        <v>1.5852663480592142E-2</v>
      </c>
      <c r="I85" s="144">
        <f t="shared" ref="I85:I148" si="6">IFERROR($H85*$G85,"")</f>
        <v>1.8975616134711065E-5</v>
      </c>
      <c r="J85" s="145">
        <v>0.09</v>
      </c>
      <c r="K85" s="144">
        <f t="shared" ref="K85:K148" si="7">IFERROR($J85*$G85,"")</f>
        <v>1.0772987480714531E-4</v>
      </c>
      <c r="M85" s="146"/>
    </row>
    <row r="86" spans="2:13" x14ac:dyDescent="0.25">
      <c r="B86" s="134" t="s">
        <v>337</v>
      </c>
      <c r="C86" s="142" t="s">
        <v>338</v>
      </c>
      <c r="D86" s="143">
        <v>507.32400000000001</v>
      </c>
      <c r="E86" s="143">
        <v>36.08</v>
      </c>
      <c r="F86" s="143">
        <f t="shared" si="4"/>
        <v>18304.249919999998</v>
      </c>
      <c r="G86" s="144" t="str">
        <f t="shared" si="5"/>
        <v/>
      </c>
      <c r="H86" s="145">
        <v>3.2150776053215077E-2</v>
      </c>
      <c r="I86" s="144" t="str">
        <f t="shared" si="6"/>
        <v/>
      </c>
      <c r="J86" s="145">
        <v>-1.1699999999999999E-2</v>
      </c>
      <c r="K86" s="144" t="str">
        <f t="shared" si="7"/>
        <v/>
      </c>
      <c r="M86" s="146"/>
    </row>
    <row r="87" spans="2:13" x14ac:dyDescent="0.25">
      <c r="B87" s="134" t="s">
        <v>339</v>
      </c>
      <c r="C87" s="142" t="s">
        <v>340</v>
      </c>
      <c r="D87" s="143">
        <v>290.40499999999997</v>
      </c>
      <c r="E87" s="143">
        <v>236.18</v>
      </c>
      <c r="F87" s="143">
        <f t="shared" si="4"/>
        <v>68587.852899999998</v>
      </c>
      <c r="G87" s="144" t="str">
        <f t="shared" si="5"/>
        <v/>
      </c>
      <c r="H87" s="145">
        <v>1.6089423321195697E-2</v>
      </c>
      <c r="I87" s="144" t="str">
        <f t="shared" si="6"/>
        <v/>
      </c>
      <c r="J87" s="145">
        <v>-2.0199999999999999E-2</v>
      </c>
      <c r="K87" s="144" t="str">
        <f t="shared" si="7"/>
        <v/>
      </c>
      <c r="M87" s="146"/>
    </row>
    <row r="88" spans="2:13" x14ac:dyDescent="0.25">
      <c r="B88" s="134" t="s">
        <v>341</v>
      </c>
      <c r="C88" s="142" t="s">
        <v>342</v>
      </c>
      <c r="D88" s="143">
        <v>1308.414</v>
      </c>
      <c r="E88" s="143">
        <v>360</v>
      </c>
      <c r="F88" s="143">
        <f t="shared" si="4"/>
        <v>471029.04</v>
      </c>
      <c r="G88" s="144" t="str">
        <f t="shared" si="5"/>
        <v/>
      </c>
      <c r="H88" s="145" t="s">
        <v>210</v>
      </c>
      <c r="I88" s="144" t="str">
        <f t="shared" si="6"/>
        <v/>
      </c>
      <c r="J88" s="145" t="s">
        <v>210</v>
      </c>
      <c r="K88" s="144" t="str">
        <f t="shared" si="7"/>
        <v/>
      </c>
      <c r="M88" s="146"/>
    </row>
    <row r="89" spans="2:13" x14ac:dyDescent="0.25">
      <c r="B89" s="134" t="s">
        <v>343</v>
      </c>
      <c r="C89" s="142" t="s">
        <v>344</v>
      </c>
      <c r="D89" s="143">
        <v>217.63800000000001</v>
      </c>
      <c r="E89" s="143">
        <v>70.94</v>
      </c>
      <c r="F89" s="143">
        <f t="shared" si="4"/>
        <v>15439.23972</v>
      </c>
      <c r="G89" s="144">
        <f t="shared" si="5"/>
        <v>5.2636214679979015E-4</v>
      </c>
      <c r="H89" s="145">
        <v>5.1874823794756136E-2</v>
      </c>
      <c r="I89" s="144">
        <f t="shared" si="6"/>
        <v>2.7304943617468676E-5</v>
      </c>
      <c r="J89" s="145">
        <v>2.9249999999999998E-2</v>
      </c>
      <c r="K89" s="144">
        <f t="shared" si="7"/>
        <v>1.5396092793893862E-5</v>
      </c>
      <c r="M89" s="146"/>
    </row>
    <row r="90" spans="2:13" x14ac:dyDescent="0.25">
      <c r="B90" s="134" t="s">
        <v>345</v>
      </c>
      <c r="C90" s="142" t="s">
        <v>346</v>
      </c>
      <c r="D90" s="143">
        <v>1464.9829999999999</v>
      </c>
      <c r="E90" s="143">
        <v>55.89</v>
      </c>
      <c r="F90" s="143">
        <f t="shared" si="4"/>
        <v>81877.899869999994</v>
      </c>
      <c r="G90" s="144">
        <f t="shared" si="5"/>
        <v>2.7914215941088746E-3</v>
      </c>
      <c r="H90" s="145" t="s">
        <v>210</v>
      </c>
      <c r="I90" s="144" t="str">
        <f t="shared" si="6"/>
        <v/>
      </c>
      <c r="J90" s="145">
        <v>0.12095</v>
      </c>
      <c r="K90" s="144">
        <f t="shared" si="7"/>
        <v>3.3762244180746836E-4</v>
      </c>
      <c r="M90" s="146"/>
    </row>
    <row r="91" spans="2:13" x14ac:dyDescent="0.25">
      <c r="B91" s="134" t="s">
        <v>347</v>
      </c>
      <c r="C91" s="142" t="s">
        <v>348</v>
      </c>
      <c r="D91" s="143">
        <v>2034.758</v>
      </c>
      <c r="E91" s="143">
        <v>49.38</v>
      </c>
      <c r="F91" s="143">
        <f t="shared" si="4"/>
        <v>100476.35004</v>
      </c>
      <c r="G91" s="144">
        <f t="shared" si="5"/>
        <v>3.4254890958880443E-3</v>
      </c>
      <c r="H91" s="145">
        <v>4.6172539489671927E-2</v>
      </c>
      <c r="I91" s="144">
        <f t="shared" si="6"/>
        <v>1.5816353055133131E-4</v>
      </c>
      <c r="J91" s="145">
        <v>9.9229999999999999E-2</v>
      </c>
      <c r="K91" s="144">
        <f t="shared" si="7"/>
        <v>3.3991128298497061E-4</v>
      </c>
      <c r="M91" s="146"/>
    </row>
    <row r="92" spans="2:13" x14ac:dyDescent="0.25">
      <c r="B92" s="134" t="s">
        <v>349</v>
      </c>
      <c r="C92" s="142" t="s">
        <v>350</v>
      </c>
      <c r="D92" s="143">
        <v>310.13600000000002</v>
      </c>
      <c r="E92" s="143">
        <v>58.74</v>
      </c>
      <c r="F92" s="143">
        <f t="shared" si="4"/>
        <v>18217.388640000001</v>
      </c>
      <c r="G92" s="144">
        <f t="shared" si="5"/>
        <v>6.2107616485901091E-4</v>
      </c>
      <c r="H92" s="145">
        <v>1.4831460674157302E-2</v>
      </c>
      <c r="I92" s="144">
        <f t="shared" si="6"/>
        <v>9.2114667147628573E-6</v>
      </c>
      <c r="J92" s="145">
        <v>6.4199999999999993E-2</v>
      </c>
      <c r="K92" s="144">
        <f t="shared" si="7"/>
        <v>3.9873089783948494E-5</v>
      </c>
      <c r="M92" s="146"/>
    </row>
    <row r="93" spans="2:13" x14ac:dyDescent="0.25">
      <c r="B93" s="134" t="s">
        <v>351</v>
      </c>
      <c r="C93" s="142" t="s">
        <v>352</v>
      </c>
      <c r="D93" s="143">
        <v>752.19200000000001</v>
      </c>
      <c r="E93" s="143">
        <v>26.25</v>
      </c>
      <c r="F93" s="143">
        <f t="shared" si="4"/>
        <v>19745.04</v>
      </c>
      <c r="G93" s="144" t="str">
        <f t="shared" si="5"/>
        <v/>
      </c>
      <c r="H93" s="145">
        <v>3.0476190476190476E-2</v>
      </c>
      <c r="I93" s="144" t="str">
        <f t="shared" si="6"/>
        <v/>
      </c>
      <c r="J93" s="145">
        <v>0.5504</v>
      </c>
      <c r="K93" s="144" t="str">
        <f t="shared" si="7"/>
        <v/>
      </c>
      <c r="M93" s="146"/>
    </row>
    <row r="94" spans="2:13" x14ac:dyDescent="0.25">
      <c r="B94" s="134" t="s">
        <v>353</v>
      </c>
      <c r="C94" s="142" t="s">
        <v>354</v>
      </c>
      <c r="D94" s="143">
        <v>297.62200000000001</v>
      </c>
      <c r="E94" s="143">
        <v>40.18</v>
      </c>
      <c r="F94" s="143">
        <f t="shared" si="4"/>
        <v>11958.45196</v>
      </c>
      <c r="G94" s="144">
        <f t="shared" si="5"/>
        <v>4.0769342015681574E-4</v>
      </c>
      <c r="H94" s="145">
        <v>3.6834245893479341E-2</v>
      </c>
      <c r="I94" s="144">
        <f t="shared" si="6"/>
        <v>1.5017079687209738E-5</v>
      </c>
      <c r="J94" s="145">
        <v>2.81E-2</v>
      </c>
      <c r="K94" s="144">
        <f t="shared" si="7"/>
        <v>1.1456185106406523E-5</v>
      </c>
      <c r="M94" s="146"/>
    </row>
    <row r="95" spans="2:13" x14ac:dyDescent="0.25">
      <c r="B95" s="134" t="s">
        <v>355</v>
      </c>
      <c r="C95" s="142" t="s">
        <v>356</v>
      </c>
      <c r="D95" s="143">
        <v>256.44</v>
      </c>
      <c r="E95" s="143">
        <v>167.52</v>
      </c>
      <c r="F95" s="143">
        <f t="shared" si="4"/>
        <v>42958.828800000003</v>
      </c>
      <c r="G95" s="144">
        <f t="shared" si="5"/>
        <v>1.4645734998130241E-3</v>
      </c>
      <c r="H95" s="145">
        <v>3.5816618911174783E-3</v>
      </c>
      <c r="I95" s="144">
        <f t="shared" si="6"/>
        <v>5.2456070910208597E-6</v>
      </c>
      <c r="J95" s="145">
        <v>0.1709</v>
      </c>
      <c r="K95" s="144">
        <f t="shared" si="7"/>
        <v>2.502956111180458E-4</v>
      </c>
      <c r="M95" s="146"/>
    </row>
    <row r="96" spans="2:13" x14ac:dyDescent="0.25">
      <c r="B96" s="134" t="s">
        <v>357</v>
      </c>
      <c r="C96" s="142" t="s">
        <v>358</v>
      </c>
      <c r="D96" s="143">
        <v>1119.4449999999999</v>
      </c>
      <c r="E96" s="143">
        <v>15.06</v>
      </c>
      <c r="F96" s="143">
        <f t="shared" si="4"/>
        <v>16858.841700000001</v>
      </c>
      <c r="G96" s="144" t="str">
        <f t="shared" si="5"/>
        <v/>
      </c>
      <c r="H96" s="145" t="s">
        <v>210</v>
      </c>
      <c r="I96" s="144" t="str">
        <f t="shared" si="6"/>
        <v/>
      </c>
      <c r="J96" s="145" t="s">
        <v>210</v>
      </c>
      <c r="K96" s="144" t="str">
        <f t="shared" si="7"/>
        <v/>
      </c>
      <c r="M96" s="146"/>
    </row>
    <row r="97" spans="2:13" x14ac:dyDescent="0.25">
      <c r="B97" s="134" t="s">
        <v>359</v>
      </c>
      <c r="C97" s="142" t="s">
        <v>360</v>
      </c>
      <c r="D97" s="143">
        <v>97.346000000000004</v>
      </c>
      <c r="E97" s="143">
        <v>96.5</v>
      </c>
      <c r="F97" s="143">
        <f t="shared" si="4"/>
        <v>9393.889000000001</v>
      </c>
      <c r="G97" s="144">
        <f t="shared" si="5"/>
        <v>3.2026107959407565E-4</v>
      </c>
      <c r="H97" s="145" t="s">
        <v>210</v>
      </c>
      <c r="I97" s="144" t="str">
        <f t="shared" si="6"/>
        <v/>
      </c>
      <c r="J97" s="145">
        <v>0.10039999999999999</v>
      </c>
      <c r="K97" s="144">
        <f t="shared" si="7"/>
        <v>3.2154212391245193E-5</v>
      </c>
      <c r="M97" s="146"/>
    </row>
    <row r="98" spans="2:13" x14ac:dyDescent="0.25">
      <c r="B98" s="134" t="s">
        <v>361</v>
      </c>
      <c r="C98" s="142" t="s">
        <v>362</v>
      </c>
      <c r="D98" s="143">
        <v>328.928</v>
      </c>
      <c r="E98" s="143">
        <v>33.4</v>
      </c>
      <c r="F98" s="143">
        <f t="shared" si="4"/>
        <v>10986.1952</v>
      </c>
      <c r="G98" s="144">
        <f t="shared" si="5"/>
        <v>3.7454676496424978E-4</v>
      </c>
      <c r="H98" s="145">
        <v>5.0299401197604787E-2</v>
      </c>
      <c r="I98" s="144">
        <f t="shared" si="6"/>
        <v>1.8839477998201784E-5</v>
      </c>
      <c r="J98" s="145">
        <v>6.08E-2</v>
      </c>
      <c r="K98" s="144">
        <f t="shared" si="7"/>
        <v>2.2772443309826387E-5</v>
      </c>
      <c r="M98" s="146"/>
    </row>
    <row r="99" spans="2:13" x14ac:dyDescent="0.25">
      <c r="B99" s="134" t="s">
        <v>363</v>
      </c>
      <c r="C99" s="142" t="s">
        <v>76</v>
      </c>
      <c r="D99" s="143">
        <v>124.059</v>
      </c>
      <c r="E99" s="143">
        <v>143.35</v>
      </c>
      <c r="F99" s="143">
        <f t="shared" si="4"/>
        <v>17783.857649999998</v>
      </c>
      <c r="G99" s="144">
        <f t="shared" si="5"/>
        <v>6.0629601332700008E-4</v>
      </c>
      <c r="H99" s="145">
        <v>3.3484478549005929E-2</v>
      </c>
      <c r="I99" s="144">
        <f t="shared" si="6"/>
        <v>2.0301505852595747E-5</v>
      </c>
      <c r="J99" s="145">
        <v>0.1153</v>
      </c>
      <c r="K99" s="144">
        <f t="shared" si="7"/>
        <v>6.9905930336603114E-5</v>
      </c>
      <c r="M99" s="146"/>
    </row>
    <row r="100" spans="2:13" x14ac:dyDescent="0.25">
      <c r="B100" s="134" t="s">
        <v>364</v>
      </c>
      <c r="C100" s="142" t="s">
        <v>365</v>
      </c>
      <c r="D100" s="143">
        <v>60.228000000000002</v>
      </c>
      <c r="E100" s="143">
        <v>181.66</v>
      </c>
      <c r="F100" s="143">
        <f t="shared" si="4"/>
        <v>10941.018480000001</v>
      </c>
      <c r="G100" s="144">
        <f t="shared" si="5"/>
        <v>3.7300657802785751E-4</v>
      </c>
      <c r="H100" s="145">
        <v>8.2571837498623801E-3</v>
      </c>
      <c r="I100" s="144">
        <f t="shared" si="6"/>
        <v>3.0799838546833991E-6</v>
      </c>
      <c r="J100" s="145">
        <v>0.15190000000000001</v>
      </c>
      <c r="K100" s="144">
        <f t="shared" si="7"/>
        <v>5.6659699202431557E-5</v>
      </c>
      <c r="M100" s="146"/>
    </row>
    <row r="101" spans="2:13" x14ac:dyDescent="0.25">
      <c r="B101" s="134" t="s">
        <v>366</v>
      </c>
      <c r="C101" s="142" t="s">
        <v>367</v>
      </c>
      <c r="D101" s="143">
        <v>291.76400000000001</v>
      </c>
      <c r="E101" s="143">
        <v>56.76</v>
      </c>
      <c r="F101" s="143">
        <f t="shared" si="4"/>
        <v>16560.52464</v>
      </c>
      <c r="G101" s="144">
        <f t="shared" si="5"/>
        <v>5.6458954324994579E-4</v>
      </c>
      <c r="H101" s="145">
        <v>3.4355179704016914E-2</v>
      </c>
      <c r="I101" s="144">
        <f t="shared" si="6"/>
        <v>1.9396575217360718E-5</v>
      </c>
      <c r="J101" s="145">
        <v>7.7499999999999999E-2</v>
      </c>
      <c r="K101" s="144">
        <f t="shared" si="7"/>
        <v>4.3755689601870796E-5</v>
      </c>
      <c r="M101" s="146"/>
    </row>
    <row r="102" spans="2:13" x14ac:dyDescent="0.25">
      <c r="B102" s="134" t="s">
        <v>368</v>
      </c>
      <c r="C102" s="142" t="s">
        <v>369</v>
      </c>
      <c r="D102" s="143">
        <v>823.37199999999996</v>
      </c>
      <c r="E102" s="143">
        <v>78.77</v>
      </c>
      <c r="F102" s="143">
        <f t="shared" si="4"/>
        <v>64857.012439999991</v>
      </c>
      <c r="G102" s="144">
        <f t="shared" si="5"/>
        <v>2.2111371364171737E-3</v>
      </c>
      <c r="H102" s="145">
        <v>2.4374761965215184E-2</v>
      </c>
      <c r="I102" s="144">
        <f t="shared" si="6"/>
        <v>5.3895941372616142E-5</v>
      </c>
      <c r="J102" s="145">
        <v>7.2099999999999997E-2</v>
      </c>
      <c r="K102" s="144">
        <f t="shared" si="7"/>
        <v>1.5942298753567822E-4</v>
      </c>
      <c r="M102" s="146"/>
    </row>
    <row r="103" spans="2:13" x14ac:dyDescent="0.25">
      <c r="B103" s="134" t="s">
        <v>370</v>
      </c>
      <c r="C103" s="142" t="s">
        <v>371</v>
      </c>
      <c r="D103" s="143">
        <v>57.7</v>
      </c>
      <c r="E103" s="143">
        <v>258.19</v>
      </c>
      <c r="F103" s="143">
        <f t="shared" si="4"/>
        <v>14897.563</v>
      </c>
      <c r="G103" s="144">
        <f t="shared" si="5"/>
        <v>5.0789503790184829E-4</v>
      </c>
      <c r="H103" s="145" t="s">
        <v>210</v>
      </c>
      <c r="I103" s="144" t="str">
        <f t="shared" si="6"/>
        <v/>
      </c>
      <c r="J103" s="145">
        <v>4.87E-2</v>
      </c>
      <c r="K103" s="144">
        <f t="shared" si="7"/>
        <v>2.4734488345820011E-5</v>
      </c>
      <c r="M103" s="146"/>
    </row>
    <row r="104" spans="2:13" x14ac:dyDescent="0.25">
      <c r="B104" s="134" t="s">
        <v>372</v>
      </c>
      <c r="C104" s="142" t="s">
        <v>373</v>
      </c>
      <c r="D104" s="143">
        <v>131.87299999999999</v>
      </c>
      <c r="E104" s="143">
        <v>45.22</v>
      </c>
      <c r="F104" s="143">
        <f t="shared" si="4"/>
        <v>5963.297059999999</v>
      </c>
      <c r="G104" s="144">
        <f t="shared" si="5"/>
        <v>2.0330365351089167E-4</v>
      </c>
      <c r="H104" s="145">
        <v>6.2804068996019452E-2</v>
      </c>
      <c r="I104" s="144">
        <f t="shared" si="6"/>
        <v>1.2768296682240873E-5</v>
      </c>
      <c r="J104" s="145">
        <v>0.10630000000000001</v>
      </c>
      <c r="K104" s="144">
        <f t="shared" si="7"/>
        <v>2.1611178368207784E-5</v>
      </c>
      <c r="M104" s="146"/>
    </row>
    <row r="105" spans="2:13" x14ac:dyDescent="0.25">
      <c r="B105" s="134" t="s">
        <v>374</v>
      </c>
      <c r="C105" s="142" t="s">
        <v>375</v>
      </c>
      <c r="D105" s="143">
        <v>477.96800000000002</v>
      </c>
      <c r="E105" s="143">
        <v>28.29</v>
      </c>
      <c r="F105" s="143">
        <f t="shared" si="4"/>
        <v>13521.71472</v>
      </c>
      <c r="G105" s="144">
        <f t="shared" si="5"/>
        <v>4.6098894229964859E-4</v>
      </c>
      <c r="H105" s="145">
        <v>4.9487451396253095E-2</v>
      </c>
      <c r="I105" s="144">
        <f t="shared" si="6"/>
        <v>2.2813167876263983E-5</v>
      </c>
      <c r="J105" s="145">
        <v>8.3999999999999995E-3</v>
      </c>
      <c r="K105" s="144">
        <f t="shared" si="7"/>
        <v>3.8723071153170477E-6</v>
      </c>
      <c r="M105" s="146"/>
    </row>
    <row r="106" spans="2:13" x14ac:dyDescent="0.25">
      <c r="B106" s="134" t="s">
        <v>376</v>
      </c>
      <c r="C106" s="142" t="s">
        <v>377</v>
      </c>
      <c r="D106" s="143">
        <v>434.745</v>
      </c>
      <c r="E106" s="143">
        <v>126.34</v>
      </c>
      <c r="F106" s="143">
        <f t="shared" si="4"/>
        <v>54925.683300000004</v>
      </c>
      <c r="G106" s="144">
        <f t="shared" si="5"/>
        <v>1.872553383492214E-3</v>
      </c>
      <c r="H106" s="145" t="s">
        <v>210</v>
      </c>
      <c r="I106" s="144" t="str">
        <f t="shared" si="6"/>
        <v/>
      </c>
      <c r="J106" s="145">
        <v>0.182</v>
      </c>
      <c r="K106" s="144">
        <f t="shared" si="7"/>
        <v>3.4080471579558296E-4</v>
      </c>
      <c r="M106" s="146"/>
    </row>
    <row r="107" spans="2:13" x14ac:dyDescent="0.25">
      <c r="B107" s="134" t="s">
        <v>378</v>
      </c>
      <c r="C107" s="142" t="s">
        <v>379</v>
      </c>
      <c r="D107" s="143">
        <v>344.92399999999998</v>
      </c>
      <c r="E107" s="143">
        <v>90.11</v>
      </c>
      <c r="F107" s="143">
        <f t="shared" si="4"/>
        <v>31081.101639999997</v>
      </c>
      <c r="G107" s="144">
        <f t="shared" si="5"/>
        <v>1.0596321892029587E-3</v>
      </c>
      <c r="H107" s="145">
        <v>3.5956053712129621E-2</v>
      </c>
      <c r="I107" s="144">
        <f t="shared" si="6"/>
        <v>3.8100191910083078E-5</v>
      </c>
      <c r="J107" s="145">
        <v>4.8829999999999998E-2</v>
      </c>
      <c r="K107" s="144">
        <f t="shared" si="7"/>
        <v>5.1741839798780468E-5</v>
      </c>
      <c r="M107" s="146"/>
    </row>
    <row r="108" spans="2:13" x14ac:dyDescent="0.25">
      <c r="B108" s="134" t="s">
        <v>380</v>
      </c>
      <c r="C108" s="142" t="s">
        <v>381</v>
      </c>
      <c r="D108" s="143">
        <v>853.17499999999995</v>
      </c>
      <c r="E108" s="143">
        <v>28.49</v>
      </c>
      <c r="F108" s="143">
        <f t="shared" si="4"/>
        <v>24306.955749999997</v>
      </c>
      <c r="G108" s="144">
        <f t="shared" si="5"/>
        <v>8.2868467895888726E-4</v>
      </c>
      <c r="H108" s="145">
        <v>3.9312039312039318E-2</v>
      </c>
      <c r="I108" s="144">
        <f t="shared" si="6"/>
        <v>3.257728467651646E-5</v>
      </c>
      <c r="J108" s="145">
        <v>1.5700000000000002E-2</v>
      </c>
      <c r="K108" s="144">
        <f t="shared" si="7"/>
        <v>1.3010349459654532E-5</v>
      </c>
      <c r="M108" s="146"/>
    </row>
    <row r="109" spans="2:13" x14ac:dyDescent="0.25">
      <c r="B109" s="134" t="s">
        <v>382</v>
      </c>
      <c r="C109" s="142" t="s">
        <v>383</v>
      </c>
      <c r="D109" s="143">
        <v>141.745</v>
      </c>
      <c r="E109" s="143">
        <v>224.16</v>
      </c>
      <c r="F109" s="143">
        <f t="shared" si="4"/>
        <v>31773.5592</v>
      </c>
      <c r="G109" s="144">
        <f t="shared" si="5"/>
        <v>1.0832397925862518E-3</v>
      </c>
      <c r="H109" s="145">
        <v>2.9978586723768737E-2</v>
      </c>
      <c r="I109" s="144">
        <f t="shared" si="6"/>
        <v>3.2473998064684209E-5</v>
      </c>
      <c r="J109" s="145">
        <v>9.1499999999999998E-2</v>
      </c>
      <c r="K109" s="144">
        <f t="shared" si="7"/>
        <v>9.9116441021642035E-5</v>
      </c>
      <c r="M109" s="146"/>
    </row>
    <row r="110" spans="2:13" x14ac:dyDescent="0.25">
      <c r="B110" s="134" t="s">
        <v>384</v>
      </c>
      <c r="C110" s="142" t="s">
        <v>385</v>
      </c>
      <c r="D110" s="143">
        <v>215.71100000000001</v>
      </c>
      <c r="E110" s="143">
        <v>44.72</v>
      </c>
      <c r="F110" s="143">
        <f t="shared" si="4"/>
        <v>9646.5959199999998</v>
      </c>
      <c r="G110" s="144" t="str">
        <f t="shared" si="5"/>
        <v/>
      </c>
      <c r="H110" s="145" t="s">
        <v>210</v>
      </c>
      <c r="I110" s="144" t="str">
        <f t="shared" si="6"/>
        <v/>
      </c>
      <c r="J110" s="145">
        <v>1.1092</v>
      </c>
      <c r="K110" s="144" t="str">
        <f t="shared" si="7"/>
        <v/>
      </c>
      <c r="M110" s="146"/>
    </row>
    <row r="111" spans="2:13" x14ac:dyDescent="0.25">
      <c r="B111" s="134" t="s">
        <v>386</v>
      </c>
      <c r="C111" s="142" t="s">
        <v>387</v>
      </c>
      <c r="D111" s="143">
        <v>738.92700000000002</v>
      </c>
      <c r="E111" s="143">
        <v>223.31</v>
      </c>
      <c r="F111" s="143">
        <f t="shared" si="4"/>
        <v>165009.78836999999</v>
      </c>
      <c r="G111" s="144" t="str">
        <f t="shared" si="5"/>
        <v/>
      </c>
      <c r="H111" s="145">
        <v>4.8363261833325871E-3</v>
      </c>
      <c r="I111" s="144" t="str">
        <f t="shared" si="6"/>
        <v/>
      </c>
      <c r="J111" s="145">
        <v>-7.0300000000000001E-2</v>
      </c>
      <c r="K111" s="144" t="str">
        <f t="shared" si="7"/>
        <v/>
      </c>
      <c r="M111" s="146"/>
    </row>
    <row r="112" spans="2:13" x14ac:dyDescent="0.25">
      <c r="B112" s="134" t="s">
        <v>388</v>
      </c>
      <c r="C112" s="142" t="s">
        <v>389</v>
      </c>
      <c r="D112" s="143">
        <v>461.66199999999998</v>
      </c>
      <c r="E112" s="143">
        <v>133.81</v>
      </c>
      <c r="F112" s="143">
        <f t="shared" si="4"/>
        <v>61774.99222</v>
      </c>
      <c r="G112" s="144">
        <f t="shared" si="5"/>
        <v>2.1060633886873501E-3</v>
      </c>
      <c r="H112" s="145">
        <v>3.2882445258201928E-2</v>
      </c>
      <c r="I112" s="144">
        <f t="shared" si="6"/>
        <v>6.9252514088815036E-5</v>
      </c>
      <c r="J112" s="145">
        <v>1.4499999999999999E-3</v>
      </c>
      <c r="K112" s="144">
        <f t="shared" si="7"/>
        <v>3.0537919135966573E-6</v>
      </c>
      <c r="M112" s="146"/>
    </row>
    <row r="113" spans="2:13" x14ac:dyDescent="0.25">
      <c r="B113" s="134" t="s">
        <v>390</v>
      </c>
      <c r="C113" s="142" t="s">
        <v>391</v>
      </c>
      <c r="D113" s="143">
        <v>288.00099999999998</v>
      </c>
      <c r="E113" s="143">
        <v>364.41</v>
      </c>
      <c r="F113" s="143">
        <f t="shared" si="4"/>
        <v>104950.44441</v>
      </c>
      <c r="G113" s="144">
        <f t="shared" si="5"/>
        <v>3.5780221195528942E-3</v>
      </c>
      <c r="H113" s="145">
        <v>1.4818473697209187E-2</v>
      </c>
      <c r="I113" s="144">
        <f t="shared" si="6"/>
        <v>5.3020826666627225E-5</v>
      </c>
      <c r="J113" s="145">
        <v>3.9550000000000002E-2</v>
      </c>
      <c r="K113" s="144">
        <f t="shared" si="7"/>
        <v>1.4151077482831698E-4</v>
      </c>
      <c r="M113" s="146"/>
    </row>
    <row r="114" spans="2:13" x14ac:dyDescent="0.25">
      <c r="B114" s="134" t="s">
        <v>392</v>
      </c>
      <c r="C114" s="142" t="s">
        <v>65</v>
      </c>
      <c r="D114" s="143">
        <v>836.77300000000002</v>
      </c>
      <c r="E114" s="143">
        <v>45.34</v>
      </c>
      <c r="F114" s="143">
        <f t="shared" si="4"/>
        <v>37939.287820000005</v>
      </c>
      <c r="G114" s="144" t="str">
        <f t="shared" si="5"/>
        <v/>
      </c>
      <c r="H114" s="145">
        <v>5.8888398764887509E-2</v>
      </c>
      <c r="I114" s="144" t="str">
        <f t="shared" si="6"/>
        <v/>
      </c>
      <c r="J114" s="145">
        <v>-7.1999999999999998E-3</v>
      </c>
      <c r="K114" s="144" t="str">
        <f t="shared" si="7"/>
        <v/>
      </c>
      <c r="M114" s="146"/>
    </row>
    <row r="115" spans="2:13" x14ac:dyDescent="0.25">
      <c r="B115" s="134" t="s">
        <v>393</v>
      </c>
      <c r="C115" s="142" t="s">
        <v>394</v>
      </c>
      <c r="D115" s="143">
        <v>139.88999999999999</v>
      </c>
      <c r="E115" s="143">
        <v>141.16</v>
      </c>
      <c r="F115" s="143">
        <f t="shared" si="4"/>
        <v>19746.872399999997</v>
      </c>
      <c r="G115" s="144">
        <f t="shared" si="5"/>
        <v>6.7322007673610508E-4</v>
      </c>
      <c r="H115" s="145">
        <v>1.4451686030036838E-2</v>
      </c>
      <c r="I115" s="144">
        <f t="shared" si="6"/>
        <v>9.7291651781074974E-6</v>
      </c>
      <c r="J115" s="145">
        <v>0.1</v>
      </c>
      <c r="K115" s="144">
        <f t="shared" si="7"/>
        <v>6.7322007673610516E-5</v>
      </c>
      <c r="M115" s="146"/>
    </row>
    <row r="116" spans="2:13" x14ac:dyDescent="0.25">
      <c r="B116" s="134" t="s">
        <v>395</v>
      </c>
      <c r="C116" s="142" t="s">
        <v>78</v>
      </c>
      <c r="D116" s="143">
        <v>252.71899999999999</v>
      </c>
      <c r="E116" s="143">
        <v>50.57</v>
      </c>
      <c r="F116" s="143">
        <f t="shared" si="4"/>
        <v>12779.999830000001</v>
      </c>
      <c r="G116" s="144">
        <f t="shared" si="5"/>
        <v>4.3570203381878398E-4</v>
      </c>
      <c r="H116" s="145">
        <v>3.579197152461934E-2</v>
      </c>
      <c r="I116" s="144">
        <f t="shared" si="6"/>
        <v>1.5594634787660648E-5</v>
      </c>
      <c r="J116" s="145">
        <v>6.2600000000000003E-2</v>
      </c>
      <c r="K116" s="144">
        <f t="shared" si="7"/>
        <v>2.7274947317055878E-5</v>
      </c>
      <c r="M116" s="146"/>
    </row>
    <row r="117" spans="2:13" x14ac:dyDescent="0.25">
      <c r="B117" s="134" t="s">
        <v>396</v>
      </c>
      <c r="C117" s="142" t="s">
        <v>397</v>
      </c>
      <c r="D117" s="143">
        <v>161.816</v>
      </c>
      <c r="E117" s="143">
        <v>119.13</v>
      </c>
      <c r="F117" s="143">
        <f t="shared" si="4"/>
        <v>19277.140080000001</v>
      </c>
      <c r="G117" s="144" t="str">
        <f t="shared" si="5"/>
        <v/>
      </c>
      <c r="H117" s="145">
        <v>1.4270125073449174E-2</v>
      </c>
      <c r="I117" s="144" t="str">
        <f t="shared" si="6"/>
        <v/>
      </c>
      <c r="J117" s="145">
        <v>-0.13170000000000001</v>
      </c>
      <c r="K117" s="144" t="str">
        <f t="shared" si="7"/>
        <v/>
      </c>
      <c r="M117" s="146"/>
    </row>
    <row r="118" spans="2:13" x14ac:dyDescent="0.25">
      <c r="B118" s="134" t="s">
        <v>398</v>
      </c>
      <c r="C118" s="142" t="s">
        <v>399</v>
      </c>
      <c r="D118" s="143">
        <v>771</v>
      </c>
      <c r="E118" s="143">
        <v>92.28</v>
      </c>
      <c r="F118" s="143">
        <f t="shared" si="4"/>
        <v>71147.88</v>
      </c>
      <c r="G118" s="144">
        <f t="shared" si="5"/>
        <v>2.4256084843699709E-3</v>
      </c>
      <c r="H118" s="145">
        <v>4.4429995665366269E-2</v>
      </c>
      <c r="I118" s="144">
        <f t="shared" si="6"/>
        <v>1.0776977444643345E-4</v>
      </c>
      <c r="J118" s="145">
        <v>6.0570000000000006E-2</v>
      </c>
      <c r="K118" s="144">
        <f t="shared" si="7"/>
        <v>1.4691910589828916E-4</v>
      </c>
      <c r="M118" s="146"/>
    </row>
    <row r="119" spans="2:13" x14ac:dyDescent="0.25">
      <c r="B119" s="134" t="s">
        <v>400</v>
      </c>
      <c r="C119" s="142" t="s">
        <v>401</v>
      </c>
      <c r="D119" s="143">
        <v>184.57599999999999</v>
      </c>
      <c r="E119" s="143">
        <v>62.78</v>
      </c>
      <c r="F119" s="143">
        <f t="shared" si="4"/>
        <v>11587.681280000001</v>
      </c>
      <c r="G119" s="144">
        <f t="shared" si="5"/>
        <v>3.9505292395139652E-4</v>
      </c>
      <c r="H119" s="145">
        <v>4.2688754380375921E-2</v>
      </c>
      <c r="I119" s="144">
        <f t="shared" si="6"/>
        <v>1.6864317237810494E-5</v>
      </c>
      <c r="J119" s="145">
        <v>4.6349999999999995E-2</v>
      </c>
      <c r="K119" s="144">
        <f t="shared" si="7"/>
        <v>1.8310703025147228E-5</v>
      </c>
      <c r="M119" s="146"/>
    </row>
    <row r="120" spans="2:13" x14ac:dyDescent="0.25">
      <c r="B120" s="134" t="s">
        <v>402</v>
      </c>
      <c r="C120" s="142" t="s">
        <v>403</v>
      </c>
      <c r="D120" s="143">
        <v>399.3</v>
      </c>
      <c r="E120" s="143">
        <v>227.69</v>
      </c>
      <c r="F120" s="143">
        <f t="shared" si="4"/>
        <v>90916.616999999998</v>
      </c>
      <c r="G120" s="144">
        <f t="shared" si="5"/>
        <v>3.0995739797927235E-3</v>
      </c>
      <c r="H120" s="145">
        <v>1.5108261232377355E-2</v>
      </c>
      <c r="I120" s="144">
        <f t="shared" si="6"/>
        <v>4.6829173395787998E-5</v>
      </c>
      <c r="J120" s="145">
        <v>0.15</v>
      </c>
      <c r="K120" s="144">
        <f t="shared" si="7"/>
        <v>4.6493609696890848E-4</v>
      </c>
      <c r="M120" s="146"/>
    </row>
    <row r="121" spans="2:13" x14ac:dyDescent="0.25">
      <c r="B121" s="134" t="s">
        <v>404</v>
      </c>
      <c r="C121" s="142" t="s">
        <v>405</v>
      </c>
      <c r="D121" s="143">
        <v>285.14</v>
      </c>
      <c r="E121" s="143">
        <v>191.73</v>
      </c>
      <c r="F121" s="143">
        <f t="shared" si="4"/>
        <v>54669.892199999995</v>
      </c>
      <c r="G121" s="144">
        <f t="shared" si="5"/>
        <v>1.8638328276248241E-3</v>
      </c>
      <c r="H121" s="145">
        <v>1.1057215876492986E-2</v>
      </c>
      <c r="I121" s="144">
        <f t="shared" si="6"/>
        <v>2.060880193274202E-5</v>
      </c>
      <c r="J121" s="145">
        <v>0.16</v>
      </c>
      <c r="K121" s="144">
        <f t="shared" si="7"/>
        <v>2.9821325241997189E-4</v>
      </c>
      <c r="M121" s="146"/>
    </row>
    <row r="122" spans="2:13" x14ac:dyDescent="0.25">
      <c r="B122" s="134" t="s">
        <v>406</v>
      </c>
      <c r="C122" s="142" t="s">
        <v>407</v>
      </c>
      <c r="D122" s="143">
        <v>123.407</v>
      </c>
      <c r="E122" s="143">
        <v>88.9</v>
      </c>
      <c r="F122" s="143">
        <f t="shared" si="4"/>
        <v>10970.882300000001</v>
      </c>
      <c r="G122" s="144" t="str">
        <f t="shared" si="5"/>
        <v/>
      </c>
      <c r="H122" s="145">
        <v>3.1496062992125984E-3</v>
      </c>
      <c r="I122" s="144" t="str">
        <f t="shared" si="6"/>
        <v/>
      </c>
      <c r="J122" s="145">
        <v>-0.26690000000000003</v>
      </c>
      <c r="K122" s="144" t="str">
        <f t="shared" si="7"/>
        <v/>
      </c>
      <c r="M122" s="146"/>
    </row>
    <row r="123" spans="2:13" x14ac:dyDescent="0.25">
      <c r="B123" s="134" t="s">
        <v>408</v>
      </c>
      <c r="C123" s="142" t="s">
        <v>409</v>
      </c>
      <c r="D123" s="143">
        <v>570.1</v>
      </c>
      <c r="E123" s="143">
        <v>88.9</v>
      </c>
      <c r="F123" s="143">
        <f t="shared" si="4"/>
        <v>50681.890000000007</v>
      </c>
      <c r="G123" s="144">
        <f t="shared" si="5"/>
        <v>1.7278718970671451E-3</v>
      </c>
      <c r="H123" s="145">
        <v>2.3622047244094488E-2</v>
      </c>
      <c r="I123" s="144">
        <f t="shared" si="6"/>
        <v>4.0815871584263273E-5</v>
      </c>
      <c r="J123" s="145">
        <v>0.1201</v>
      </c>
      <c r="K123" s="144">
        <f t="shared" si="7"/>
        <v>2.0751741483776413E-4</v>
      </c>
      <c r="M123" s="146"/>
    </row>
    <row r="124" spans="2:13" x14ac:dyDescent="0.25">
      <c r="B124" s="134" t="s">
        <v>410</v>
      </c>
      <c r="C124" s="142" t="s">
        <v>80</v>
      </c>
      <c r="D124" s="143">
        <v>583.15</v>
      </c>
      <c r="E124" s="143">
        <v>123.07</v>
      </c>
      <c r="F124" s="143">
        <f t="shared" si="4"/>
        <v>71768.270499999999</v>
      </c>
      <c r="G124" s="144">
        <f t="shared" si="5"/>
        <v>2.446759142132683E-3</v>
      </c>
      <c r="H124" s="145">
        <v>2.9576663687332416E-2</v>
      </c>
      <c r="I124" s="144">
        <f t="shared" si="6"/>
        <v>7.2366972270764338E-5</v>
      </c>
      <c r="J124" s="145">
        <v>0.17824999999999999</v>
      </c>
      <c r="K124" s="144">
        <f t="shared" si="7"/>
        <v>4.361348170851507E-4</v>
      </c>
      <c r="M124" s="146"/>
    </row>
    <row r="125" spans="2:13" x14ac:dyDescent="0.25">
      <c r="B125" s="134" t="s">
        <v>411</v>
      </c>
      <c r="C125" s="142" t="s">
        <v>412</v>
      </c>
      <c r="D125" s="143">
        <v>200.21600000000001</v>
      </c>
      <c r="E125" s="143">
        <v>328.49</v>
      </c>
      <c r="F125" s="143">
        <f t="shared" si="4"/>
        <v>65768.953840000002</v>
      </c>
      <c r="G125" s="144">
        <f t="shared" si="5"/>
        <v>2.242227490719906E-3</v>
      </c>
      <c r="H125" s="145">
        <v>7.4888124448232816E-3</v>
      </c>
      <c r="I125" s="144">
        <f t="shared" si="6"/>
        <v>1.679162113662811E-5</v>
      </c>
      <c r="J125" s="145">
        <v>0.1158</v>
      </c>
      <c r="K125" s="144">
        <f t="shared" si="7"/>
        <v>2.596499434253651E-4</v>
      </c>
      <c r="M125" s="146"/>
    </row>
    <row r="126" spans="2:13" x14ac:dyDescent="0.25">
      <c r="B126" s="134" t="s">
        <v>413</v>
      </c>
      <c r="C126" s="142" t="s">
        <v>414</v>
      </c>
      <c r="D126" s="143">
        <v>211.45599999999999</v>
      </c>
      <c r="E126" s="143">
        <v>101.41</v>
      </c>
      <c r="F126" s="143">
        <f t="shared" si="4"/>
        <v>21443.752959999998</v>
      </c>
      <c r="G126" s="144">
        <f t="shared" si="5"/>
        <v>7.3107096257133265E-4</v>
      </c>
      <c r="H126" s="145">
        <v>4.4571541268119512E-2</v>
      </c>
      <c r="I126" s="144">
        <f t="shared" si="6"/>
        <v>3.2584959578172006E-5</v>
      </c>
      <c r="J126" s="145">
        <v>6.2169999999999996E-2</v>
      </c>
      <c r="K126" s="144">
        <f t="shared" si="7"/>
        <v>4.5450681743059751E-5</v>
      </c>
      <c r="M126" s="146"/>
    </row>
    <row r="127" spans="2:13" x14ac:dyDescent="0.25">
      <c r="B127" s="134" t="s">
        <v>415</v>
      </c>
      <c r="C127" s="142" t="s">
        <v>416</v>
      </c>
      <c r="D127" s="143">
        <v>123.217</v>
      </c>
      <c r="E127" s="143">
        <v>217.71</v>
      </c>
      <c r="F127" s="143">
        <f t="shared" si="4"/>
        <v>26825.573070000002</v>
      </c>
      <c r="G127" s="144">
        <f t="shared" si="5"/>
        <v>9.145506181867767E-4</v>
      </c>
      <c r="H127" s="145">
        <v>7.1654953837673972E-3</v>
      </c>
      <c r="I127" s="144">
        <f t="shared" si="6"/>
        <v>6.5532082328389679E-6</v>
      </c>
      <c r="J127" s="145">
        <v>0.12325</v>
      </c>
      <c r="K127" s="144">
        <f t="shared" si="7"/>
        <v>1.1271836369152023E-4</v>
      </c>
      <c r="M127" s="146"/>
    </row>
    <row r="128" spans="2:13" x14ac:dyDescent="0.25">
      <c r="B128" s="134" t="s">
        <v>417</v>
      </c>
      <c r="C128" s="142" t="s">
        <v>418</v>
      </c>
      <c r="D128" s="143">
        <v>411.33199999999999</v>
      </c>
      <c r="E128" s="143">
        <v>39.96</v>
      </c>
      <c r="F128" s="143">
        <f t="shared" si="4"/>
        <v>16436.826720000001</v>
      </c>
      <c r="G128" s="144" t="str">
        <f t="shared" si="5"/>
        <v/>
      </c>
      <c r="H128" s="145">
        <v>1.5765765765765764E-2</v>
      </c>
      <c r="I128" s="144" t="str">
        <f t="shared" si="6"/>
        <v/>
      </c>
      <c r="J128" s="145">
        <v>0.20039999999999999</v>
      </c>
      <c r="K128" s="144" t="str">
        <f t="shared" si="7"/>
        <v/>
      </c>
      <c r="M128" s="146"/>
    </row>
    <row r="129" spans="2:13" x14ac:dyDescent="0.25">
      <c r="B129" s="134" t="s">
        <v>419</v>
      </c>
      <c r="C129" s="142" t="s">
        <v>420</v>
      </c>
      <c r="D129" s="143">
        <v>182.5</v>
      </c>
      <c r="E129" s="143">
        <v>214.1</v>
      </c>
      <c r="F129" s="143">
        <f t="shared" si="4"/>
        <v>39073.25</v>
      </c>
      <c r="G129" s="144" t="str">
        <f t="shared" si="5"/>
        <v/>
      </c>
      <c r="H129" s="145" t="s">
        <v>210</v>
      </c>
      <c r="I129" s="144" t="str">
        <f t="shared" si="6"/>
        <v/>
      </c>
      <c r="J129" s="145">
        <v>-0.13664999999999999</v>
      </c>
      <c r="K129" s="144" t="str">
        <f t="shared" si="7"/>
        <v/>
      </c>
      <c r="M129" s="146"/>
    </row>
    <row r="130" spans="2:13" x14ac:dyDescent="0.25">
      <c r="B130" s="134" t="s">
        <v>421</v>
      </c>
      <c r="C130" s="142" t="s">
        <v>422</v>
      </c>
      <c r="D130" s="143">
        <v>77.948999999999998</v>
      </c>
      <c r="E130" s="143">
        <v>434.84</v>
      </c>
      <c r="F130" s="143">
        <f t="shared" si="4"/>
        <v>33895.343159999997</v>
      </c>
      <c r="G130" s="144">
        <f t="shared" si="5"/>
        <v>1.1555766939159347E-3</v>
      </c>
      <c r="H130" s="145" t="s">
        <v>210</v>
      </c>
      <c r="I130" s="144" t="str">
        <f t="shared" si="6"/>
        <v/>
      </c>
      <c r="J130" s="145">
        <v>7.3499999999999996E-2</v>
      </c>
      <c r="K130" s="144">
        <f t="shared" si="7"/>
        <v>8.4934887002821192E-5</v>
      </c>
      <c r="M130" s="146"/>
    </row>
    <row r="131" spans="2:13" x14ac:dyDescent="0.25">
      <c r="B131" s="134" t="s">
        <v>423</v>
      </c>
      <c r="C131" s="142" t="s">
        <v>424</v>
      </c>
      <c r="D131" s="143">
        <v>251.42</v>
      </c>
      <c r="E131" s="143">
        <v>258.83</v>
      </c>
      <c r="F131" s="143">
        <f t="shared" si="4"/>
        <v>65075.038599999993</v>
      </c>
      <c r="G131" s="144">
        <f t="shared" si="5"/>
        <v>2.2185701913938032E-3</v>
      </c>
      <c r="H131" s="145">
        <v>1.9472240466715605E-2</v>
      </c>
      <c r="I131" s="144">
        <f t="shared" si="6"/>
        <v>4.3200532259107401E-5</v>
      </c>
      <c r="J131" s="145">
        <v>0.14499999999999999</v>
      </c>
      <c r="K131" s="144">
        <f t="shared" si="7"/>
        <v>3.2169267775210145E-4</v>
      </c>
      <c r="M131" s="146"/>
    </row>
    <row r="132" spans="2:13" x14ac:dyDescent="0.25">
      <c r="B132" s="134" t="s">
        <v>425</v>
      </c>
      <c r="C132" s="142" t="s">
        <v>426</v>
      </c>
      <c r="D132" s="143">
        <v>124.759</v>
      </c>
      <c r="E132" s="143">
        <v>53.66</v>
      </c>
      <c r="F132" s="143">
        <f t="shared" si="4"/>
        <v>6694.5679399999999</v>
      </c>
      <c r="G132" s="144" t="str">
        <f t="shared" si="5"/>
        <v/>
      </c>
      <c r="H132" s="145">
        <v>4.3235184494968319E-2</v>
      </c>
      <c r="I132" s="144" t="str">
        <f t="shared" si="6"/>
        <v/>
      </c>
      <c r="J132" s="145">
        <v>-0.04</v>
      </c>
      <c r="K132" s="144" t="str">
        <f t="shared" si="7"/>
        <v/>
      </c>
      <c r="M132" s="146"/>
    </row>
    <row r="133" spans="2:13" x14ac:dyDescent="0.25">
      <c r="B133" s="134" t="s">
        <v>427</v>
      </c>
      <c r="C133" s="142" t="s">
        <v>89</v>
      </c>
      <c r="D133" s="143">
        <v>284.59800000000001</v>
      </c>
      <c r="E133" s="143">
        <v>74.739999999999995</v>
      </c>
      <c r="F133" s="143">
        <f t="shared" si="4"/>
        <v>21270.854520000001</v>
      </c>
      <c r="G133" s="144">
        <f t="shared" si="5"/>
        <v>7.2517642399901928E-4</v>
      </c>
      <c r="H133" s="145">
        <v>6.957452502006958E-3</v>
      </c>
      <c r="I133" s="144">
        <f t="shared" si="6"/>
        <v>5.0453805255484356E-6</v>
      </c>
      <c r="J133" s="145">
        <v>0.11</v>
      </c>
      <c r="K133" s="144">
        <f t="shared" si="7"/>
        <v>7.9769406639892116E-5</v>
      </c>
      <c r="M133" s="146"/>
    </row>
    <row r="134" spans="2:13" x14ac:dyDescent="0.25">
      <c r="B134" s="134" t="s">
        <v>428</v>
      </c>
      <c r="C134" s="142" t="s">
        <v>429</v>
      </c>
      <c r="D134" s="143">
        <v>3932.1019999999999</v>
      </c>
      <c r="E134" s="143">
        <v>10.26</v>
      </c>
      <c r="F134" s="143">
        <f t="shared" si="4"/>
        <v>40343.366519999996</v>
      </c>
      <c r="G134" s="144" t="str">
        <f t="shared" si="5"/>
        <v/>
      </c>
      <c r="H134" s="145">
        <v>5.8479532163742687E-2</v>
      </c>
      <c r="I134" s="144" t="str">
        <f t="shared" si="6"/>
        <v/>
      </c>
      <c r="J134" s="145">
        <v>-2.52E-2</v>
      </c>
      <c r="K134" s="144" t="str">
        <f t="shared" si="7"/>
        <v/>
      </c>
      <c r="M134" s="146"/>
    </row>
    <row r="135" spans="2:13" x14ac:dyDescent="0.25">
      <c r="B135" s="134" t="s">
        <v>430</v>
      </c>
      <c r="C135" s="142" t="s">
        <v>431</v>
      </c>
      <c r="D135" s="143">
        <v>2023.7139999999999</v>
      </c>
      <c r="E135" s="143">
        <v>58.51</v>
      </c>
      <c r="F135" s="143">
        <f t="shared" si="4"/>
        <v>118407.50614</v>
      </c>
      <c r="G135" s="144">
        <f t="shared" si="5"/>
        <v>4.0368068803493988E-3</v>
      </c>
      <c r="H135" s="145">
        <v>3.1960348658349E-2</v>
      </c>
      <c r="I135" s="144">
        <f t="shared" si="6"/>
        <v>1.2901775536238892E-4</v>
      </c>
      <c r="J135" s="145">
        <v>8.097E-2</v>
      </c>
      <c r="K135" s="144">
        <f t="shared" si="7"/>
        <v>3.2686025310189084E-4</v>
      </c>
      <c r="M135" s="146"/>
    </row>
    <row r="136" spans="2:13" x14ac:dyDescent="0.25">
      <c r="B136" s="134" t="s">
        <v>432</v>
      </c>
      <c r="C136" s="142" t="s">
        <v>433</v>
      </c>
      <c r="D136" s="143">
        <v>494.584</v>
      </c>
      <c r="E136" s="143">
        <v>24.8</v>
      </c>
      <c r="F136" s="143">
        <f t="shared" si="4"/>
        <v>12265.683200000001</v>
      </c>
      <c r="G136" s="144" t="str">
        <f t="shared" si="5"/>
        <v/>
      </c>
      <c r="H136" s="145">
        <v>4.8387096774193547E-2</v>
      </c>
      <c r="I136" s="144" t="str">
        <f t="shared" si="6"/>
        <v/>
      </c>
      <c r="J136" s="145">
        <v>-0.09</v>
      </c>
      <c r="K136" s="144" t="str">
        <f t="shared" si="7"/>
        <v/>
      </c>
      <c r="M136" s="146"/>
    </row>
    <row r="137" spans="2:13" x14ac:dyDescent="0.25">
      <c r="B137" s="134" t="s">
        <v>434</v>
      </c>
      <c r="C137" s="142" t="s">
        <v>435</v>
      </c>
      <c r="D137" s="143">
        <v>191.33099999999999</v>
      </c>
      <c r="E137" s="143">
        <v>122.24</v>
      </c>
      <c r="F137" s="143">
        <f t="shared" si="4"/>
        <v>23388.301439999999</v>
      </c>
      <c r="G137" s="144">
        <f t="shared" si="5"/>
        <v>7.9736546482996268E-4</v>
      </c>
      <c r="H137" s="145">
        <v>2.3887434554973823E-2</v>
      </c>
      <c r="I137" s="144">
        <f t="shared" si="6"/>
        <v>1.9047015357522016E-5</v>
      </c>
      <c r="J137" s="145">
        <v>5.5999999999999994E-2</v>
      </c>
      <c r="K137" s="144">
        <f t="shared" si="7"/>
        <v>4.4652466030477906E-5</v>
      </c>
      <c r="M137" s="146"/>
    </row>
    <row r="138" spans="2:13" x14ac:dyDescent="0.25">
      <c r="B138" s="134" t="s">
        <v>436</v>
      </c>
      <c r="C138" s="142" t="s">
        <v>437</v>
      </c>
      <c r="D138" s="143">
        <v>1433.9770000000001</v>
      </c>
      <c r="E138" s="143">
        <v>37.32</v>
      </c>
      <c r="F138" s="143">
        <f t="shared" si="4"/>
        <v>53516.021640000006</v>
      </c>
      <c r="G138" s="144" t="str">
        <f t="shared" si="5"/>
        <v/>
      </c>
      <c r="H138" s="145">
        <v>1.607717041800643E-2</v>
      </c>
      <c r="I138" s="144" t="str">
        <f t="shared" si="6"/>
        <v/>
      </c>
      <c r="J138" s="145">
        <v>-0.15659999999999999</v>
      </c>
      <c r="K138" s="144" t="str">
        <f t="shared" si="7"/>
        <v/>
      </c>
      <c r="M138" s="146"/>
    </row>
    <row r="139" spans="2:13" x14ac:dyDescent="0.25">
      <c r="B139" s="134" t="s">
        <v>438</v>
      </c>
      <c r="C139" s="142" t="s">
        <v>439</v>
      </c>
      <c r="D139" s="143">
        <v>386.37400000000002</v>
      </c>
      <c r="E139" s="143">
        <v>115.52</v>
      </c>
      <c r="F139" s="143">
        <f t="shared" si="4"/>
        <v>44633.924480000001</v>
      </c>
      <c r="G139" s="144" t="str">
        <f t="shared" si="5"/>
        <v/>
      </c>
      <c r="H139" s="145" t="s">
        <v>210</v>
      </c>
      <c r="I139" s="144" t="str">
        <f t="shared" si="6"/>
        <v/>
      </c>
      <c r="J139" s="145">
        <v>0.30590000000000001</v>
      </c>
      <c r="K139" s="144" t="str">
        <f t="shared" si="7"/>
        <v/>
      </c>
      <c r="M139" s="146"/>
    </row>
    <row r="140" spans="2:13" x14ac:dyDescent="0.25">
      <c r="B140" s="134" t="s">
        <v>440</v>
      </c>
      <c r="C140" s="142" t="s">
        <v>441</v>
      </c>
      <c r="D140" s="143">
        <v>272.89699999999999</v>
      </c>
      <c r="E140" s="143">
        <v>246.97</v>
      </c>
      <c r="F140" s="143">
        <f t="shared" si="4"/>
        <v>67397.372090000004</v>
      </c>
      <c r="G140" s="144">
        <f t="shared" si="5"/>
        <v>2.297744325842792E-3</v>
      </c>
      <c r="H140" s="145">
        <v>2.1379114872251692E-2</v>
      </c>
      <c r="I140" s="144">
        <f t="shared" si="6"/>
        <v>4.9123739889257572E-5</v>
      </c>
      <c r="J140" s="145">
        <v>0.10400000000000001</v>
      </c>
      <c r="K140" s="144">
        <f t="shared" si="7"/>
        <v>2.3896540988765038E-4</v>
      </c>
      <c r="M140" s="146"/>
    </row>
    <row r="141" spans="2:13" x14ac:dyDescent="0.25">
      <c r="B141" s="134" t="s">
        <v>442</v>
      </c>
      <c r="C141" s="142" t="s">
        <v>443</v>
      </c>
      <c r="D141" s="143">
        <v>581.279</v>
      </c>
      <c r="E141" s="143">
        <v>63.66</v>
      </c>
      <c r="F141" s="143">
        <f t="shared" si="4"/>
        <v>37004.221139999994</v>
      </c>
      <c r="G141" s="144">
        <f t="shared" si="5"/>
        <v>1.2615660895965784E-3</v>
      </c>
      <c r="H141" s="145">
        <v>3.7071944706251962E-2</v>
      </c>
      <c r="I141" s="144">
        <f t="shared" si="6"/>
        <v>4.6768708316806863E-5</v>
      </c>
      <c r="J141" s="145">
        <v>0.08</v>
      </c>
      <c r="K141" s="144">
        <f t="shared" si="7"/>
        <v>1.0092528716772627E-4</v>
      </c>
      <c r="M141" s="146"/>
    </row>
    <row r="142" spans="2:13" x14ac:dyDescent="0.25">
      <c r="B142" s="134" t="s">
        <v>444</v>
      </c>
      <c r="C142" s="142" t="s">
        <v>445</v>
      </c>
      <c r="D142" s="143">
        <v>140.197</v>
      </c>
      <c r="E142" s="143">
        <v>132.78</v>
      </c>
      <c r="F142" s="143">
        <f t="shared" si="4"/>
        <v>18615.357660000001</v>
      </c>
      <c r="G142" s="144">
        <f t="shared" si="5"/>
        <v>6.3464392023595824E-4</v>
      </c>
      <c r="H142" s="145">
        <v>2.8618767886729929E-2</v>
      </c>
      <c r="I142" s="144">
        <f t="shared" si="6"/>
        <v>1.8162727043957231E-5</v>
      </c>
      <c r="J142" s="145">
        <v>9.4899999999999998E-2</v>
      </c>
      <c r="K142" s="144">
        <f t="shared" si="7"/>
        <v>6.0227708030392438E-5</v>
      </c>
      <c r="M142" s="146"/>
    </row>
    <row r="143" spans="2:13" x14ac:dyDescent="0.25">
      <c r="B143" s="134" t="s">
        <v>446</v>
      </c>
      <c r="C143" s="142" t="s">
        <v>447</v>
      </c>
      <c r="D143" s="143">
        <v>148.49600000000001</v>
      </c>
      <c r="E143" s="143">
        <v>113.81</v>
      </c>
      <c r="F143" s="143">
        <f t="shared" si="4"/>
        <v>16900.329760000001</v>
      </c>
      <c r="G143" s="144">
        <f t="shared" si="5"/>
        <v>5.7617434636852581E-4</v>
      </c>
      <c r="H143" s="145">
        <v>2.8292768649503561E-2</v>
      </c>
      <c r="I143" s="144">
        <f t="shared" si="6"/>
        <v>1.6301567483583632E-5</v>
      </c>
      <c r="J143" s="145">
        <v>7.2499999999999995E-2</v>
      </c>
      <c r="K143" s="144">
        <f t="shared" si="7"/>
        <v>4.177264011171812E-5</v>
      </c>
      <c r="M143" s="146"/>
    </row>
    <row r="144" spans="2:13" x14ac:dyDescent="0.25">
      <c r="B144" s="134" t="s">
        <v>448</v>
      </c>
      <c r="C144" s="142" t="s">
        <v>449</v>
      </c>
      <c r="D144" s="143">
        <v>49.634</v>
      </c>
      <c r="E144" s="143">
        <v>786.19</v>
      </c>
      <c r="F144" s="143">
        <f t="shared" si="4"/>
        <v>39021.754460000004</v>
      </c>
      <c r="G144" s="144" t="str">
        <f t="shared" si="5"/>
        <v/>
      </c>
      <c r="H144" s="145">
        <v>9.4633612739922924E-3</v>
      </c>
      <c r="I144" s="144" t="str">
        <f t="shared" si="6"/>
        <v/>
      </c>
      <c r="J144" s="145" t="s">
        <v>210</v>
      </c>
      <c r="K144" s="144" t="str">
        <f t="shared" si="7"/>
        <v/>
      </c>
      <c r="M144" s="146"/>
    </row>
    <row r="145" spans="2:13" x14ac:dyDescent="0.25">
      <c r="B145" s="134" t="s">
        <v>450</v>
      </c>
      <c r="C145" s="142" t="s">
        <v>451</v>
      </c>
      <c r="D145" s="143">
        <v>895.05200000000002</v>
      </c>
      <c r="E145" s="143">
        <v>37.03</v>
      </c>
      <c r="F145" s="143">
        <f t="shared" si="4"/>
        <v>33143.775560000002</v>
      </c>
      <c r="G145" s="144" t="str">
        <f t="shared" si="5"/>
        <v/>
      </c>
      <c r="H145" s="145">
        <v>1.7283283823926545E-2</v>
      </c>
      <c r="I145" s="144" t="str">
        <f t="shared" si="6"/>
        <v/>
      </c>
      <c r="J145" s="145">
        <v>0.24135000000000001</v>
      </c>
      <c r="K145" s="144" t="str">
        <f t="shared" si="7"/>
        <v/>
      </c>
      <c r="M145" s="146"/>
    </row>
    <row r="146" spans="2:13" x14ac:dyDescent="0.25">
      <c r="B146" s="134" t="s">
        <v>452</v>
      </c>
      <c r="C146" s="142" t="s">
        <v>453</v>
      </c>
      <c r="D146" s="143">
        <v>189.54</v>
      </c>
      <c r="E146" s="143">
        <v>190.81</v>
      </c>
      <c r="F146" s="143">
        <f t="shared" si="4"/>
        <v>36166.127399999998</v>
      </c>
      <c r="G146" s="144">
        <f t="shared" si="5"/>
        <v>1.2329933860045481E-3</v>
      </c>
      <c r="H146" s="145">
        <v>2.3898118547245949E-2</v>
      </c>
      <c r="I146" s="144">
        <f t="shared" si="6"/>
        <v>2.9466222106706876E-5</v>
      </c>
      <c r="J146" s="145">
        <v>3.4950000000000002E-2</v>
      </c>
      <c r="K146" s="144">
        <f t="shared" si="7"/>
        <v>4.3093118840858963E-5</v>
      </c>
      <c r="M146" s="146"/>
    </row>
    <row r="147" spans="2:13" x14ac:dyDescent="0.25">
      <c r="B147" s="134" t="s">
        <v>454</v>
      </c>
      <c r="C147" s="142" t="s">
        <v>455</v>
      </c>
      <c r="D147" s="143">
        <v>547.07399999999996</v>
      </c>
      <c r="E147" s="143">
        <v>17.32</v>
      </c>
      <c r="F147" s="143">
        <f t="shared" si="4"/>
        <v>9475.3216799999991</v>
      </c>
      <c r="G147" s="144">
        <f t="shared" si="5"/>
        <v>3.2303732253361199E-4</v>
      </c>
      <c r="H147" s="145">
        <v>6.9284064665127015E-2</v>
      </c>
      <c r="I147" s="144">
        <f t="shared" si="6"/>
        <v>2.2381338743668266E-5</v>
      </c>
      <c r="J147" s="145">
        <v>1.24E-2</v>
      </c>
      <c r="K147" s="144">
        <f t="shared" si="7"/>
        <v>4.0056627994167884E-6</v>
      </c>
      <c r="M147" s="146"/>
    </row>
    <row r="148" spans="2:13" x14ac:dyDescent="0.25">
      <c r="B148" s="134" t="s">
        <v>456</v>
      </c>
      <c r="C148" s="142" t="s">
        <v>457</v>
      </c>
      <c r="D148" s="143">
        <v>69.828000000000003</v>
      </c>
      <c r="E148" s="143">
        <v>189.09</v>
      </c>
      <c r="F148" s="143">
        <f t="shared" si="4"/>
        <v>13203.776520000001</v>
      </c>
      <c r="G148" s="144" t="str">
        <f t="shared" si="5"/>
        <v/>
      </c>
      <c r="H148" s="145" t="s">
        <v>210</v>
      </c>
      <c r="I148" s="144" t="str">
        <f t="shared" si="6"/>
        <v/>
      </c>
      <c r="J148" s="145">
        <v>0.4108</v>
      </c>
      <c r="K148" s="144" t="str">
        <f t="shared" si="7"/>
        <v/>
      </c>
      <c r="M148" s="146"/>
    </row>
    <row r="149" spans="2:13" x14ac:dyDescent="0.25">
      <c r="B149" s="134" t="s">
        <v>458</v>
      </c>
      <c r="C149" s="142" t="s">
        <v>459</v>
      </c>
      <c r="D149" s="143">
        <v>180.27199999999999</v>
      </c>
      <c r="E149" s="143">
        <v>38.85</v>
      </c>
      <c r="F149" s="143">
        <f t="shared" ref="F149:F212" si="8">IFERROR(D149*E149,"")</f>
        <v>7003.5671999999995</v>
      </c>
      <c r="G149" s="144">
        <f t="shared" ref="G149:G212" si="9">IF(AND(ISNUMBER($J149)), IF(AND($J149&lt;=20%,$J149&gt;0%), $F149/SUMIFS($F$20:$F$521,$J$20:$J$521, "&gt;"&amp;0%,$J$20:$J$521, "&lt;="&amp;20%),""),"")</f>
        <v>2.3876905427365141E-4</v>
      </c>
      <c r="H149" s="145" t="s">
        <v>210</v>
      </c>
      <c r="I149" s="144" t="str">
        <f t="shared" ref="I149:I212" si="10">IFERROR($H149*$G149,"")</f>
        <v/>
      </c>
      <c r="J149" s="145">
        <v>9.2399999999999996E-2</v>
      </c>
      <c r="K149" s="144">
        <f t="shared" ref="K149:K212" si="11">IFERROR($J149*$G149,"")</f>
        <v>2.2062260614885388E-5</v>
      </c>
      <c r="M149" s="146"/>
    </row>
    <row r="150" spans="2:13" x14ac:dyDescent="0.25">
      <c r="B150" s="134" t="s">
        <v>460</v>
      </c>
      <c r="C150" s="142" t="s">
        <v>461</v>
      </c>
      <c r="D150" s="143">
        <v>351.43400000000003</v>
      </c>
      <c r="E150" s="143">
        <v>68.98</v>
      </c>
      <c r="F150" s="143">
        <f t="shared" si="8"/>
        <v>24241.917320000004</v>
      </c>
      <c r="G150" s="144">
        <f t="shared" si="9"/>
        <v>8.2646735684587305E-4</v>
      </c>
      <c r="H150" s="145">
        <v>4.6390258045810378E-3</v>
      </c>
      <c r="I150" s="144">
        <f t="shared" si="10"/>
        <v>3.8340033950518899E-6</v>
      </c>
      <c r="J150" s="145">
        <v>8.6800000000000002E-2</v>
      </c>
      <c r="K150" s="144">
        <f t="shared" si="11"/>
        <v>7.1737366574221777E-5</v>
      </c>
      <c r="M150" s="146"/>
    </row>
    <row r="151" spans="2:13" x14ac:dyDescent="0.25">
      <c r="B151" s="134" t="s">
        <v>462</v>
      </c>
      <c r="C151" s="142" t="s">
        <v>463</v>
      </c>
      <c r="D151" s="143">
        <v>149.88499999999999</v>
      </c>
      <c r="E151" s="143">
        <v>187.92</v>
      </c>
      <c r="F151" s="143">
        <f t="shared" si="8"/>
        <v>28166.389199999998</v>
      </c>
      <c r="G151" s="144">
        <f t="shared" si="9"/>
        <v>9.6026238051768662E-4</v>
      </c>
      <c r="H151" s="145">
        <v>2.5372498935717327E-2</v>
      </c>
      <c r="I151" s="144">
        <f t="shared" si="10"/>
        <v>2.4364256227694392E-5</v>
      </c>
      <c r="J151" s="145">
        <v>0.09</v>
      </c>
      <c r="K151" s="144">
        <f t="shared" si="11"/>
        <v>8.6423614246591791E-5</v>
      </c>
      <c r="M151" s="146"/>
    </row>
    <row r="152" spans="2:13" x14ac:dyDescent="0.25">
      <c r="B152" s="134" t="s">
        <v>464</v>
      </c>
      <c r="C152" s="142" t="s">
        <v>465</v>
      </c>
      <c r="D152" s="143">
        <v>413.80399999999997</v>
      </c>
      <c r="E152" s="143">
        <v>32.36</v>
      </c>
      <c r="F152" s="143">
        <f t="shared" si="8"/>
        <v>13390.697439999998</v>
      </c>
      <c r="G152" s="144" t="str">
        <f t="shared" si="9"/>
        <v/>
      </c>
      <c r="H152" s="145">
        <v>3.0902348578491966E-2</v>
      </c>
      <c r="I152" s="144" t="str">
        <f t="shared" si="10"/>
        <v/>
      </c>
      <c r="J152" s="145" t="s">
        <v>210</v>
      </c>
      <c r="K152" s="144" t="str">
        <f t="shared" si="11"/>
        <v/>
      </c>
      <c r="M152" s="146"/>
    </row>
    <row r="153" spans="2:13" x14ac:dyDescent="0.25">
      <c r="B153" s="134" t="s">
        <v>466</v>
      </c>
      <c r="C153" s="142" t="s">
        <v>467</v>
      </c>
      <c r="D153" s="143">
        <v>546.48099999999999</v>
      </c>
      <c r="E153" s="143">
        <v>30.59</v>
      </c>
      <c r="F153" s="143">
        <f t="shared" si="8"/>
        <v>16716.853790000001</v>
      </c>
      <c r="G153" s="144">
        <f t="shared" si="9"/>
        <v>5.6991919344604933E-4</v>
      </c>
      <c r="H153" s="145">
        <v>3.6940176528277212E-2</v>
      </c>
      <c r="I153" s="144">
        <f t="shared" si="10"/>
        <v>2.1052915612750431E-5</v>
      </c>
      <c r="J153" s="145">
        <v>1.0800000000000001E-2</v>
      </c>
      <c r="K153" s="144">
        <f t="shared" si="11"/>
        <v>6.1551272892173333E-6</v>
      </c>
      <c r="M153" s="146"/>
    </row>
    <row r="154" spans="2:13" x14ac:dyDescent="0.25">
      <c r="B154" s="134" t="s">
        <v>468</v>
      </c>
      <c r="C154" s="142" t="s">
        <v>469</v>
      </c>
      <c r="D154" s="143">
        <v>215.9</v>
      </c>
      <c r="E154" s="143">
        <v>249</v>
      </c>
      <c r="F154" s="143">
        <f t="shared" si="8"/>
        <v>53759.1</v>
      </c>
      <c r="G154" s="144">
        <f t="shared" si="9"/>
        <v>1.8327816524131666E-3</v>
      </c>
      <c r="H154" s="145">
        <v>8.8353413654618483E-3</v>
      </c>
      <c r="I154" s="144">
        <f t="shared" si="10"/>
        <v>1.6193251547425572E-5</v>
      </c>
      <c r="J154" s="145">
        <v>0.14105000000000001</v>
      </c>
      <c r="K154" s="144">
        <f t="shared" si="11"/>
        <v>2.5851385207287714E-4</v>
      </c>
      <c r="M154" s="146"/>
    </row>
    <row r="155" spans="2:13" x14ac:dyDescent="0.25">
      <c r="B155" s="134" t="s">
        <v>470</v>
      </c>
      <c r="C155" s="142" t="s">
        <v>471</v>
      </c>
      <c r="D155" s="143">
        <v>1360.896</v>
      </c>
      <c r="E155" s="143">
        <v>71.06</v>
      </c>
      <c r="F155" s="143">
        <f t="shared" si="8"/>
        <v>96705.269759999996</v>
      </c>
      <c r="G155" s="144">
        <f t="shared" si="9"/>
        <v>3.2969235740143311E-3</v>
      </c>
      <c r="H155" s="145">
        <v>2.3923444976076555E-2</v>
      </c>
      <c r="I155" s="144">
        <f t="shared" si="10"/>
        <v>7.8873769713261514E-5</v>
      </c>
      <c r="J155" s="145">
        <v>9.1649999999999995E-2</v>
      </c>
      <c r="K155" s="144">
        <f t="shared" si="11"/>
        <v>3.0216304555841342E-4</v>
      </c>
      <c r="M155" s="146"/>
    </row>
    <row r="156" spans="2:13" x14ac:dyDescent="0.25">
      <c r="B156" s="134" t="s">
        <v>472</v>
      </c>
      <c r="C156" s="142" t="s">
        <v>473</v>
      </c>
      <c r="D156" s="143">
        <v>629.43200000000002</v>
      </c>
      <c r="E156" s="143">
        <v>28.27</v>
      </c>
      <c r="F156" s="143">
        <f t="shared" si="8"/>
        <v>17794.04264</v>
      </c>
      <c r="G156" s="144">
        <f t="shared" si="9"/>
        <v>6.0664324501060374E-4</v>
      </c>
      <c r="H156" s="145">
        <v>2.8298549699327911E-2</v>
      </c>
      <c r="I156" s="144">
        <f t="shared" si="10"/>
        <v>1.7167124018694128E-5</v>
      </c>
      <c r="J156" s="145">
        <v>8.0149999999999999E-2</v>
      </c>
      <c r="K156" s="144">
        <f t="shared" si="11"/>
        <v>4.8622456087599887E-5</v>
      </c>
      <c r="M156" s="146"/>
    </row>
    <row r="157" spans="2:13" x14ac:dyDescent="0.25">
      <c r="B157" s="134" t="s">
        <v>474</v>
      </c>
      <c r="C157" s="142" t="s">
        <v>475</v>
      </c>
      <c r="D157" s="143">
        <v>123.111</v>
      </c>
      <c r="E157" s="143">
        <v>484.86</v>
      </c>
      <c r="F157" s="143">
        <f t="shared" si="8"/>
        <v>59691.599460000005</v>
      </c>
      <c r="G157" s="144">
        <f t="shared" si="9"/>
        <v>2.0350353390120686E-3</v>
      </c>
      <c r="H157" s="145">
        <v>7.3010765994307638E-3</v>
      </c>
      <c r="I157" s="144">
        <f t="shared" si="10"/>
        <v>1.4857948892675665E-5</v>
      </c>
      <c r="J157" s="145">
        <v>0.12315</v>
      </c>
      <c r="K157" s="144">
        <f t="shared" si="11"/>
        <v>2.5061460199933625E-4</v>
      </c>
      <c r="M157" s="146"/>
    </row>
    <row r="158" spans="2:13" x14ac:dyDescent="0.25">
      <c r="B158" s="134" t="s">
        <v>476</v>
      </c>
      <c r="C158" s="142" t="s">
        <v>477</v>
      </c>
      <c r="D158" s="143">
        <v>103.26</v>
      </c>
      <c r="E158" s="143">
        <v>246.3</v>
      </c>
      <c r="F158" s="143">
        <f t="shared" si="8"/>
        <v>25432.938000000002</v>
      </c>
      <c r="G158" s="144">
        <f t="shared" si="9"/>
        <v>8.6707221909149558E-4</v>
      </c>
      <c r="H158" s="145">
        <v>1.3641900121802679E-2</v>
      </c>
      <c r="I158" s="144">
        <f t="shared" si="10"/>
        <v>1.1828512611235993E-5</v>
      </c>
      <c r="J158" s="145">
        <v>0.11185</v>
      </c>
      <c r="K158" s="144">
        <f t="shared" si="11"/>
        <v>9.6982027705383791E-5</v>
      </c>
      <c r="M158" s="146"/>
    </row>
    <row r="159" spans="2:13" x14ac:dyDescent="0.25">
      <c r="B159" s="134" t="s">
        <v>478</v>
      </c>
      <c r="C159" s="142" t="s">
        <v>479</v>
      </c>
      <c r="D159" s="143">
        <v>300.88600000000002</v>
      </c>
      <c r="E159" s="143">
        <v>242.21</v>
      </c>
      <c r="F159" s="143">
        <f t="shared" si="8"/>
        <v>72877.598060000004</v>
      </c>
      <c r="G159" s="144">
        <f t="shared" si="9"/>
        <v>2.4845788823903191E-3</v>
      </c>
      <c r="H159" s="145">
        <v>2.3120432682383053E-2</v>
      </c>
      <c r="I159" s="144">
        <f t="shared" si="10"/>
        <v>5.744453879437589E-5</v>
      </c>
      <c r="J159" s="145">
        <v>3.9100000000000003E-2</v>
      </c>
      <c r="K159" s="144">
        <f t="shared" si="11"/>
        <v>9.7147034301461489E-5</v>
      </c>
      <c r="M159" s="146"/>
    </row>
    <row r="160" spans="2:13" x14ac:dyDescent="0.25">
      <c r="B160" s="134" t="s">
        <v>480</v>
      </c>
      <c r="C160" s="142" t="s">
        <v>481</v>
      </c>
      <c r="D160" s="143">
        <v>133.96</v>
      </c>
      <c r="E160" s="143">
        <v>210.88</v>
      </c>
      <c r="F160" s="143">
        <f t="shared" si="8"/>
        <v>28249.484800000002</v>
      </c>
      <c r="G160" s="144">
        <f t="shared" si="9"/>
        <v>9.6309531654296E-4</v>
      </c>
      <c r="H160" s="145">
        <v>1.1760242792109257E-2</v>
      </c>
      <c r="I160" s="144">
        <f t="shared" si="10"/>
        <v>1.1326234754488529E-5</v>
      </c>
      <c r="J160" s="145">
        <v>0.13100000000000001</v>
      </c>
      <c r="K160" s="144">
        <f t="shared" si="11"/>
        <v>1.2616548646712775E-4</v>
      </c>
      <c r="M160" s="146"/>
    </row>
    <row r="161" spans="2:13" x14ac:dyDescent="0.25">
      <c r="B161" s="134" t="s">
        <v>482</v>
      </c>
      <c r="C161" s="142" t="s">
        <v>483</v>
      </c>
      <c r="D161" s="143">
        <v>227.55699999999999</v>
      </c>
      <c r="E161" s="143">
        <v>225.41</v>
      </c>
      <c r="F161" s="143">
        <f t="shared" si="8"/>
        <v>51293.623369999994</v>
      </c>
      <c r="G161" s="144">
        <f t="shared" si="9"/>
        <v>1.7487274117001068E-3</v>
      </c>
      <c r="H161" s="145">
        <v>1.3309081229759106E-2</v>
      </c>
      <c r="I161" s="144">
        <f t="shared" si="10"/>
        <v>2.3273955171023116E-5</v>
      </c>
      <c r="J161" s="145">
        <v>0.13289999999999999</v>
      </c>
      <c r="K161" s="144">
        <f t="shared" si="11"/>
        <v>2.3240587301494417E-4</v>
      </c>
      <c r="M161" s="146"/>
    </row>
    <row r="162" spans="2:13" x14ac:dyDescent="0.25">
      <c r="B162" s="134" t="s">
        <v>484</v>
      </c>
      <c r="C162" s="142" t="s">
        <v>485</v>
      </c>
      <c r="D162" s="143">
        <v>383.00400000000002</v>
      </c>
      <c r="E162" s="143">
        <v>30.74</v>
      </c>
      <c r="F162" s="143">
        <f t="shared" si="8"/>
        <v>11773.542960000001</v>
      </c>
      <c r="G162" s="144">
        <f t="shared" si="9"/>
        <v>4.0138941167144182E-4</v>
      </c>
      <c r="H162" s="145">
        <v>4.0338321405335067E-2</v>
      </c>
      <c r="I162" s="144">
        <f t="shared" si="10"/>
        <v>1.6191375096700971E-5</v>
      </c>
      <c r="J162" s="145">
        <v>5.7099999999999998E-2</v>
      </c>
      <c r="K162" s="144">
        <f t="shared" si="11"/>
        <v>2.2919335406439329E-5</v>
      </c>
      <c r="M162" s="146"/>
    </row>
    <row r="163" spans="2:13" x14ac:dyDescent="0.25">
      <c r="B163" s="134" t="s">
        <v>486</v>
      </c>
      <c r="C163" s="142" t="s">
        <v>487</v>
      </c>
      <c r="D163" s="143">
        <v>255.279</v>
      </c>
      <c r="E163" s="143">
        <v>75.38</v>
      </c>
      <c r="F163" s="143">
        <f t="shared" si="8"/>
        <v>19242.93102</v>
      </c>
      <c r="G163" s="144">
        <f t="shared" si="9"/>
        <v>6.5603945959117965E-4</v>
      </c>
      <c r="H163" s="145">
        <v>4.2982223401432748E-2</v>
      </c>
      <c r="I163" s="144">
        <f t="shared" si="10"/>
        <v>2.8198034612303295E-5</v>
      </c>
      <c r="J163" s="145">
        <v>5.4949999999999999E-2</v>
      </c>
      <c r="K163" s="144">
        <f t="shared" si="11"/>
        <v>3.6049368304535321E-5</v>
      </c>
      <c r="M163" s="146"/>
    </row>
    <row r="164" spans="2:13" x14ac:dyDescent="0.25">
      <c r="B164" s="134" t="s">
        <v>488</v>
      </c>
      <c r="C164" s="142" t="s">
        <v>489</v>
      </c>
      <c r="D164" s="143">
        <v>61.432000000000002</v>
      </c>
      <c r="E164" s="143">
        <v>117.07</v>
      </c>
      <c r="F164" s="143">
        <f t="shared" si="8"/>
        <v>7191.8442399999994</v>
      </c>
      <c r="G164" s="144">
        <f t="shared" si="9"/>
        <v>2.4518788763363436E-4</v>
      </c>
      <c r="H164" s="145" t="s">
        <v>210</v>
      </c>
      <c r="I164" s="144" t="str">
        <f t="shared" si="10"/>
        <v/>
      </c>
      <c r="J164" s="145">
        <v>0.05</v>
      </c>
      <c r="K164" s="144">
        <f t="shared" si="11"/>
        <v>1.2259394381681718E-5</v>
      </c>
      <c r="M164" s="146"/>
    </row>
    <row r="165" spans="2:13" x14ac:dyDescent="0.25">
      <c r="B165" s="134" t="s">
        <v>490</v>
      </c>
      <c r="C165" s="142" t="s">
        <v>491</v>
      </c>
      <c r="D165" s="143">
        <v>257.76299999999998</v>
      </c>
      <c r="E165" s="143">
        <v>204.08</v>
      </c>
      <c r="F165" s="143">
        <f t="shared" si="8"/>
        <v>52604.27304</v>
      </c>
      <c r="G165" s="144" t="str">
        <f t="shared" si="9"/>
        <v/>
      </c>
      <c r="H165" s="145">
        <v>1.9874558996471971E-2</v>
      </c>
      <c r="I165" s="144" t="str">
        <f t="shared" si="10"/>
        <v/>
      </c>
      <c r="J165" s="145">
        <v>0.34</v>
      </c>
      <c r="K165" s="144" t="str">
        <f t="shared" si="11"/>
        <v/>
      </c>
      <c r="M165" s="146"/>
    </row>
    <row r="166" spans="2:13" x14ac:dyDescent="0.25">
      <c r="B166" s="134" t="s">
        <v>492</v>
      </c>
      <c r="C166" s="142" t="s">
        <v>493</v>
      </c>
      <c r="D166" s="143">
        <v>342.52</v>
      </c>
      <c r="E166" s="143">
        <v>52.54</v>
      </c>
      <c r="F166" s="143">
        <f t="shared" si="8"/>
        <v>17996.000799999998</v>
      </c>
      <c r="G166" s="144">
        <f t="shared" si="9"/>
        <v>6.1352850183601785E-4</v>
      </c>
      <c r="H166" s="145">
        <v>4.2634183479253907E-2</v>
      </c>
      <c r="I166" s="144">
        <f t="shared" si="10"/>
        <v>2.6157286717028551E-5</v>
      </c>
      <c r="J166" s="145">
        <v>1.6899999999999998E-2</v>
      </c>
      <c r="K166" s="144">
        <f t="shared" si="11"/>
        <v>1.03686316810287E-5</v>
      </c>
      <c r="M166" s="146"/>
    </row>
    <row r="167" spans="2:13" x14ac:dyDescent="0.25">
      <c r="B167" s="134" t="s">
        <v>494</v>
      </c>
      <c r="C167" s="142" t="s">
        <v>495</v>
      </c>
      <c r="D167" s="143">
        <v>117.64700000000001</v>
      </c>
      <c r="E167" s="143">
        <v>193.82</v>
      </c>
      <c r="F167" s="143">
        <f t="shared" si="8"/>
        <v>22802.341540000001</v>
      </c>
      <c r="G167" s="144" t="str">
        <f t="shared" si="9"/>
        <v/>
      </c>
      <c r="H167" s="145">
        <v>1.6510164069755445E-2</v>
      </c>
      <c r="I167" s="144" t="str">
        <f t="shared" si="10"/>
        <v/>
      </c>
      <c r="J167" s="145" t="s">
        <v>210</v>
      </c>
      <c r="K167" s="144" t="str">
        <f t="shared" si="11"/>
        <v/>
      </c>
      <c r="M167" s="146"/>
    </row>
    <row r="168" spans="2:13" x14ac:dyDescent="0.25">
      <c r="B168" s="134" t="s">
        <v>496</v>
      </c>
      <c r="C168" s="142" t="s">
        <v>497</v>
      </c>
      <c r="D168" s="143">
        <v>337.94099999999997</v>
      </c>
      <c r="E168" s="143">
        <v>123.73</v>
      </c>
      <c r="F168" s="143">
        <f t="shared" si="8"/>
        <v>41813.43993</v>
      </c>
      <c r="G168" s="144">
        <f t="shared" si="9"/>
        <v>1.4255243396556878E-3</v>
      </c>
      <c r="H168" s="145">
        <v>3.8147579406772811E-2</v>
      </c>
      <c r="I168" s="144">
        <f t="shared" si="10"/>
        <v>5.4380302943302725E-5</v>
      </c>
      <c r="J168" s="145">
        <v>9.64E-2</v>
      </c>
      <c r="K168" s="144">
        <f t="shared" si="11"/>
        <v>1.3742054634280831E-4</v>
      </c>
      <c r="M168" s="146"/>
    </row>
    <row r="169" spans="2:13" x14ac:dyDescent="0.25">
      <c r="B169" s="134" t="s">
        <v>498</v>
      </c>
      <c r="C169" s="142" t="s">
        <v>499</v>
      </c>
      <c r="D169" s="143">
        <v>619.89200000000005</v>
      </c>
      <c r="E169" s="143">
        <v>19.32</v>
      </c>
      <c r="F169" s="143">
        <f t="shared" si="8"/>
        <v>11976.313440000002</v>
      </c>
      <c r="G169" s="144">
        <f t="shared" si="9"/>
        <v>4.0830236250943971E-4</v>
      </c>
      <c r="H169" s="145">
        <v>4.9689440993788817E-2</v>
      </c>
      <c r="I169" s="144">
        <f t="shared" si="10"/>
        <v>2.0288316149537376E-5</v>
      </c>
      <c r="J169" s="145">
        <v>4.3499999999999997E-2</v>
      </c>
      <c r="K169" s="144">
        <f t="shared" si="11"/>
        <v>1.7761152769160625E-5</v>
      </c>
      <c r="M169" s="146"/>
    </row>
    <row r="170" spans="2:13" x14ac:dyDescent="0.25">
      <c r="B170" s="134" t="s">
        <v>500</v>
      </c>
      <c r="C170" s="142" t="s">
        <v>501</v>
      </c>
      <c r="D170" s="143">
        <v>2739.3760000000002</v>
      </c>
      <c r="E170" s="143">
        <v>116.21</v>
      </c>
      <c r="F170" s="143">
        <f t="shared" si="8"/>
        <v>318342.88496</v>
      </c>
      <c r="G170" s="144">
        <f t="shared" si="9"/>
        <v>1.085310205585591E-2</v>
      </c>
      <c r="H170" s="145">
        <v>1.3768178297908959E-2</v>
      </c>
      <c r="I170" s="144">
        <f t="shared" si="10"/>
        <v>1.4942744419042646E-4</v>
      </c>
      <c r="J170" s="145">
        <v>0.14449999999999999</v>
      </c>
      <c r="K170" s="144">
        <f t="shared" si="11"/>
        <v>1.5682732470711789E-3</v>
      </c>
      <c r="M170" s="146"/>
    </row>
    <row r="171" spans="2:13" x14ac:dyDescent="0.25">
      <c r="B171" s="134" t="s">
        <v>502</v>
      </c>
      <c r="C171" s="142" t="s">
        <v>503</v>
      </c>
      <c r="D171" s="143">
        <v>719.31600000000003</v>
      </c>
      <c r="E171" s="143">
        <v>44.27</v>
      </c>
      <c r="F171" s="143">
        <f t="shared" si="8"/>
        <v>31844.119320000005</v>
      </c>
      <c r="G171" s="144">
        <f t="shared" si="9"/>
        <v>1.0856453628678988E-3</v>
      </c>
      <c r="H171" s="145">
        <v>2.6202846171222042E-2</v>
      </c>
      <c r="I171" s="144">
        <f t="shared" si="10"/>
        <v>2.8446998439728086E-5</v>
      </c>
      <c r="J171" s="145">
        <v>4.2099999999999999E-2</v>
      </c>
      <c r="K171" s="144">
        <f t="shared" si="11"/>
        <v>4.5705669776738537E-5</v>
      </c>
      <c r="M171" s="146"/>
    </row>
    <row r="172" spans="2:13" x14ac:dyDescent="0.25">
      <c r="B172" s="134" t="s">
        <v>504</v>
      </c>
      <c r="C172" s="142" t="s">
        <v>505</v>
      </c>
      <c r="D172" s="143">
        <v>250.15199999999999</v>
      </c>
      <c r="E172" s="143">
        <v>127.92</v>
      </c>
      <c r="F172" s="143">
        <f t="shared" si="8"/>
        <v>31999.44384</v>
      </c>
      <c r="G172" s="144">
        <f t="shared" si="9"/>
        <v>1.0909407627244043E-3</v>
      </c>
      <c r="H172" s="145">
        <v>1.172607879924953E-2</v>
      </c>
      <c r="I172" s="144">
        <f t="shared" si="10"/>
        <v>1.279245734901975E-5</v>
      </c>
      <c r="J172" s="145">
        <v>0.01</v>
      </c>
      <c r="K172" s="144">
        <f t="shared" si="11"/>
        <v>1.0909407627244044E-5</v>
      </c>
      <c r="M172" s="146"/>
    </row>
    <row r="173" spans="2:13" x14ac:dyDescent="0.25">
      <c r="B173" s="134" t="s">
        <v>506</v>
      </c>
      <c r="C173" s="142" t="s">
        <v>507</v>
      </c>
      <c r="D173" s="143">
        <v>949.30700000000002</v>
      </c>
      <c r="E173" s="143">
        <v>591.04</v>
      </c>
      <c r="F173" s="143">
        <f t="shared" si="8"/>
        <v>561078.40928000002</v>
      </c>
      <c r="G173" s="144" t="str">
        <f t="shared" si="9"/>
        <v/>
      </c>
      <c r="H173" s="145">
        <v>7.6475365457498645E-3</v>
      </c>
      <c r="I173" s="144" t="str">
        <f t="shared" si="10"/>
        <v/>
      </c>
      <c r="J173" s="145">
        <v>0.21467</v>
      </c>
      <c r="K173" s="144" t="str">
        <f t="shared" si="11"/>
        <v/>
      </c>
      <c r="M173" s="146"/>
    </row>
    <row r="174" spans="2:13" x14ac:dyDescent="0.25">
      <c r="B174" s="134" t="s">
        <v>508</v>
      </c>
      <c r="C174" s="142" t="s">
        <v>509</v>
      </c>
      <c r="D174" s="143">
        <v>227.381</v>
      </c>
      <c r="E174" s="143">
        <v>32.619999999999997</v>
      </c>
      <c r="F174" s="143">
        <f t="shared" si="8"/>
        <v>7417.1682199999996</v>
      </c>
      <c r="G174" s="144">
        <f t="shared" si="9"/>
        <v>2.5286974347557952E-4</v>
      </c>
      <c r="H174" s="145">
        <v>2.4524831391784185E-2</v>
      </c>
      <c r="I174" s="144">
        <f t="shared" si="10"/>
        <v>6.2015878228223065E-6</v>
      </c>
      <c r="J174" s="145">
        <v>6.5099999999999991E-2</v>
      </c>
      <c r="K174" s="144">
        <f t="shared" si="11"/>
        <v>1.6461820300260224E-5</v>
      </c>
      <c r="M174" s="146"/>
    </row>
    <row r="175" spans="2:13" x14ac:dyDescent="0.25">
      <c r="B175" s="134" t="s">
        <v>510</v>
      </c>
      <c r="C175" s="142" t="s">
        <v>511</v>
      </c>
      <c r="D175" s="143">
        <v>147.91999999999999</v>
      </c>
      <c r="E175" s="143">
        <v>400.13</v>
      </c>
      <c r="F175" s="143">
        <f t="shared" si="8"/>
        <v>59187.229599999991</v>
      </c>
      <c r="G175" s="144">
        <f t="shared" si="9"/>
        <v>2.0178401139164435E-3</v>
      </c>
      <c r="H175" s="145" t="s">
        <v>210</v>
      </c>
      <c r="I175" s="144" t="str">
        <f t="shared" si="10"/>
        <v/>
      </c>
      <c r="J175" s="145">
        <v>0.1231</v>
      </c>
      <c r="K175" s="144">
        <f t="shared" si="11"/>
        <v>2.4839611802311419E-4</v>
      </c>
      <c r="M175" s="146"/>
    </row>
    <row r="176" spans="2:13" x14ac:dyDescent="0.25">
      <c r="B176" s="134" t="s">
        <v>512</v>
      </c>
      <c r="C176" s="142" t="s">
        <v>513</v>
      </c>
      <c r="D176" s="143">
        <v>223.251</v>
      </c>
      <c r="E176" s="143">
        <v>70.290000000000006</v>
      </c>
      <c r="F176" s="143">
        <f t="shared" si="8"/>
        <v>15692.312790000002</v>
      </c>
      <c r="G176" s="144" t="str">
        <f t="shared" si="9"/>
        <v/>
      </c>
      <c r="H176" s="145">
        <v>3.5566936975387677E-3</v>
      </c>
      <c r="I176" s="144" t="str">
        <f t="shared" si="10"/>
        <v/>
      </c>
      <c r="J176" s="145" t="s">
        <v>210</v>
      </c>
      <c r="K176" s="144" t="str">
        <f t="shared" si="11"/>
        <v/>
      </c>
      <c r="M176" s="146"/>
    </row>
    <row r="177" spans="2:13" x14ac:dyDescent="0.25">
      <c r="B177" s="134" t="s">
        <v>514</v>
      </c>
      <c r="C177" s="142" t="s">
        <v>515</v>
      </c>
      <c r="D177" s="143">
        <v>575.11300000000006</v>
      </c>
      <c r="E177" s="143">
        <v>198.83</v>
      </c>
      <c r="F177" s="143">
        <f t="shared" si="8"/>
        <v>114349.71779000002</v>
      </c>
      <c r="G177" s="144" t="str">
        <f t="shared" si="9"/>
        <v/>
      </c>
      <c r="H177" s="145">
        <v>2.2129457325353319E-2</v>
      </c>
      <c r="I177" s="144" t="str">
        <f t="shared" si="10"/>
        <v/>
      </c>
      <c r="J177" s="145">
        <v>0.20194999999999999</v>
      </c>
      <c r="K177" s="144" t="str">
        <f t="shared" si="11"/>
        <v/>
      </c>
      <c r="M177" s="146"/>
    </row>
    <row r="178" spans="2:13" x14ac:dyDescent="0.25">
      <c r="B178" s="134" t="s">
        <v>516</v>
      </c>
      <c r="C178" s="142" t="s">
        <v>517</v>
      </c>
      <c r="D178" s="143">
        <v>53.622</v>
      </c>
      <c r="E178" s="143">
        <v>300</v>
      </c>
      <c r="F178" s="143">
        <f t="shared" si="8"/>
        <v>16086.6</v>
      </c>
      <c r="G178" s="144" t="str">
        <f t="shared" si="9"/>
        <v/>
      </c>
      <c r="H178" s="145">
        <v>1.6266666666666665E-2</v>
      </c>
      <c r="I178" s="144" t="str">
        <f t="shared" si="10"/>
        <v/>
      </c>
      <c r="J178" s="145" t="s">
        <v>210</v>
      </c>
      <c r="K178" s="144" t="str">
        <f t="shared" si="11"/>
        <v/>
      </c>
      <c r="M178" s="146"/>
    </row>
    <row r="179" spans="2:13" x14ac:dyDescent="0.25">
      <c r="B179" s="134" t="s">
        <v>518</v>
      </c>
      <c r="C179" s="142" t="s">
        <v>519</v>
      </c>
      <c r="D179" s="143">
        <v>75.626000000000005</v>
      </c>
      <c r="E179" s="143">
        <v>201.68</v>
      </c>
      <c r="F179" s="143">
        <f t="shared" si="8"/>
        <v>15252.251680000001</v>
      </c>
      <c r="G179" s="144">
        <f t="shared" si="9"/>
        <v>5.1998725866117361E-4</v>
      </c>
      <c r="H179" s="145">
        <v>1.2693375644585482E-2</v>
      </c>
      <c r="I179" s="144">
        <f t="shared" si="10"/>
        <v>6.6003936045845125E-6</v>
      </c>
      <c r="J179" s="145">
        <v>0.11</v>
      </c>
      <c r="K179" s="144">
        <f t="shared" si="11"/>
        <v>5.7198598452729094E-5</v>
      </c>
      <c r="M179" s="146"/>
    </row>
    <row r="180" spans="2:13" x14ac:dyDescent="0.25">
      <c r="B180" s="134" t="s">
        <v>520</v>
      </c>
      <c r="C180" s="142" t="s">
        <v>521</v>
      </c>
      <c r="D180" s="143">
        <v>493.072</v>
      </c>
      <c r="E180" s="143">
        <v>199.42</v>
      </c>
      <c r="F180" s="143">
        <f t="shared" si="8"/>
        <v>98328.418239999999</v>
      </c>
      <c r="G180" s="144">
        <f t="shared" si="9"/>
        <v>3.3522607495490094E-3</v>
      </c>
      <c r="H180" s="145">
        <v>1.424129976933106E-2</v>
      </c>
      <c r="I180" s="144">
        <f t="shared" si="10"/>
        <v>4.7740550239289875E-5</v>
      </c>
      <c r="J180" s="145">
        <v>0.11525000000000001</v>
      </c>
      <c r="K180" s="144">
        <f t="shared" si="11"/>
        <v>3.8634805138552334E-4</v>
      </c>
      <c r="M180" s="146"/>
    </row>
    <row r="181" spans="2:13" x14ac:dyDescent="0.25">
      <c r="B181" s="134" t="s">
        <v>522</v>
      </c>
      <c r="C181" s="142" t="s">
        <v>523</v>
      </c>
      <c r="D181" s="143">
        <v>224.501</v>
      </c>
      <c r="E181" s="143">
        <v>60.55</v>
      </c>
      <c r="F181" s="143">
        <f t="shared" si="8"/>
        <v>13593.535550000001</v>
      </c>
      <c r="G181" s="144">
        <f t="shared" si="9"/>
        <v>4.6343749332608108E-4</v>
      </c>
      <c r="H181" s="145">
        <v>1.8827415359207265E-2</v>
      </c>
      <c r="I181" s="144">
        <f t="shared" si="10"/>
        <v>8.7253301798799737E-6</v>
      </c>
      <c r="J181" s="145">
        <v>4.36E-2</v>
      </c>
      <c r="K181" s="144">
        <f t="shared" si="11"/>
        <v>2.0205874709017136E-5</v>
      </c>
      <c r="M181" s="146"/>
    </row>
    <row r="182" spans="2:13" x14ac:dyDescent="0.25">
      <c r="B182" s="134" t="s">
        <v>524</v>
      </c>
      <c r="C182" s="142" t="s">
        <v>525</v>
      </c>
      <c r="D182" s="143">
        <v>316.8</v>
      </c>
      <c r="E182" s="143">
        <v>415.83</v>
      </c>
      <c r="F182" s="143">
        <f t="shared" si="8"/>
        <v>131734.94399999999</v>
      </c>
      <c r="G182" s="144">
        <f t="shared" si="9"/>
        <v>4.4911724404775371E-3</v>
      </c>
      <c r="H182" s="145">
        <v>8.6573840271264701E-3</v>
      </c>
      <c r="I182" s="144">
        <f t="shared" si="10"/>
        <v>3.8881804549260834E-5</v>
      </c>
      <c r="J182" s="145">
        <v>0.13655</v>
      </c>
      <c r="K182" s="144">
        <f t="shared" si="11"/>
        <v>6.1326959674720769E-4</v>
      </c>
      <c r="M182" s="146"/>
    </row>
    <row r="183" spans="2:13" x14ac:dyDescent="0.25">
      <c r="B183" s="134" t="s">
        <v>526</v>
      </c>
      <c r="C183" s="142" t="s">
        <v>527</v>
      </c>
      <c r="D183" s="143">
        <v>1329.654</v>
      </c>
      <c r="E183" s="143">
        <v>79.27</v>
      </c>
      <c r="F183" s="143">
        <f t="shared" si="8"/>
        <v>105401.67258</v>
      </c>
      <c r="G183" s="144">
        <f t="shared" si="9"/>
        <v>3.5934056120411977E-3</v>
      </c>
      <c r="H183" s="145">
        <v>3.4817711618518987E-2</v>
      </c>
      <c r="I183" s="144">
        <f t="shared" si="10"/>
        <v>1.2511416032841814E-4</v>
      </c>
      <c r="J183" s="145">
        <v>4.3250000000000004E-2</v>
      </c>
      <c r="K183" s="144">
        <f t="shared" si="11"/>
        <v>1.5541479272078183E-4</v>
      </c>
      <c r="M183" s="146"/>
    </row>
    <row r="184" spans="2:13" x14ac:dyDescent="0.25">
      <c r="B184" s="134" t="s">
        <v>528</v>
      </c>
      <c r="C184" s="142" t="s">
        <v>529</v>
      </c>
      <c r="D184" s="143">
        <v>1199.671</v>
      </c>
      <c r="E184" s="143">
        <v>9.18</v>
      </c>
      <c r="F184" s="143">
        <f t="shared" si="8"/>
        <v>11012.97978</v>
      </c>
      <c r="G184" s="144" t="str">
        <f t="shared" si="9"/>
        <v/>
      </c>
      <c r="H184" s="145">
        <v>5.2287581699346407E-2</v>
      </c>
      <c r="I184" s="144" t="str">
        <f t="shared" si="10"/>
        <v/>
      </c>
      <c r="J184" s="145">
        <v>-2.58E-2</v>
      </c>
      <c r="K184" s="144" t="str">
        <f t="shared" si="11"/>
        <v/>
      </c>
      <c r="M184" s="146"/>
    </row>
    <row r="185" spans="2:13" x14ac:dyDescent="0.25">
      <c r="B185" s="134" t="s">
        <v>530</v>
      </c>
      <c r="C185" s="142" t="s">
        <v>531</v>
      </c>
      <c r="D185" s="143">
        <v>1286.8969999999999</v>
      </c>
      <c r="E185" s="143">
        <v>67.95</v>
      </c>
      <c r="F185" s="143">
        <f t="shared" si="8"/>
        <v>87444.651150000005</v>
      </c>
      <c r="G185" s="144">
        <f t="shared" si="9"/>
        <v>2.9812060140402261E-3</v>
      </c>
      <c r="H185" s="145">
        <v>3.5614422369389255E-2</v>
      </c>
      <c r="I185" s="144">
        <f t="shared" si="10"/>
        <v>1.0617393015419201E-4</v>
      </c>
      <c r="J185" s="145">
        <v>6.9850000000000009E-2</v>
      </c>
      <c r="K185" s="144">
        <f t="shared" si="11"/>
        <v>2.0823724008070982E-4</v>
      </c>
      <c r="M185" s="146"/>
    </row>
    <row r="186" spans="2:13" x14ac:dyDescent="0.25">
      <c r="B186" s="134" t="s">
        <v>532</v>
      </c>
      <c r="C186" s="142" t="s">
        <v>533</v>
      </c>
      <c r="D186" s="143">
        <v>430.04199999999997</v>
      </c>
      <c r="E186" s="143">
        <v>71.540000000000006</v>
      </c>
      <c r="F186" s="143">
        <f t="shared" si="8"/>
        <v>30765.204680000003</v>
      </c>
      <c r="G186" s="144">
        <f t="shared" si="9"/>
        <v>1.0488624748226756E-3</v>
      </c>
      <c r="H186" s="145">
        <v>2.0128599384959461E-2</v>
      </c>
      <c r="I186" s="144">
        <f t="shared" si="10"/>
        <v>2.1112132565622766E-5</v>
      </c>
      <c r="J186" s="145">
        <v>0.11425</v>
      </c>
      <c r="K186" s="144">
        <f t="shared" si="11"/>
        <v>1.1983253774849069E-4</v>
      </c>
      <c r="M186" s="146"/>
    </row>
    <row r="187" spans="2:13" x14ac:dyDescent="0.25">
      <c r="B187" s="134" t="s">
        <v>534</v>
      </c>
      <c r="C187" s="142" t="s">
        <v>535</v>
      </c>
      <c r="D187" s="143">
        <v>1098.0340000000001</v>
      </c>
      <c r="E187" s="143">
        <v>76.12</v>
      </c>
      <c r="F187" s="143">
        <f t="shared" si="8"/>
        <v>83582.348080000011</v>
      </c>
      <c r="G187" s="144" t="str">
        <f t="shared" si="9"/>
        <v/>
      </c>
      <c r="H187" s="145">
        <v>6.0430898581187598E-3</v>
      </c>
      <c r="I187" s="144" t="str">
        <f t="shared" si="10"/>
        <v/>
      </c>
      <c r="J187" s="145">
        <v>-0.11</v>
      </c>
      <c r="K187" s="144" t="str">
        <f t="shared" si="11"/>
        <v/>
      </c>
      <c r="M187" s="146"/>
    </row>
    <row r="188" spans="2:13" x14ac:dyDescent="0.25">
      <c r="B188" s="134" t="s">
        <v>536</v>
      </c>
      <c r="C188" s="142" t="s">
        <v>537</v>
      </c>
      <c r="D188" s="143">
        <v>165.96799999999999</v>
      </c>
      <c r="E188" s="143">
        <v>322.87</v>
      </c>
      <c r="F188" s="143">
        <f t="shared" si="8"/>
        <v>53586.088159999999</v>
      </c>
      <c r="G188" s="144">
        <f t="shared" si="9"/>
        <v>1.8268832477523326E-3</v>
      </c>
      <c r="H188" s="145">
        <v>1.2141109424845913E-2</v>
      </c>
      <c r="I188" s="144">
        <f t="shared" si="10"/>
        <v>2.2180389417378956E-5</v>
      </c>
      <c r="J188" s="145">
        <v>0.1082</v>
      </c>
      <c r="K188" s="144">
        <f t="shared" si="11"/>
        <v>1.976687674068024E-4</v>
      </c>
      <c r="M188" s="146"/>
    </row>
    <row r="189" spans="2:13" x14ac:dyDescent="0.25">
      <c r="B189" s="134" t="s">
        <v>538</v>
      </c>
      <c r="C189" s="142" t="s">
        <v>539</v>
      </c>
      <c r="D189" s="143">
        <v>105.556</v>
      </c>
      <c r="E189" s="143">
        <v>182.19</v>
      </c>
      <c r="F189" s="143">
        <f t="shared" si="8"/>
        <v>19231.247639999998</v>
      </c>
      <c r="G189" s="144">
        <f t="shared" si="9"/>
        <v>6.5564114405944308E-4</v>
      </c>
      <c r="H189" s="145">
        <v>1.2075305999231572E-2</v>
      </c>
      <c r="I189" s="144">
        <f t="shared" si="10"/>
        <v>7.9170674402040448E-6</v>
      </c>
      <c r="J189" s="145">
        <v>0.10210000000000001</v>
      </c>
      <c r="K189" s="144">
        <f t="shared" si="11"/>
        <v>6.6940960808469142E-5</v>
      </c>
      <c r="M189" s="146"/>
    </row>
    <row r="190" spans="2:13" x14ac:dyDescent="0.25">
      <c r="B190" s="134" t="s">
        <v>540</v>
      </c>
      <c r="C190" s="142" t="s">
        <v>541</v>
      </c>
      <c r="D190" s="143">
        <v>84.9</v>
      </c>
      <c r="E190" s="143">
        <v>216.91</v>
      </c>
      <c r="F190" s="143">
        <f t="shared" si="8"/>
        <v>18415.659</v>
      </c>
      <c r="G190" s="144" t="str">
        <f t="shared" si="9"/>
        <v/>
      </c>
      <c r="H190" s="145">
        <v>1.3277396155087363E-2</v>
      </c>
      <c r="I190" s="144" t="str">
        <f t="shared" si="10"/>
        <v/>
      </c>
      <c r="J190" s="145">
        <v>-0.32450000000000001</v>
      </c>
      <c r="K190" s="144" t="str">
        <f t="shared" si="11"/>
        <v/>
      </c>
      <c r="M190" s="146"/>
    </row>
    <row r="191" spans="2:13" x14ac:dyDescent="0.25">
      <c r="B191" s="134" t="s">
        <v>542</v>
      </c>
      <c r="C191" s="142" t="s">
        <v>57</v>
      </c>
      <c r="D191" s="143">
        <v>1152.492</v>
      </c>
      <c r="E191" s="143">
        <v>40.19</v>
      </c>
      <c r="F191" s="143">
        <f t="shared" si="8"/>
        <v>46318.653479999994</v>
      </c>
      <c r="G191" s="144">
        <f t="shared" si="9"/>
        <v>1.5791182936959001E-3</v>
      </c>
      <c r="H191" s="145">
        <v>3.9810898233391394E-2</v>
      </c>
      <c r="I191" s="144">
        <f t="shared" si="10"/>
        <v>6.2866117688814143E-5</v>
      </c>
      <c r="J191" s="145">
        <v>0.1158</v>
      </c>
      <c r="K191" s="144">
        <f t="shared" si="11"/>
        <v>1.8286189840998522E-4</v>
      </c>
      <c r="M191" s="146"/>
    </row>
    <row r="192" spans="2:13" x14ac:dyDescent="0.25">
      <c r="B192" s="134" t="s">
        <v>543</v>
      </c>
      <c r="C192" s="142" t="s">
        <v>544</v>
      </c>
      <c r="D192" s="143">
        <v>1224.0129999999999</v>
      </c>
      <c r="E192" s="143">
        <v>109.9</v>
      </c>
      <c r="F192" s="143">
        <f t="shared" si="8"/>
        <v>134519.0287</v>
      </c>
      <c r="G192" s="144">
        <f t="shared" si="9"/>
        <v>4.5860888240651385E-3</v>
      </c>
      <c r="H192" s="145">
        <v>1.3466787989080981E-2</v>
      </c>
      <c r="I192" s="144">
        <f t="shared" si="10"/>
        <v>6.1759885892778924E-5</v>
      </c>
      <c r="J192" s="145">
        <v>0.16070000000000001</v>
      </c>
      <c r="K192" s="144">
        <f t="shared" si="11"/>
        <v>7.3698447402726784E-4</v>
      </c>
      <c r="M192" s="146"/>
    </row>
    <row r="193" spans="2:13" x14ac:dyDescent="0.25">
      <c r="B193" s="134" t="s">
        <v>545</v>
      </c>
      <c r="C193" s="142" t="s">
        <v>546</v>
      </c>
      <c r="D193" s="143">
        <v>413.41500000000002</v>
      </c>
      <c r="E193" s="143">
        <v>25.64</v>
      </c>
      <c r="F193" s="143">
        <f t="shared" si="8"/>
        <v>10599.9606</v>
      </c>
      <c r="G193" s="144">
        <f t="shared" si="9"/>
        <v>3.6137906519979803E-4</v>
      </c>
      <c r="H193" s="145">
        <v>3.9001560062402497E-2</v>
      </c>
      <c r="I193" s="144">
        <f t="shared" si="10"/>
        <v>1.4094347316684791E-5</v>
      </c>
      <c r="J193" s="145">
        <v>7.6499999999999999E-2</v>
      </c>
      <c r="K193" s="144">
        <f t="shared" si="11"/>
        <v>2.7645498487784549E-5</v>
      </c>
      <c r="M193" s="146"/>
    </row>
    <row r="194" spans="2:13" x14ac:dyDescent="0.25">
      <c r="B194" s="134" t="s">
        <v>547</v>
      </c>
      <c r="C194" s="142" t="s">
        <v>548</v>
      </c>
      <c r="D194" s="143">
        <v>226.136</v>
      </c>
      <c r="E194" s="143">
        <v>218.16</v>
      </c>
      <c r="F194" s="143">
        <f t="shared" si="8"/>
        <v>49333.829760000001</v>
      </c>
      <c r="G194" s="144">
        <f t="shared" si="9"/>
        <v>1.6819131649786299E-3</v>
      </c>
      <c r="H194" s="145">
        <v>2.4752475247524754E-2</v>
      </c>
      <c r="I194" s="144">
        <f t="shared" si="10"/>
        <v>4.1631513984619556E-5</v>
      </c>
      <c r="J194" s="145">
        <v>7.3000000000000001E-3</v>
      </c>
      <c r="K194" s="144">
        <f t="shared" si="11"/>
        <v>1.2277966104343999E-5</v>
      </c>
      <c r="M194" s="146"/>
    </row>
    <row r="195" spans="2:13" x14ac:dyDescent="0.25">
      <c r="B195" s="134" t="s">
        <v>549</v>
      </c>
      <c r="C195" s="142" t="s">
        <v>550</v>
      </c>
      <c r="D195" s="143">
        <v>238.41200000000001</v>
      </c>
      <c r="E195" s="143">
        <v>73.83</v>
      </c>
      <c r="F195" s="143">
        <f t="shared" si="8"/>
        <v>17601.95796</v>
      </c>
      <c r="G195" s="144">
        <f t="shared" si="9"/>
        <v>6.0009459971680868E-4</v>
      </c>
      <c r="H195" s="145">
        <v>3.6299607205742927E-2</v>
      </c>
      <c r="I195" s="144">
        <f t="shared" si="10"/>
        <v>2.1783198256007685E-5</v>
      </c>
      <c r="J195" s="145">
        <v>8.9749999999999996E-2</v>
      </c>
      <c r="K195" s="144">
        <f t="shared" si="11"/>
        <v>5.385849032458358E-5</v>
      </c>
      <c r="M195" s="146"/>
    </row>
    <row r="196" spans="2:13" x14ac:dyDescent="0.25">
      <c r="B196" s="134" t="s">
        <v>551</v>
      </c>
      <c r="C196" s="142" t="s">
        <v>552</v>
      </c>
      <c r="D196" s="143">
        <v>349.08600000000001</v>
      </c>
      <c r="E196" s="143">
        <v>59.41</v>
      </c>
      <c r="F196" s="143">
        <f t="shared" si="8"/>
        <v>20739.199260000001</v>
      </c>
      <c r="G196" s="144">
        <f t="shared" si="9"/>
        <v>7.0705097163956847E-4</v>
      </c>
      <c r="H196" s="145">
        <v>4.5446894462211757E-2</v>
      </c>
      <c r="I196" s="144">
        <f t="shared" si="10"/>
        <v>3.2133270887507743E-5</v>
      </c>
      <c r="J196" s="145">
        <v>5.21E-2</v>
      </c>
      <c r="K196" s="144">
        <f t="shared" si="11"/>
        <v>3.6837355622421518E-5</v>
      </c>
      <c r="M196" s="146"/>
    </row>
    <row r="197" spans="2:13" x14ac:dyDescent="0.25">
      <c r="B197" s="134" t="s">
        <v>553</v>
      </c>
      <c r="C197" s="142" t="s">
        <v>554</v>
      </c>
      <c r="D197" s="143">
        <v>150.79300000000001</v>
      </c>
      <c r="E197" s="143">
        <v>475.16</v>
      </c>
      <c r="F197" s="143">
        <f t="shared" si="8"/>
        <v>71650.801880000014</v>
      </c>
      <c r="G197" s="144">
        <f t="shared" si="9"/>
        <v>2.4427543442199526E-3</v>
      </c>
      <c r="H197" s="145">
        <v>1.5742065830457109E-2</v>
      </c>
      <c r="I197" s="144">
        <f t="shared" si="10"/>
        <v>3.8453999694345581E-5</v>
      </c>
      <c r="J197" s="145">
        <v>2.5249999999999998E-2</v>
      </c>
      <c r="K197" s="144">
        <f t="shared" si="11"/>
        <v>6.1679547191553804E-5</v>
      </c>
      <c r="M197" s="146"/>
    </row>
    <row r="198" spans="2:13" x14ac:dyDescent="0.25">
      <c r="B198" s="134" t="s">
        <v>555</v>
      </c>
      <c r="C198" s="142" t="s">
        <v>556</v>
      </c>
      <c r="D198" s="143">
        <v>3631.64</v>
      </c>
      <c r="E198" s="143">
        <v>44.59</v>
      </c>
      <c r="F198" s="143">
        <f t="shared" si="8"/>
        <v>161934.82760000002</v>
      </c>
      <c r="G198" s="144">
        <f t="shared" si="9"/>
        <v>5.5207617112631967E-3</v>
      </c>
      <c r="H198" s="145">
        <v>3.1397174254317109E-2</v>
      </c>
      <c r="I198" s="144">
        <f t="shared" si="10"/>
        <v>1.733363174650925E-4</v>
      </c>
      <c r="J198" s="145">
        <v>0.1341</v>
      </c>
      <c r="K198" s="144">
        <f t="shared" si="11"/>
        <v>7.403341454803947E-4</v>
      </c>
      <c r="M198" s="146"/>
    </row>
    <row r="199" spans="2:13" x14ac:dyDescent="0.25">
      <c r="B199" s="134" t="s">
        <v>557</v>
      </c>
      <c r="C199" s="142" t="s">
        <v>558</v>
      </c>
      <c r="D199" s="143">
        <v>245.839</v>
      </c>
      <c r="E199" s="143">
        <v>169.97</v>
      </c>
      <c r="F199" s="143">
        <f t="shared" si="8"/>
        <v>41785.254829999998</v>
      </c>
      <c r="G199" s="144" t="str">
        <f t="shared" si="9"/>
        <v/>
      </c>
      <c r="H199" s="145">
        <v>1.2002118020827205E-2</v>
      </c>
      <c r="I199" s="144" t="str">
        <f t="shared" si="10"/>
        <v/>
      </c>
      <c r="J199" s="145">
        <v>-0.1084</v>
      </c>
      <c r="K199" s="144" t="str">
        <f t="shared" si="11"/>
        <v/>
      </c>
      <c r="M199" s="146"/>
    </row>
    <row r="200" spans="2:13" x14ac:dyDescent="0.25">
      <c r="B200" s="134" t="s">
        <v>559</v>
      </c>
      <c r="C200" s="142" t="s">
        <v>560</v>
      </c>
      <c r="D200" s="143">
        <v>880.37099999999998</v>
      </c>
      <c r="E200" s="143">
        <v>59.15</v>
      </c>
      <c r="F200" s="143">
        <f t="shared" si="8"/>
        <v>52073.944649999998</v>
      </c>
      <c r="G200" s="144" t="str">
        <f t="shared" si="9"/>
        <v/>
      </c>
      <c r="H200" s="145">
        <v>1.2172442941673712E-2</v>
      </c>
      <c r="I200" s="144" t="str">
        <f t="shared" si="10"/>
        <v/>
      </c>
      <c r="J200" s="145" t="s">
        <v>210</v>
      </c>
      <c r="K200" s="144" t="str">
        <f t="shared" si="11"/>
        <v/>
      </c>
      <c r="M200" s="146"/>
    </row>
    <row r="201" spans="2:13" x14ac:dyDescent="0.25">
      <c r="B201" s="134" t="s">
        <v>561</v>
      </c>
      <c r="C201" s="142" t="s">
        <v>562</v>
      </c>
      <c r="D201" s="143">
        <v>197.934</v>
      </c>
      <c r="E201" s="143">
        <v>80.63</v>
      </c>
      <c r="F201" s="143">
        <f t="shared" si="8"/>
        <v>15959.418419999998</v>
      </c>
      <c r="G201" s="144">
        <f t="shared" si="9"/>
        <v>5.4409633463656812E-4</v>
      </c>
      <c r="H201" s="145">
        <v>3.4726528587374426E-2</v>
      </c>
      <c r="I201" s="144">
        <f t="shared" si="10"/>
        <v>1.8894576919042425E-5</v>
      </c>
      <c r="J201" s="145">
        <v>4.7199999999999999E-2</v>
      </c>
      <c r="K201" s="144">
        <f t="shared" si="11"/>
        <v>2.5681346994846014E-5</v>
      </c>
      <c r="M201" s="146"/>
    </row>
    <row r="202" spans="2:13" x14ac:dyDescent="0.25">
      <c r="B202" s="134" t="s">
        <v>563</v>
      </c>
      <c r="C202" s="142" t="s">
        <v>564</v>
      </c>
      <c r="D202" s="143">
        <v>582.55100000000004</v>
      </c>
      <c r="E202" s="143">
        <v>68.849999999999994</v>
      </c>
      <c r="F202" s="143">
        <f t="shared" si="8"/>
        <v>40108.636350000001</v>
      </c>
      <c r="G202" s="144">
        <f t="shared" si="9"/>
        <v>1.3674033383295442E-3</v>
      </c>
      <c r="H202" s="145">
        <v>5.5482933914306469E-2</v>
      </c>
      <c r="I202" s="144">
        <f t="shared" si="10"/>
        <v>7.5867549054740147E-5</v>
      </c>
      <c r="J202" s="145">
        <v>6.93E-2</v>
      </c>
      <c r="K202" s="144">
        <f t="shared" si="11"/>
        <v>9.4761051346237412E-5</v>
      </c>
      <c r="M202" s="146"/>
    </row>
    <row r="203" spans="2:13" x14ac:dyDescent="0.25">
      <c r="B203" s="134" t="s">
        <v>565</v>
      </c>
      <c r="C203" s="142" t="s">
        <v>566</v>
      </c>
      <c r="D203" s="143">
        <v>208.607</v>
      </c>
      <c r="E203" s="143">
        <v>105.15</v>
      </c>
      <c r="F203" s="143">
        <f t="shared" si="8"/>
        <v>21935.02605</v>
      </c>
      <c r="G203" s="144" t="str">
        <f t="shared" si="9"/>
        <v/>
      </c>
      <c r="H203" s="145">
        <v>1.7118402282453638E-2</v>
      </c>
      <c r="I203" s="144" t="str">
        <f t="shared" si="10"/>
        <v/>
      </c>
      <c r="J203" s="145" t="s">
        <v>210</v>
      </c>
      <c r="K203" s="144" t="str">
        <f t="shared" si="11"/>
        <v/>
      </c>
      <c r="M203" s="146"/>
    </row>
    <row r="204" spans="2:13" x14ac:dyDescent="0.25">
      <c r="B204" s="134" t="s">
        <v>567</v>
      </c>
      <c r="C204" s="142" t="s">
        <v>568</v>
      </c>
      <c r="D204" s="143">
        <v>2133.5079999999998</v>
      </c>
      <c r="E204" s="143">
        <v>17.170000000000002</v>
      </c>
      <c r="F204" s="143">
        <f t="shared" si="8"/>
        <v>36632.33236</v>
      </c>
      <c r="G204" s="144">
        <f t="shared" si="9"/>
        <v>1.248887474576567E-3</v>
      </c>
      <c r="H204" s="145">
        <v>2.3296447291787999E-3</v>
      </c>
      <c r="I204" s="144">
        <f t="shared" si="10"/>
        <v>2.9094641224847217E-6</v>
      </c>
      <c r="J204" s="145">
        <v>6.2549999999999994E-2</v>
      </c>
      <c r="K204" s="144">
        <f t="shared" si="11"/>
        <v>7.8117911534764266E-5</v>
      </c>
      <c r="M204" s="146"/>
    </row>
    <row r="205" spans="2:13" x14ac:dyDescent="0.25">
      <c r="B205" s="134" t="s">
        <v>569</v>
      </c>
      <c r="C205" s="142" t="s">
        <v>570</v>
      </c>
      <c r="D205" s="143">
        <v>128.476</v>
      </c>
      <c r="E205" s="143">
        <v>433.18</v>
      </c>
      <c r="F205" s="143">
        <f t="shared" si="8"/>
        <v>55653.233679999998</v>
      </c>
      <c r="G205" s="144">
        <f t="shared" si="9"/>
        <v>1.8973573885382475E-3</v>
      </c>
      <c r="H205" s="145">
        <v>1.3666374255505794E-2</v>
      </c>
      <c r="I205" s="144">
        <f t="shared" si="10"/>
        <v>2.5929996168212808E-5</v>
      </c>
      <c r="J205" s="145">
        <v>0.15279999999999999</v>
      </c>
      <c r="K205" s="144">
        <f t="shared" si="11"/>
        <v>2.8991620896864418E-4</v>
      </c>
      <c r="M205" s="146"/>
    </row>
    <row r="206" spans="2:13" x14ac:dyDescent="0.25">
      <c r="B206" s="134" t="s">
        <v>571</v>
      </c>
      <c r="C206" s="142" t="s">
        <v>572</v>
      </c>
      <c r="D206" s="143">
        <v>484.03800000000001</v>
      </c>
      <c r="E206" s="143">
        <v>40.74</v>
      </c>
      <c r="F206" s="143">
        <f t="shared" si="8"/>
        <v>19719.708120000003</v>
      </c>
      <c r="G206" s="144">
        <f t="shared" si="9"/>
        <v>6.7229397875483306E-4</v>
      </c>
      <c r="H206" s="145">
        <v>1.4727540500736375E-2</v>
      </c>
      <c r="I206" s="144">
        <f t="shared" si="10"/>
        <v>9.9012368005130045E-6</v>
      </c>
      <c r="J206" s="145">
        <v>0.14855000000000002</v>
      </c>
      <c r="K206" s="144">
        <f t="shared" si="11"/>
        <v>9.9869270544030459E-5</v>
      </c>
      <c r="M206" s="146"/>
    </row>
    <row r="207" spans="2:13" x14ac:dyDescent="0.25">
      <c r="B207" s="134" t="s">
        <v>573</v>
      </c>
      <c r="C207" s="142" t="s">
        <v>574</v>
      </c>
      <c r="D207" s="143">
        <v>737.08900000000006</v>
      </c>
      <c r="E207" s="143">
        <v>26.12</v>
      </c>
      <c r="F207" s="143">
        <f t="shared" si="8"/>
        <v>19252.764680000004</v>
      </c>
      <c r="G207" s="144">
        <f t="shared" si="9"/>
        <v>6.5637471355979289E-4</v>
      </c>
      <c r="H207" s="145">
        <v>3.6753445635528327E-2</v>
      </c>
      <c r="I207" s="144">
        <f t="shared" si="10"/>
        <v>2.4124032351355327E-5</v>
      </c>
      <c r="J207" s="145">
        <v>4.2000000000000003E-2</v>
      </c>
      <c r="K207" s="144">
        <f t="shared" si="11"/>
        <v>2.7567737969511304E-5</v>
      </c>
      <c r="M207" s="146"/>
    </row>
    <row r="208" spans="2:13" x14ac:dyDescent="0.25">
      <c r="B208" s="134" t="s">
        <v>575</v>
      </c>
      <c r="C208" s="142" t="s">
        <v>95</v>
      </c>
      <c r="D208" s="143">
        <v>1187.4079999999999</v>
      </c>
      <c r="E208" s="143">
        <v>115.57</v>
      </c>
      <c r="F208" s="143">
        <f t="shared" si="8"/>
        <v>137228.74255999998</v>
      </c>
      <c r="G208" s="144">
        <f t="shared" si="9"/>
        <v>4.6784697204324075E-3</v>
      </c>
      <c r="H208" s="145">
        <v>5.0186034438002942E-3</v>
      </c>
      <c r="I208" s="144">
        <f t="shared" si="10"/>
        <v>2.347938425067748E-5</v>
      </c>
      <c r="J208" s="145">
        <v>0.06</v>
      </c>
      <c r="K208" s="144">
        <f t="shared" si="11"/>
        <v>2.8070818322594446E-4</v>
      </c>
      <c r="M208" s="146"/>
    </row>
    <row r="209" spans="2:13" x14ac:dyDescent="0.25">
      <c r="B209" s="134" t="s">
        <v>576</v>
      </c>
      <c r="C209" s="142" t="s">
        <v>577</v>
      </c>
      <c r="D209" s="143">
        <v>215.595</v>
      </c>
      <c r="E209" s="143">
        <v>88.42</v>
      </c>
      <c r="F209" s="143">
        <f t="shared" si="8"/>
        <v>19062.909899999999</v>
      </c>
      <c r="G209" s="144">
        <f t="shared" si="9"/>
        <v>6.4990209111248718E-4</v>
      </c>
      <c r="H209" s="145">
        <v>9.0477267586518886E-3</v>
      </c>
      <c r="I209" s="144">
        <f t="shared" si="10"/>
        <v>5.8801365402622683E-6</v>
      </c>
      <c r="J209" s="145">
        <v>2.0400000000000001E-2</v>
      </c>
      <c r="K209" s="144">
        <f t="shared" si="11"/>
        <v>1.3258002658694739E-5</v>
      </c>
      <c r="M209" s="146"/>
    </row>
    <row r="210" spans="2:13" x14ac:dyDescent="0.25">
      <c r="B210" s="134" t="s">
        <v>578</v>
      </c>
      <c r="C210" s="142" t="s">
        <v>579</v>
      </c>
      <c r="D210" s="143">
        <v>113.312</v>
      </c>
      <c r="E210" s="143">
        <v>74.94</v>
      </c>
      <c r="F210" s="143">
        <f t="shared" si="8"/>
        <v>8491.601279999999</v>
      </c>
      <c r="G210" s="144">
        <f t="shared" si="9"/>
        <v>2.8949984329336166E-4</v>
      </c>
      <c r="H210" s="145">
        <v>4.6970910061382438E-2</v>
      </c>
      <c r="I210" s="144">
        <f t="shared" si="10"/>
        <v>1.35980711021168E-5</v>
      </c>
      <c r="J210" s="145">
        <v>5.9500000000000004E-2</v>
      </c>
      <c r="K210" s="144">
        <f t="shared" si="11"/>
        <v>1.7225240675955021E-5</v>
      </c>
      <c r="M210" s="146"/>
    </row>
    <row r="211" spans="2:13" x14ac:dyDescent="0.25">
      <c r="B211" s="134" t="s">
        <v>580</v>
      </c>
      <c r="C211" s="142" t="s">
        <v>581</v>
      </c>
      <c r="D211" s="143">
        <v>398.34100000000001</v>
      </c>
      <c r="E211" s="143">
        <v>133.96</v>
      </c>
      <c r="F211" s="143">
        <f t="shared" si="8"/>
        <v>53361.760360000007</v>
      </c>
      <c r="G211" s="144">
        <f t="shared" si="9"/>
        <v>1.8192353541684335E-3</v>
      </c>
      <c r="H211" s="145">
        <v>4.6282472379814872E-2</v>
      </c>
      <c r="I211" s="144">
        <f t="shared" si="10"/>
        <v>8.4198710031683252E-5</v>
      </c>
      <c r="J211" s="145">
        <v>0.12865000000000001</v>
      </c>
      <c r="K211" s="144">
        <f t="shared" si="11"/>
        <v>2.34044628313769E-4</v>
      </c>
      <c r="M211" s="146"/>
    </row>
    <row r="212" spans="2:13" x14ac:dyDescent="0.25">
      <c r="B212" s="134" t="s">
        <v>582</v>
      </c>
      <c r="C212" s="142" t="s">
        <v>583</v>
      </c>
      <c r="D212" s="143">
        <v>235.8</v>
      </c>
      <c r="E212" s="143">
        <v>141.99</v>
      </c>
      <c r="F212" s="143">
        <f t="shared" si="8"/>
        <v>33481.242000000006</v>
      </c>
      <c r="G212" s="144">
        <f t="shared" si="9"/>
        <v>1.1414589536953767E-3</v>
      </c>
      <c r="H212" s="145">
        <v>1.831114867244172E-2</v>
      </c>
      <c r="I212" s="144">
        <f t="shared" si="10"/>
        <v>2.0901424604605811E-5</v>
      </c>
      <c r="J212" s="145">
        <v>0.12909999999999999</v>
      </c>
      <c r="K212" s="144">
        <f t="shared" si="11"/>
        <v>1.4736235092207311E-4</v>
      </c>
      <c r="M212" s="146"/>
    </row>
    <row r="213" spans="2:13" x14ac:dyDescent="0.25">
      <c r="B213" s="134" t="s">
        <v>584</v>
      </c>
      <c r="C213" s="142" t="s">
        <v>585</v>
      </c>
      <c r="D213" s="143">
        <v>585.04100000000005</v>
      </c>
      <c r="E213" s="143">
        <v>164.03</v>
      </c>
      <c r="F213" s="143">
        <f t="shared" ref="F213:F276" si="12">IFERROR(D213*E213,"")</f>
        <v>95964.275230000014</v>
      </c>
      <c r="G213" s="144" t="str">
        <f t="shared" ref="G213:G276" si="13">IF(AND(ISNUMBER($J213)), IF(AND($J213&lt;=20%,$J213&gt;0%), $F213/SUMIFS($F$20:$F$521,$J$20:$J$521, "&gt;"&amp;0%,$J$20:$J$521, "&lt;="&amp;20%),""),"")</f>
        <v/>
      </c>
      <c r="H213" s="145">
        <v>2.438578308845943E-3</v>
      </c>
      <c r="I213" s="144" t="str">
        <f t="shared" ref="I213:I276" si="14">IFERROR($H213*$G213,"")</f>
        <v/>
      </c>
      <c r="J213" s="145">
        <v>0.39340000000000003</v>
      </c>
      <c r="K213" s="144" t="str">
        <f t="shared" ref="K213:K276" si="15">IFERROR($J213*$G213,"")</f>
        <v/>
      </c>
      <c r="M213" s="146"/>
    </row>
    <row r="214" spans="2:13" x14ac:dyDescent="0.25">
      <c r="B214" s="134" t="s">
        <v>586</v>
      </c>
      <c r="C214" s="142" t="s">
        <v>587</v>
      </c>
      <c r="D214" s="143">
        <v>246.30799999999999</v>
      </c>
      <c r="E214" s="143">
        <v>77.25</v>
      </c>
      <c r="F214" s="143">
        <f t="shared" si="12"/>
        <v>19027.292999999998</v>
      </c>
      <c r="G214" s="144" t="str">
        <f t="shared" si="13"/>
        <v/>
      </c>
      <c r="H214" s="145" t="s">
        <v>210</v>
      </c>
      <c r="I214" s="144" t="str">
        <f t="shared" si="14"/>
        <v/>
      </c>
      <c r="J214" s="145" t="s">
        <v>210</v>
      </c>
      <c r="K214" s="144" t="str">
        <f t="shared" si="15"/>
        <v/>
      </c>
      <c r="M214" s="146"/>
    </row>
    <row r="215" spans="2:13" x14ac:dyDescent="0.25">
      <c r="B215" s="134" t="s">
        <v>588</v>
      </c>
      <c r="C215" s="142" t="s">
        <v>589</v>
      </c>
      <c r="D215" s="143">
        <v>499.11099999999999</v>
      </c>
      <c r="E215" s="143">
        <v>62.43</v>
      </c>
      <c r="F215" s="143">
        <f t="shared" si="12"/>
        <v>31159.49973</v>
      </c>
      <c r="G215" s="144">
        <f t="shared" si="13"/>
        <v>1.0623049754091311E-3</v>
      </c>
      <c r="H215" s="145">
        <v>3.6520903411821237E-2</v>
      </c>
      <c r="I215" s="144">
        <f t="shared" si="14"/>
        <v>3.8796337400814013E-5</v>
      </c>
      <c r="J215" s="145">
        <v>5.4699999999999999E-2</v>
      </c>
      <c r="K215" s="144">
        <f t="shared" si="15"/>
        <v>5.8108082154879471E-5</v>
      </c>
      <c r="M215" s="146"/>
    </row>
    <row r="216" spans="2:13" x14ac:dyDescent="0.25">
      <c r="B216" s="134" t="s">
        <v>590</v>
      </c>
      <c r="C216" s="142" t="s">
        <v>591</v>
      </c>
      <c r="D216" s="143">
        <v>105.895</v>
      </c>
      <c r="E216" s="143">
        <v>81.98</v>
      </c>
      <c r="F216" s="143">
        <f t="shared" si="12"/>
        <v>8681.2721000000001</v>
      </c>
      <c r="G216" s="144">
        <f t="shared" si="13"/>
        <v>2.9596619408595607E-4</v>
      </c>
      <c r="H216" s="145">
        <v>2.3420346425957549E-2</v>
      </c>
      <c r="I216" s="144">
        <f t="shared" si="14"/>
        <v>6.9316307958652796E-6</v>
      </c>
      <c r="J216" s="145">
        <v>1.26E-2</v>
      </c>
      <c r="K216" s="144">
        <f t="shared" si="15"/>
        <v>3.7291740454830464E-6</v>
      </c>
      <c r="M216" s="146"/>
    </row>
    <row r="217" spans="2:13" x14ac:dyDescent="0.25">
      <c r="B217" s="134" t="s">
        <v>592</v>
      </c>
      <c r="C217" s="142" t="s">
        <v>593</v>
      </c>
      <c r="D217" s="143">
        <v>49.524000000000001</v>
      </c>
      <c r="E217" s="143">
        <v>336.92</v>
      </c>
      <c r="F217" s="143">
        <f t="shared" si="12"/>
        <v>16685.626080000002</v>
      </c>
      <c r="G217" s="144">
        <f t="shared" si="13"/>
        <v>5.6885456301259936E-4</v>
      </c>
      <c r="H217" s="145">
        <v>1.7808381811706042E-4</v>
      </c>
      <c r="I217" s="144">
        <f t="shared" si="14"/>
        <v>1.0130379253459562E-7</v>
      </c>
      <c r="J217" s="145">
        <v>7.5399999999999995E-2</v>
      </c>
      <c r="K217" s="144">
        <f t="shared" si="15"/>
        <v>4.2891634051149989E-5</v>
      </c>
      <c r="M217" s="146"/>
    </row>
    <row r="218" spans="2:13" x14ac:dyDescent="0.25">
      <c r="B218" s="134" t="s">
        <v>594</v>
      </c>
      <c r="C218" s="142" t="s">
        <v>595</v>
      </c>
      <c r="D218" s="143">
        <v>383.56799999999998</v>
      </c>
      <c r="E218" s="143">
        <v>66.989999999999995</v>
      </c>
      <c r="F218" s="143">
        <f t="shared" si="12"/>
        <v>25695.220319999997</v>
      </c>
      <c r="G218" s="144">
        <f t="shared" si="13"/>
        <v>8.7601407682066793E-4</v>
      </c>
      <c r="H218" s="145">
        <v>4.4036423346768182E-2</v>
      </c>
      <c r="I218" s="144">
        <f t="shared" si="14"/>
        <v>3.8576526744603235E-5</v>
      </c>
      <c r="J218" s="145">
        <v>4.7969999999999999E-2</v>
      </c>
      <c r="K218" s="144">
        <f t="shared" si="15"/>
        <v>4.2022395265087437E-5</v>
      </c>
      <c r="M218" s="146"/>
    </row>
    <row r="219" spans="2:13" x14ac:dyDescent="0.25">
      <c r="B219" s="134" t="s">
        <v>596</v>
      </c>
      <c r="C219" s="142" t="s">
        <v>597</v>
      </c>
      <c r="D219" s="143">
        <v>1423.421</v>
      </c>
      <c r="E219" s="143">
        <v>52.04</v>
      </c>
      <c r="F219" s="143">
        <f t="shared" si="12"/>
        <v>74074.828840000002</v>
      </c>
      <c r="G219" s="144" t="str">
        <f t="shared" si="13"/>
        <v/>
      </c>
      <c r="H219" s="145">
        <v>1.921598770176787E-2</v>
      </c>
      <c r="I219" s="144" t="str">
        <f t="shared" si="14"/>
        <v/>
      </c>
      <c r="J219" s="145">
        <v>0.33409999999999995</v>
      </c>
      <c r="K219" s="144" t="str">
        <f t="shared" si="15"/>
        <v/>
      </c>
      <c r="M219" s="146"/>
    </row>
    <row r="220" spans="2:13" x14ac:dyDescent="0.25">
      <c r="B220" s="134" t="s">
        <v>598</v>
      </c>
      <c r="C220" s="142" t="s">
        <v>599</v>
      </c>
      <c r="D220" s="143">
        <v>1771.682</v>
      </c>
      <c r="E220" s="143">
        <v>61.32</v>
      </c>
      <c r="F220" s="143">
        <f t="shared" si="12"/>
        <v>108639.54024</v>
      </c>
      <c r="G220" s="144">
        <f t="shared" si="13"/>
        <v>3.7037925872731112E-3</v>
      </c>
      <c r="H220" s="145">
        <v>1.6307893020221786E-2</v>
      </c>
      <c r="I220" s="144">
        <f t="shared" si="14"/>
        <v>6.0401053282340366E-5</v>
      </c>
      <c r="J220" s="145">
        <v>3.6000000000000004E-2</v>
      </c>
      <c r="K220" s="144">
        <f t="shared" si="15"/>
        <v>1.3333653314183202E-4</v>
      </c>
      <c r="M220" s="146"/>
    </row>
    <row r="221" spans="2:13" x14ac:dyDescent="0.25">
      <c r="B221" s="134" t="s">
        <v>600</v>
      </c>
      <c r="C221" s="142" t="s">
        <v>601</v>
      </c>
      <c r="D221" s="143">
        <v>255.96600000000001</v>
      </c>
      <c r="E221" s="143">
        <v>278.8</v>
      </c>
      <c r="F221" s="143">
        <f t="shared" si="12"/>
        <v>71363.320800000001</v>
      </c>
      <c r="G221" s="144">
        <f t="shared" si="13"/>
        <v>2.4329533979831307E-3</v>
      </c>
      <c r="H221" s="145">
        <v>8.6800573888091807E-3</v>
      </c>
      <c r="I221" s="144">
        <f t="shared" si="14"/>
        <v>2.1118175118791877E-5</v>
      </c>
      <c r="J221" s="145">
        <v>0.109</v>
      </c>
      <c r="K221" s="144">
        <f t="shared" si="15"/>
        <v>2.6519192038016126E-4</v>
      </c>
      <c r="M221" s="146"/>
    </row>
    <row r="222" spans="2:13" x14ac:dyDescent="0.25">
      <c r="B222" s="134" t="s">
        <v>602</v>
      </c>
      <c r="C222" s="142" t="s">
        <v>99</v>
      </c>
      <c r="D222" s="143">
        <v>73.989999999999995</v>
      </c>
      <c r="E222" s="143">
        <v>350.76</v>
      </c>
      <c r="F222" s="143">
        <f t="shared" si="12"/>
        <v>25952.732399999997</v>
      </c>
      <c r="G222" s="144">
        <f t="shared" si="13"/>
        <v>8.8479330518384286E-4</v>
      </c>
      <c r="H222" s="145">
        <v>2.2807617744326609E-3</v>
      </c>
      <c r="I222" s="144">
        <f t="shared" si="14"/>
        <v>2.0180027487372403E-6</v>
      </c>
      <c r="J222" s="145">
        <v>5.7999999999999996E-2</v>
      </c>
      <c r="K222" s="144">
        <f t="shared" si="15"/>
        <v>5.1318011700662885E-5</v>
      </c>
      <c r="M222" s="146"/>
    </row>
    <row r="223" spans="2:13" x14ac:dyDescent="0.25">
      <c r="B223" s="134" t="s">
        <v>603</v>
      </c>
      <c r="C223" s="142" t="s">
        <v>604</v>
      </c>
      <c r="D223" s="143">
        <v>106.133</v>
      </c>
      <c r="E223" s="143">
        <v>109.73</v>
      </c>
      <c r="F223" s="143">
        <f t="shared" si="12"/>
        <v>11645.97409</v>
      </c>
      <c r="G223" s="144">
        <f t="shared" si="13"/>
        <v>3.9704027107282535E-4</v>
      </c>
      <c r="H223" s="145">
        <v>3.8640298915519913E-2</v>
      </c>
      <c r="I223" s="144">
        <f t="shared" si="14"/>
        <v>1.5341754755753025E-5</v>
      </c>
      <c r="J223" s="145">
        <v>5.9500000000000004E-2</v>
      </c>
      <c r="K223" s="144">
        <f t="shared" si="15"/>
        <v>2.362389612883311E-5</v>
      </c>
      <c r="M223" s="146"/>
    </row>
    <row r="224" spans="2:13" x14ac:dyDescent="0.25">
      <c r="B224" s="134" t="s">
        <v>605</v>
      </c>
      <c r="C224" s="142" t="s">
        <v>606</v>
      </c>
      <c r="D224" s="143">
        <v>52.78</v>
      </c>
      <c r="E224" s="143">
        <v>274.69</v>
      </c>
      <c r="F224" s="143">
        <f t="shared" si="12"/>
        <v>14498.138199999999</v>
      </c>
      <c r="G224" s="144">
        <f t="shared" si="13"/>
        <v>4.942776513578251E-4</v>
      </c>
      <c r="H224" s="145">
        <v>2.7085077723979761E-2</v>
      </c>
      <c r="I224" s="144">
        <f t="shared" si="14"/>
        <v>1.3387548604252864E-5</v>
      </c>
      <c r="J224" s="145">
        <v>4.8499999999999995E-2</v>
      </c>
      <c r="K224" s="144">
        <f t="shared" si="15"/>
        <v>2.3972466090854514E-5</v>
      </c>
      <c r="M224" s="146"/>
    </row>
    <row r="225" spans="2:13" x14ac:dyDescent="0.25">
      <c r="B225" s="134" t="s">
        <v>607</v>
      </c>
      <c r="C225" s="142" t="s">
        <v>608</v>
      </c>
      <c r="D225" s="143">
        <v>230.79900000000001</v>
      </c>
      <c r="E225" s="143">
        <v>155.22999999999999</v>
      </c>
      <c r="F225" s="143">
        <f t="shared" si="12"/>
        <v>35826.928769999999</v>
      </c>
      <c r="G225" s="144">
        <f t="shared" si="13"/>
        <v>1.2214292596410545E-3</v>
      </c>
      <c r="H225" s="145">
        <v>6.442053726728081E-3</v>
      </c>
      <c r="I225" s="144">
        <f t="shared" si="14"/>
        <v>7.8685129140053763E-6</v>
      </c>
      <c r="J225" s="145">
        <v>6.3600000000000004E-2</v>
      </c>
      <c r="K225" s="144">
        <f t="shared" si="15"/>
        <v>7.768290091317107E-5</v>
      </c>
      <c r="M225" s="146"/>
    </row>
    <row r="226" spans="2:13" x14ac:dyDescent="0.25">
      <c r="B226" s="134" t="s">
        <v>609</v>
      </c>
      <c r="C226" s="142" t="s">
        <v>610</v>
      </c>
      <c r="D226" s="143">
        <v>1091.5150000000001</v>
      </c>
      <c r="E226" s="143">
        <v>70.98</v>
      </c>
      <c r="F226" s="143">
        <f t="shared" si="12"/>
        <v>77475.734700000015</v>
      </c>
      <c r="G226" s="144">
        <f t="shared" si="13"/>
        <v>2.6413408160737466E-3</v>
      </c>
      <c r="H226" s="145">
        <v>3.9447731755424056E-2</v>
      </c>
      <c r="I226" s="144">
        <f t="shared" si="14"/>
        <v>1.0419490398713002E-4</v>
      </c>
      <c r="J226" s="145">
        <v>5.0499999999999996E-2</v>
      </c>
      <c r="K226" s="144">
        <f t="shared" si="15"/>
        <v>1.333877112117242E-4</v>
      </c>
      <c r="M226" s="146"/>
    </row>
    <row r="227" spans="2:13" x14ac:dyDescent="0.25">
      <c r="B227" s="134" t="s">
        <v>611</v>
      </c>
      <c r="C227" s="142" t="s">
        <v>612</v>
      </c>
      <c r="D227" s="143">
        <v>1333.6679999999999</v>
      </c>
      <c r="E227" s="143">
        <v>32.14</v>
      </c>
      <c r="F227" s="143">
        <f t="shared" si="12"/>
        <v>42864.089519999994</v>
      </c>
      <c r="G227" s="144">
        <f t="shared" si="13"/>
        <v>1.4613436017279213E-3</v>
      </c>
      <c r="H227" s="145">
        <v>6.4716863721219667E-2</v>
      </c>
      <c r="I227" s="144">
        <f t="shared" si="14"/>
        <v>9.4573574722902194E-5</v>
      </c>
      <c r="J227" s="145">
        <v>0.16</v>
      </c>
      <c r="K227" s="144">
        <f t="shared" si="15"/>
        <v>2.338149762764674E-4</v>
      </c>
      <c r="M227" s="146"/>
    </row>
    <row r="228" spans="2:13" x14ac:dyDescent="0.25">
      <c r="B228" s="134" t="s">
        <v>613</v>
      </c>
      <c r="C228" s="142" t="s">
        <v>614</v>
      </c>
      <c r="D228" s="143">
        <v>596.11500000000001</v>
      </c>
      <c r="E228" s="143">
        <v>25.57</v>
      </c>
      <c r="F228" s="143">
        <f t="shared" si="12"/>
        <v>15242.660550000001</v>
      </c>
      <c r="G228" s="144">
        <f t="shared" si="13"/>
        <v>5.1966027314449066E-4</v>
      </c>
      <c r="H228" s="145">
        <v>2.8157997653500196E-2</v>
      </c>
      <c r="I228" s="144">
        <f t="shared" si="14"/>
        <v>1.4632592751819838E-5</v>
      </c>
      <c r="J228" s="145">
        <v>0.10150000000000001</v>
      </c>
      <c r="K228" s="144">
        <f t="shared" si="15"/>
        <v>5.2745517724165809E-5</v>
      </c>
      <c r="M228" s="146"/>
    </row>
    <row r="229" spans="2:13" x14ac:dyDescent="0.25">
      <c r="B229" s="134" t="s">
        <v>615</v>
      </c>
      <c r="C229" s="142" t="s">
        <v>616</v>
      </c>
      <c r="D229" s="143">
        <v>257.87200000000001</v>
      </c>
      <c r="E229" s="143">
        <v>72.55</v>
      </c>
      <c r="F229" s="143">
        <f t="shared" si="12"/>
        <v>18708.613600000001</v>
      </c>
      <c r="G229" s="144">
        <f t="shared" si="13"/>
        <v>6.3782324756492281E-4</v>
      </c>
      <c r="H229" s="145">
        <v>6.064782908339077E-3</v>
      </c>
      <c r="I229" s="144">
        <f t="shared" si="14"/>
        <v>3.8682595303730674E-6</v>
      </c>
      <c r="J229" s="145">
        <v>0.13</v>
      </c>
      <c r="K229" s="144">
        <f t="shared" si="15"/>
        <v>8.2917022183439973E-5</v>
      </c>
      <c r="M229" s="146"/>
    </row>
    <row r="230" spans="2:13" x14ac:dyDescent="0.25">
      <c r="B230" s="134" t="s">
        <v>617</v>
      </c>
      <c r="C230" s="142" t="s">
        <v>618</v>
      </c>
      <c r="D230" s="143">
        <v>153.31100000000001</v>
      </c>
      <c r="E230" s="143">
        <v>90.9</v>
      </c>
      <c r="F230" s="143">
        <f t="shared" si="12"/>
        <v>13935.969900000002</v>
      </c>
      <c r="G230" s="144">
        <f t="shared" si="13"/>
        <v>4.7511193344572654E-4</v>
      </c>
      <c r="H230" s="145">
        <v>3.5643564356435641E-2</v>
      </c>
      <c r="I230" s="144">
        <f t="shared" si="14"/>
        <v>1.6934682776283321E-5</v>
      </c>
      <c r="J230" s="145">
        <v>0.09</v>
      </c>
      <c r="K230" s="144">
        <f t="shared" si="15"/>
        <v>4.2760074010115389E-5</v>
      </c>
      <c r="M230" s="146"/>
    </row>
    <row r="231" spans="2:13" x14ac:dyDescent="0.25">
      <c r="B231" s="134" t="s">
        <v>619</v>
      </c>
      <c r="C231" s="142" t="s">
        <v>620</v>
      </c>
      <c r="D231" s="143">
        <v>175.82900000000001</v>
      </c>
      <c r="E231" s="143">
        <v>258.76</v>
      </c>
      <c r="F231" s="143">
        <f t="shared" si="12"/>
        <v>45497.512040000001</v>
      </c>
      <c r="G231" s="144">
        <f t="shared" si="13"/>
        <v>1.5511235362451966E-3</v>
      </c>
      <c r="H231" s="145">
        <v>4.6375019322924718E-2</v>
      </c>
      <c r="I231" s="144">
        <f t="shared" si="14"/>
        <v>7.1933383965614312E-5</v>
      </c>
      <c r="J231" s="145">
        <v>3.7650000000000003E-2</v>
      </c>
      <c r="K231" s="144">
        <f t="shared" si="15"/>
        <v>5.8399801139631659E-5</v>
      </c>
      <c r="M231" s="146"/>
    </row>
    <row r="232" spans="2:13" x14ac:dyDescent="0.25">
      <c r="B232" s="134" t="s">
        <v>621</v>
      </c>
      <c r="C232" s="142" t="s">
        <v>622</v>
      </c>
      <c r="D232" s="143">
        <v>311.10000000000002</v>
      </c>
      <c r="E232" s="143">
        <v>219.71</v>
      </c>
      <c r="F232" s="143">
        <f t="shared" si="12"/>
        <v>68351.781000000003</v>
      </c>
      <c r="G232" s="144">
        <f t="shared" si="13"/>
        <v>2.3302825033633913E-3</v>
      </c>
      <c r="H232" s="145" t="s">
        <v>210</v>
      </c>
      <c r="I232" s="144" t="str">
        <f t="shared" si="14"/>
        <v/>
      </c>
      <c r="J232" s="145">
        <v>0.19714999999999999</v>
      </c>
      <c r="K232" s="144">
        <f t="shared" si="15"/>
        <v>4.5941519553809257E-4</v>
      </c>
      <c r="M232" s="146"/>
    </row>
    <row r="233" spans="2:13" x14ac:dyDescent="0.25">
      <c r="B233" s="134" t="s">
        <v>623</v>
      </c>
      <c r="C233" s="142" t="s">
        <v>624</v>
      </c>
      <c r="D233" s="143">
        <v>504.37200000000001</v>
      </c>
      <c r="E233" s="143">
        <v>72.17</v>
      </c>
      <c r="F233" s="143">
        <f t="shared" si="12"/>
        <v>36400.527240000003</v>
      </c>
      <c r="G233" s="144">
        <f t="shared" si="13"/>
        <v>1.2409846605251518E-3</v>
      </c>
      <c r="H233" s="145">
        <v>2.7712345850076207E-2</v>
      </c>
      <c r="I233" s="144">
        <f t="shared" si="14"/>
        <v>3.4390596107112424E-5</v>
      </c>
      <c r="J233" s="145">
        <v>0.13</v>
      </c>
      <c r="K233" s="144">
        <f t="shared" si="15"/>
        <v>1.6132800586826973E-4</v>
      </c>
      <c r="M233" s="146"/>
    </row>
    <row r="234" spans="2:13" x14ac:dyDescent="0.25">
      <c r="B234" s="134" t="s">
        <v>625</v>
      </c>
      <c r="C234" s="142" t="s">
        <v>626</v>
      </c>
      <c r="D234" s="143">
        <v>704.88</v>
      </c>
      <c r="E234" s="143">
        <v>45.2</v>
      </c>
      <c r="F234" s="143">
        <f t="shared" si="12"/>
        <v>31860.576000000001</v>
      </c>
      <c r="G234" s="144">
        <f t="shared" si="13"/>
        <v>1.0862064120886563E-3</v>
      </c>
      <c r="H234" s="145">
        <v>1.415929203539823E-2</v>
      </c>
      <c r="I234" s="144">
        <f t="shared" si="14"/>
        <v>1.53799137994854E-5</v>
      </c>
      <c r="J234" s="145">
        <v>0.16170000000000001</v>
      </c>
      <c r="K234" s="144">
        <f t="shared" si="15"/>
        <v>1.7563957683473574E-4</v>
      </c>
      <c r="M234" s="146"/>
    </row>
    <row r="235" spans="2:13" x14ac:dyDescent="0.25">
      <c r="B235" s="134" t="s">
        <v>627</v>
      </c>
      <c r="C235" s="142" t="s">
        <v>628</v>
      </c>
      <c r="D235" s="143">
        <v>908.20399999999995</v>
      </c>
      <c r="E235" s="143">
        <v>152.71</v>
      </c>
      <c r="F235" s="143">
        <f t="shared" si="12"/>
        <v>138691.83283999999</v>
      </c>
      <c r="G235" s="144">
        <f t="shared" si="13"/>
        <v>4.728350113166066E-3</v>
      </c>
      <c r="H235" s="145">
        <v>3.4051470106738264E-2</v>
      </c>
      <c r="I235" s="144">
        <f t="shared" si="14"/>
        <v>1.6100727253266677E-4</v>
      </c>
      <c r="J235" s="145">
        <v>0.1</v>
      </c>
      <c r="K235" s="144">
        <f t="shared" si="15"/>
        <v>4.7283501131660662E-4</v>
      </c>
      <c r="M235" s="146"/>
    </row>
    <row r="236" spans="2:13" x14ac:dyDescent="0.25">
      <c r="B236" s="134" t="s">
        <v>629</v>
      </c>
      <c r="C236" s="142" t="s">
        <v>630</v>
      </c>
      <c r="D236" s="143">
        <v>196.005</v>
      </c>
      <c r="E236" s="143">
        <v>76.66</v>
      </c>
      <c r="F236" s="143">
        <f t="shared" si="12"/>
        <v>15025.743299999998</v>
      </c>
      <c r="G236" s="144">
        <f t="shared" si="13"/>
        <v>5.1226502367245855E-4</v>
      </c>
      <c r="H236" s="145">
        <v>1.0435690060005217E-3</v>
      </c>
      <c r="I236" s="144">
        <f t="shared" si="14"/>
        <v>5.3458390156270133E-7</v>
      </c>
      <c r="J236" s="145">
        <v>0.1173</v>
      </c>
      <c r="K236" s="144">
        <f t="shared" si="15"/>
        <v>6.008868727677939E-5</v>
      </c>
      <c r="M236" s="146"/>
    </row>
    <row r="237" spans="2:13" x14ac:dyDescent="0.25">
      <c r="B237" s="134" t="s">
        <v>631</v>
      </c>
      <c r="C237" s="142" t="s">
        <v>632</v>
      </c>
      <c r="D237" s="143">
        <v>386.37200000000001</v>
      </c>
      <c r="E237" s="143">
        <v>495.76</v>
      </c>
      <c r="F237" s="143">
        <f t="shared" si="12"/>
        <v>191547.78272000002</v>
      </c>
      <c r="G237" s="144" t="str">
        <f t="shared" si="13"/>
        <v/>
      </c>
      <c r="H237" s="145">
        <v>2.823947071163466E-3</v>
      </c>
      <c r="I237" s="144" t="str">
        <f t="shared" si="14"/>
        <v/>
      </c>
      <c r="J237" s="145">
        <v>-0.05</v>
      </c>
      <c r="K237" s="144" t="str">
        <f t="shared" si="15"/>
        <v/>
      </c>
      <c r="M237" s="146"/>
    </row>
    <row r="238" spans="2:13" x14ac:dyDescent="0.25">
      <c r="B238" s="134" t="s">
        <v>633</v>
      </c>
      <c r="C238" s="142" t="s">
        <v>634</v>
      </c>
      <c r="D238" s="143">
        <v>1139.6769999999999</v>
      </c>
      <c r="E238" s="143">
        <v>88.11</v>
      </c>
      <c r="F238" s="143">
        <f t="shared" si="12"/>
        <v>100416.94046999999</v>
      </c>
      <c r="G238" s="144">
        <f t="shared" si="13"/>
        <v>3.4234636756359607E-3</v>
      </c>
      <c r="H238" s="145">
        <v>1.5094767903756669E-2</v>
      </c>
      <c r="I238" s="144">
        <f t="shared" si="14"/>
        <v>5.1676389610666528E-5</v>
      </c>
      <c r="J238" s="145">
        <v>6.3750000000000001E-2</v>
      </c>
      <c r="K238" s="144">
        <f t="shared" si="15"/>
        <v>2.1824580932179249E-4</v>
      </c>
      <c r="M238" s="146"/>
    </row>
    <row r="239" spans="2:13" x14ac:dyDescent="0.25">
      <c r="B239" s="134" t="s">
        <v>635</v>
      </c>
      <c r="C239" s="142" t="s">
        <v>636</v>
      </c>
      <c r="D239" s="143">
        <v>94.119</v>
      </c>
      <c r="E239" s="143">
        <v>123.13</v>
      </c>
      <c r="F239" s="143">
        <f t="shared" si="12"/>
        <v>11588.87247</v>
      </c>
      <c r="G239" s="144" t="str">
        <f t="shared" si="13"/>
        <v/>
      </c>
      <c r="H239" s="145">
        <v>7.3093478437423866E-3</v>
      </c>
      <c r="I239" s="144" t="str">
        <f t="shared" si="14"/>
        <v/>
      </c>
      <c r="J239" s="145" t="s">
        <v>210</v>
      </c>
      <c r="K239" s="144" t="str">
        <f t="shared" si="15"/>
        <v/>
      </c>
      <c r="M239" s="146"/>
    </row>
    <row r="240" spans="2:13" x14ac:dyDescent="0.25">
      <c r="B240" s="134" t="s">
        <v>637</v>
      </c>
      <c r="C240" s="142" t="s">
        <v>638</v>
      </c>
      <c r="D240" s="143">
        <v>680.32</v>
      </c>
      <c r="E240" s="143">
        <v>52.8</v>
      </c>
      <c r="F240" s="143">
        <f t="shared" si="12"/>
        <v>35920.896000000001</v>
      </c>
      <c r="G240" s="144">
        <f t="shared" si="13"/>
        <v>1.2246328366182007E-3</v>
      </c>
      <c r="H240" s="145">
        <v>2.803030303030303E-2</v>
      </c>
      <c r="I240" s="144">
        <f t="shared" si="14"/>
        <v>3.4326829511267749E-5</v>
      </c>
      <c r="J240" s="145">
        <v>0.1336</v>
      </c>
      <c r="K240" s="144">
        <f t="shared" si="15"/>
        <v>1.6361094697219162E-4</v>
      </c>
      <c r="M240" s="146"/>
    </row>
    <row r="241" spans="2:13" x14ac:dyDescent="0.25">
      <c r="B241" s="134" t="s">
        <v>639</v>
      </c>
      <c r="C241" s="142" t="s">
        <v>640</v>
      </c>
      <c r="D241" s="143">
        <v>48.561999999999998</v>
      </c>
      <c r="E241" s="143">
        <v>425.99</v>
      </c>
      <c r="F241" s="143">
        <f t="shared" si="12"/>
        <v>20686.926380000001</v>
      </c>
      <c r="G241" s="144">
        <f t="shared" si="13"/>
        <v>7.0526885892966827E-4</v>
      </c>
      <c r="H241" s="145" t="s">
        <v>210</v>
      </c>
      <c r="I241" s="144" t="str">
        <f t="shared" si="14"/>
        <v/>
      </c>
      <c r="J241" s="145">
        <v>6.4100000000000004E-2</v>
      </c>
      <c r="K241" s="144">
        <f t="shared" si="15"/>
        <v>4.5207733857391741E-5</v>
      </c>
      <c r="M241" s="146"/>
    </row>
    <row r="242" spans="2:13" x14ac:dyDescent="0.25">
      <c r="B242" s="134" t="s">
        <v>641</v>
      </c>
      <c r="C242" s="142" t="s">
        <v>642</v>
      </c>
      <c r="D242" s="143">
        <v>609.59699999999998</v>
      </c>
      <c r="E242" s="143">
        <v>225.27</v>
      </c>
      <c r="F242" s="143">
        <f t="shared" si="12"/>
        <v>137323.91618999999</v>
      </c>
      <c r="G242" s="144">
        <f t="shared" si="13"/>
        <v>4.6817144265911331E-3</v>
      </c>
      <c r="H242" s="145">
        <v>2.3083411017889643E-2</v>
      </c>
      <c r="I242" s="144">
        <f t="shared" si="14"/>
        <v>1.0806993837738666E-4</v>
      </c>
      <c r="J242" s="145">
        <v>0.11</v>
      </c>
      <c r="K242" s="144">
        <f t="shared" si="15"/>
        <v>5.1498858692502461E-4</v>
      </c>
      <c r="M242" s="146"/>
    </row>
    <row r="243" spans="2:13" x14ac:dyDescent="0.25">
      <c r="B243" s="134" t="s">
        <v>643</v>
      </c>
      <c r="C243" s="142" t="s">
        <v>644</v>
      </c>
      <c r="D243" s="143">
        <v>174.6</v>
      </c>
      <c r="E243" s="143">
        <v>135.88999999999999</v>
      </c>
      <c r="F243" s="143">
        <f t="shared" si="12"/>
        <v>23726.393999999997</v>
      </c>
      <c r="G243" s="144">
        <f t="shared" si="13"/>
        <v>8.088918825115345E-4</v>
      </c>
      <c r="H243" s="145" t="s">
        <v>210</v>
      </c>
      <c r="I243" s="144" t="str">
        <f t="shared" si="14"/>
        <v/>
      </c>
      <c r="J243" s="145">
        <v>1.805E-2</v>
      </c>
      <c r="K243" s="144">
        <f t="shared" si="15"/>
        <v>1.4600498479333199E-5</v>
      </c>
      <c r="M243" s="146"/>
    </row>
    <row r="244" spans="2:13" x14ac:dyDescent="0.25">
      <c r="B244" s="134" t="s">
        <v>645</v>
      </c>
      <c r="C244" s="142" t="s">
        <v>646</v>
      </c>
      <c r="D244" s="143">
        <v>924.92499999999995</v>
      </c>
      <c r="E244" s="143">
        <v>551.09</v>
      </c>
      <c r="F244" s="143">
        <f t="shared" si="12"/>
        <v>509716.91824999999</v>
      </c>
      <c r="G244" s="144">
        <f t="shared" si="13"/>
        <v>1.7377519632828339E-2</v>
      </c>
      <c r="H244" s="145">
        <v>1.3645684008056758E-2</v>
      </c>
      <c r="I244" s="144">
        <f t="shared" si="14"/>
        <v>2.3712814175337802E-4</v>
      </c>
      <c r="J244" s="145">
        <v>0.13394999999999999</v>
      </c>
      <c r="K244" s="144">
        <f t="shared" si="15"/>
        <v>2.3277187548173556E-3</v>
      </c>
      <c r="M244" s="146"/>
    </row>
    <row r="245" spans="2:13" x14ac:dyDescent="0.25">
      <c r="B245" s="134" t="s">
        <v>647</v>
      </c>
      <c r="C245" s="142" t="s">
        <v>648</v>
      </c>
      <c r="D245" s="143">
        <v>710.54499999999996</v>
      </c>
      <c r="E245" s="143">
        <v>112.37</v>
      </c>
      <c r="F245" s="143">
        <f t="shared" si="12"/>
        <v>79843.941649999993</v>
      </c>
      <c r="G245" s="144">
        <f t="shared" si="13"/>
        <v>2.7220788910615589E-3</v>
      </c>
      <c r="H245" s="145">
        <v>2.8477351606300615E-2</v>
      </c>
      <c r="I245" s="144">
        <f t="shared" si="14"/>
        <v>7.7517597680848888E-5</v>
      </c>
      <c r="J245" s="145">
        <v>7.6299999999999993E-2</v>
      </c>
      <c r="K245" s="144">
        <f t="shared" si="15"/>
        <v>2.0769461938799691E-4</v>
      </c>
      <c r="M245" s="146"/>
    </row>
    <row r="246" spans="2:13" x14ac:dyDescent="0.25">
      <c r="B246" s="134" t="s">
        <v>649</v>
      </c>
      <c r="C246" s="142" t="s">
        <v>650</v>
      </c>
      <c r="D246" s="143">
        <v>585.24699999999996</v>
      </c>
      <c r="E246" s="143">
        <v>25.43</v>
      </c>
      <c r="F246" s="143">
        <f t="shared" si="12"/>
        <v>14882.831209999998</v>
      </c>
      <c r="G246" s="144">
        <f t="shared" si="13"/>
        <v>5.07392794478517E-4</v>
      </c>
      <c r="H246" s="145">
        <v>1.7302398741643729E-2</v>
      </c>
      <c r="I246" s="144">
        <f t="shared" si="14"/>
        <v>8.7791124487041874E-6</v>
      </c>
      <c r="J246" s="145">
        <v>0.08</v>
      </c>
      <c r="K246" s="144">
        <f t="shared" si="15"/>
        <v>4.0591423558281362E-5</v>
      </c>
      <c r="M246" s="146"/>
    </row>
    <row r="247" spans="2:13" x14ac:dyDescent="0.25">
      <c r="B247" s="134" t="s">
        <v>651</v>
      </c>
      <c r="C247" s="142" t="s">
        <v>652</v>
      </c>
      <c r="D247" s="143">
        <v>24.059000000000001</v>
      </c>
      <c r="E247" s="143">
        <v>304.92</v>
      </c>
      <c r="F247" s="143">
        <f t="shared" si="12"/>
        <v>7336.0702800000008</v>
      </c>
      <c r="G247" s="144">
        <f t="shared" si="13"/>
        <v>2.5010491265660184E-4</v>
      </c>
      <c r="H247" s="145" t="s">
        <v>210</v>
      </c>
      <c r="I247" s="144" t="str">
        <f t="shared" si="14"/>
        <v/>
      </c>
      <c r="J247" s="145">
        <v>0.04</v>
      </c>
      <c r="K247" s="144">
        <f t="shared" si="15"/>
        <v>1.0004196506264073E-5</v>
      </c>
      <c r="M247" s="146"/>
    </row>
    <row r="248" spans="2:13" x14ac:dyDescent="0.25">
      <c r="B248" s="134" t="s">
        <v>653</v>
      </c>
      <c r="C248" s="142" t="s">
        <v>654</v>
      </c>
      <c r="D248" s="143">
        <v>402.38099999999997</v>
      </c>
      <c r="E248" s="143">
        <v>45.84</v>
      </c>
      <c r="F248" s="143">
        <f t="shared" si="12"/>
        <v>18445.145039999999</v>
      </c>
      <c r="G248" s="144">
        <f t="shared" si="13"/>
        <v>6.2884094795879629E-4</v>
      </c>
      <c r="H248" s="145">
        <v>3.9267015706806283E-2</v>
      </c>
      <c r="I248" s="144">
        <f t="shared" si="14"/>
        <v>2.4692707380581004E-5</v>
      </c>
      <c r="J248" s="145">
        <v>8.0199999999999994E-2</v>
      </c>
      <c r="K248" s="144">
        <f t="shared" si="15"/>
        <v>5.0433044026295457E-5</v>
      </c>
      <c r="M248" s="146"/>
    </row>
    <row r="249" spans="2:13" x14ac:dyDescent="0.25">
      <c r="B249" s="134" t="s">
        <v>655</v>
      </c>
      <c r="C249" s="142" t="s">
        <v>656</v>
      </c>
      <c r="D249" s="143">
        <v>388.88299999999998</v>
      </c>
      <c r="E249" s="143">
        <v>16.73</v>
      </c>
      <c r="F249" s="143">
        <f t="shared" si="12"/>
        <v>6506.0125900000003</v>
      </c>
      <c r="G249" s="144">
        <f t="shared" si="13"/>
        <v>2.2180617802978597E-4</v>
      </c>
      <c r="H249" s="145">
        <v>2.1518230723251642E-2</v>
      </c>
      <c r="I249" s="144">
        <f t="shared" si="14"/>
        <v>4.7728765146875635E-6</v>
      </c>
      <c r="J249" s="145">
        <v>3.1E-2</v>
      </c>
      <c r="K249" s="144">
        <f t="shared" si="15"/>
        <v>6.8759915189233648E-6</v>
      </c>
      <c r="M249" s="146"/>
    </row>
    <row r="250" spans="2:13" x14ac:dyDescent="0.25">
      <c r="B250" s="134" t="s">
        <v>657</v>
      </c>
      <c r="C250" s="142" t="s">
        <v>101</v>
      </c>
      <c r="D250" s="143">
        <v>132.87299999999999</v>
      </c>
      <c r="E250" s="143">
        <v>213.56</v>
      </c>
      <c r="F250" s="143">
        <f t="shared" si="12"/>
        <v>28376.35788</v>
      </c>
      <c r="G250" s="144" t="str">
        <f t="shared" si="13"/>
        <v/>
      </c>
      <c r="H250" s="145">
        <v>8.0539426858962353E-3</v>
      </c>
      <c r="I250" s="144" t="str">
        <f t="shared" si="14"/>
        <v/>
      </c>
      <c r="J250" s="145">
        <v>0.23219999999999999</v>
      </c>
      <c r="K250" s="144" t="str">
        <f t="shared" si="15"/>
        <v/>
      </c>
      <c r="M250" s="146"/>
    </row>
    <row r="251" spans="2:13" x14ac:dyDescent="0.25">
      <c r="B251" s="134" t="s">
        <v>658</v>
      </c>
      <c r="C251" s="142" t="s">
        <v>659</v>
      </c>
      <c r="D251" s="143">
        <v>730.00099999999998</v>
      </c>
      <c r="E251" s="143">
        <v>31.35</v>
      </c>
      <c r="F251" s="143">
        <f t="shared" si="12"/>
        <v>22885.531350000001</v>
      </c>
      <c r="G251" s="144" t="str">
        <f t="shared" si="13"/>
        <v/>
      </c>
      <c r="H251" s="145">
        <v>2.4242424242424242E-2</v>
      </c>
      <c r="I251" s="144" t="str">
        <f t="shared" si="14"/>
        <v/>
      </c>
      <c r="J251" s="145" t="s">
        <v>210</v>
      </c>
      <c r="K251" s="144" t="str">
        <f t="shared" si="15"/>
        <v/>
      </c>
      <c r="M251" s="146"/>
    </row>
    <row r="252" spans="2:13" x14ac:dyDescent="0.25">
      <c r="B252" s="134" t="s">
        <v>660</v>
      </c>
      <c r="C252" s="142" t="s">
        <v>661</v>
      </c>
      <c r="D252" s="143">
        <v>54.853000000000002</v>
      </c>
      <c r="E252" s="143">
        <v>108.9</v>
      </c>
      <c r="F252" s="143">
        <f t="shared" si="12"/>
        <v>5973.4917000000005</v>
      </c>
      <c r="G252" s="144" t="str">
        <f t="shared" si="13"/>
        <v/>
      </c>
      <c r="H252" s="145">
        <v>6.427915518824609E-2</v>
      </c>
      <c r="I252" s="144" t="str">
        <f t="shared" si="14"/>
        <v/>
      </c>
      <c r="J252" s="145">
        <v>-2.3300000000000001E-2</v>
      </c>
      <c r="K252" s="144" t="str">
        <f t="shared" si="15"/>
        <v/>
      </c>
      <c r="M252" s="146"/>
    </row>
    <row r="253" spans="2:13" x14ac:dyDescent="0.25">
      <c r="B253" s="134" t="s">
        <v>662</v>
      </c>
      <c r="C253" s="142" t="s">
        <v>663</v>
      </c>
      <c r="D253" s="143">
        <v>1216.499</v>
      </c>
      <c r="E253" s="143">
        <v>36.79</v>
      </c>
      <c r="F253" s="143">
        <f t="shared" si="12"/>
        <v>44754.998209999998</v>
      </c>
      <c r="G253" s="144">
        <f t="shared" si="13"/>
        <v>1.5258093899092825E-3</v>
      </c>
      <c r="H253" s="145">
        <v>4.8654525686327811E-2</v>
      </c>
      <c r="I253" s="144">
        <f t="shared" si="14"/>
        <v>7.4237532153781355E-5</v>
      </c>
      <c r="J253" s="145">
        <v>3.5000000000000003E-2</v>
      </c>
      <c r="K253" s="144">
        <f t="shared" si="15"/>
        <v>5.3403328646824893E-5</v>
      </c>
      <c r="M253" s="146"/>
    </row>
    <row r="254" spans="2:13" x14ac:dyDescent="0.25">
      <c r="B254" s="134" t="s">
        <v>664</v>
      </c>
      <c r="C254" s="142" t="s">
        <v>665</v>
      </c>
      <c r="D254" s="143">
        <v>319.38200000000001</v>
      </c>
      <c r="E254" s="143">
        <v>121.04</v>
      </c>
      <c r="F254" s="143">
        <f t="shared" si="12"/>
        <v>38657.997280000003</v>
      </c>
      <c r="G254" s="144" t="str">
        <f t="shared" si="13"/>
        <v/>
      </c>
      <c r="H254" s="145">
        <v>9.3192333113020481E-3</v>
      </c>
      <c r="I254" s="144" t="str">
        <f t="shared" si="14"/>
        <v/>
      </c>
      <c r="J254" s="145">
        <v>0.26329999999999998</v>
      </c>
      <c r="K254" s="144" t="str">
        <f t="shared" si="15"/>
        <v/>
      </c>
      <c r="M254" s="146"/>
    </row>
    <row r="255" spans="2:13" x14ac:dyDescent="0.25">
      <c r="B255" s="134" t="s">
        <v>666</v>
      </c>
      <c r="C255" s="142" t="s">
        <v>667</v>
      </c>
      <c r="D255" s="143">
        <v>315.435</v>
      </c>
      <c r="E255" s="143">
        <v>83.62</v>
      </c>
      <c r="F255" s="143">
        <f t="shared" si="12"/>
        <v>26376.674700000003</v>
      </c>
      <c r="G255" s="144">
        <f t="shared" si="13"/>
        <v>8.9924655438484969E-4</v>
      </c>
      <c r="H255" s="145">
        <v>3.7311647931116958E-2</v>
      </c>
      <c r="I255" s="144">
        <f t="shared" si="14"/>
        <v>3.3552370840477528E-5</v>
      </c>
      <c r="J255" s="145">
        <v>6.4100000000000004E-2</v>
      </c>
      <c r="K255" s="144">
        <f t="shared" si="15"/>
        <v>5.7641704136068869E-5</v>
      </c>
      <c r="M255" s="146"/>
    </row>
    <row r="256" spans="2:13" x14ac:dyDescent="0.25">
      <c r="B256" s="134" t="s">
        <v>668</v>
      </c>
      <c r="C256" s="142" t="s">
        <v>669</v>
      </c>
      <c r="D256" s="143">
        <v>455.3</v>
      </c>
      <c r="E256" s="143">
        <v>611.01</v>
      </c>
      <c r="F256" s="143">
        <f t="shared" si="12"/>
        <v>278192.853</v>
      </c>
      <c r="G256" s="144">
        <f t="shared" si="13"/>
        <v>9.4842874380499896E-3</v>
      </c>
      <c r="H256" s="145" t="s">
        <v>210</v>
      </c>
      <c r="I256" s="144" t="str">
        <f t="shared" si="14"/>
        <v/>
      </c>
      <c r="J256" s="145">
        <v>0.17329999999999998</v>
      </c>
      <c r="K256" s="144">
        <f t="shared" si="15"/>
        <v>1.6436270130140631E-3</v>
      </c>
      <c r="M256" s="146"/>
    </row>
    <row r="257" spans="2:13" x14ac:dyDescent="0.25">
      <c r="B257" s="134" t="s">
        <v>670</v>
      </c>
      <c r="C257" s="142" t="s">
        <v>671</v>
      </c>
      <c r="D257" s="143">
        <v>669.62900000000002</v>
      </c>
      <c r="E257" s="143">
        <v>17.21</v>
      </c>
      <c r="F257" s="143">
        <f t="shared" si="12"/>
        <v>11524.31509</v>
      </c>
      <c r="G257" s="144">
        <f t="shared" si="13"/>
        <v>3.9289261266613825E-4</v>
      </c>
      <c r="H257" s="145">
        <v>3.8558977338756531E-2</v>
      </c>
      <c r="I257" s="144">
        <f t="shared" si="14"/>
        <v>1.5149537348358472E-5</v>
      </c>
      <c r="J257" s="145">
        <v>0.1012</v>
      </c>
      <c r="K257" s="144">
        <f t="shared" si="15"/>
        <v>3.9760732401813187E-5</v>
      </c>
      <c r="M257" s="146"/>
    </row>
    <row r="258" spans="2:13" x14ac:dyDescent="0.25">
      <c r="B258" s="134" t="s">
        <v>672</v>
      </c>
      <c r="C258" s="142" t="s">
        <v>673</v>
      </c>
      <c r="D258" s="143">
        <v>145.38900000000001</v>
      </c>
      <c r="E258" s="143">
        <v>120.34</v>
      </c>
      <c r="F258" s="143">
        <f t="shared" si="12"/>
        <v>17496.112260000002</v>
      </c>
      <c r="G258" s="144" t="str">
        <f t="shared" si="13"/>
        <v/>
      </c>
      <c r="H258" s="145">
        <v>1.1467508725278377E-2</v>
      </c>
      <c r="I258" s="144" t="str">
        <f t="shared" si="14"/>
        <v/>
      </c>
      <c r="J258" s="145">
        <v>-0.16</v>
      </c>
      <c r="K258" s="144" t="str">
        <f t="shared" si="15"/>
        <v/>
      </c>
      <c r="M258" s="146"/>
    </row>
    <row r="259" spans="2:13" x14ac:dyDescent="0.25">
      <c r="B259" s="134" t="s">
        <v>674</v>
      </c>
      <c r="C259" s="142" t="s">
        <v>675</v>
      </c>
      <c r="D259" s="143">
        <v>535.178</v>
      </c>
      <c r="E259" s="143">
        <v>269.64</v>
      </c>
      <c r="F259" s="143">
        <f t="shared" si="12"/>
        <v>144305.39591999998</v>
      </c>
      <c r="G259" s="144">
        <f t="shared" si="13"/>
        <v>4.9197304639845866E-3</v>
      </c>
      <c r="H259" s="145">
        <v>3.1597685803293279E-2</v>
      </c>
      <c r="I259" s="144">
        <f t="shared" si="14"/>
        <v>1.5545209743787522E-4</v>
      </c>
      <c r="J259" s="145">
        <v>4.8829999999999998E-2</v>
      </c>
      <c r="K259" s="144">
        <f t="shared" si="15"/>
        <v>2.4023043855636735E-4</v>
      </c>
      <c r="M259" s="146"/>
    </row>
    <row r="260" spans="2:13" x14ac:dyDescent="0.25">
      <c r="B260" s="134" t="s">
        <v>676</v>
      </c>
      <c r="C260" s="142" t="s">
        <v>677</v>
      </c>
      <c r="D260" s="143">
        <v>15552.752</v>
      </c>
      <c r="E260" s="143">
        <v>189.95</v>
      </c>
      <c r="F260" s="143">
        <f t="shared" si="12"/>
        <v>2954245.2423999999</v>
      </c>
      <c r="G260" s="144">
        <f t="shared" si="13"/>
        <v>0.10071758040963498</v>
      </c>
      <c r="H260" s="145">
        <v>5.0539615688339036E-3</v>
      </c>
      <c r="I260" s="144">
        <f t="shared" si="14"/>
        <v>5.090227806962336E-4</v>
      </c>
      <c r="J260" s="145">
        <v>0.13</v>
      </c>
      <c r="K260" s="144">
        <f t="shared" si="15"/>
        <v>1.3093285453252548E-2</v>
      </c>
      <c r="M260" s="146"/>
    </row>
    <row r="261" spans="2:13" x14ac:dyDescent="0.25">
      <c r="B261" s="134" t="s">
        <v>678</v>
      </c>
      <c r="C261" s="142" t="s">
        <v>679</v>
      </c>
      <c r="D261" s="143">
        <v>213.76400000000001</v>
      </c>
      <c r="E261" s="143">
        <v>218.43</v>
      </c>
      <c r="F261" s="143">
        <f t="shared" si="12"/>
        <v>46692.470520000003</v>
      </c>
      <c r="G261" s="144">
        <f t="shared" si="13"/>
        <v>1.5918626479033071E-3</v>
      </c>
      <c r="H261" s="145" t="s">
        <v>210</v>
      </c>
      <c r="I261" s="144" t="str">
        <f t="shared" si="14"/>
        <v/>
      </c>
      <c r="J261" s="145">
        <v>0.12480000000000001</v>
      </c>
      <c r="K261" s="144">
        <f t="shared" si="15"/>
        <v>1.9866445845833275E-4</v>
      </c>
      <c r="M261" s="146"/>
    </row>
    <row r="262" spans="2:13" x14ac:dyDescent="0.25">
      <c r="B262" s="134" t="s">
        <v>680</v>
      </c>
      <c r="C262" s="142" t="s">
        <v>681</v>
      </c>
      <c r="D262" s="143">
        <v>101.854</v>
      </c>
      <c r="E262" s="143">
        <v>553.25</v>
      </c>
      <c r="F262" s="143">
        <f t="shared" si="12"/>
        <v>56350.7255</v>
      </c>
      <c r="G262" s="144">
        <f t="shared" si="13"/>
        <v>1.9211366223871079E-3</v>
      </c>
      <c r="H262" s="145">
        <v>9.7605061003163129E-3</v>
      </c>
      <c r="I262" s="144">
        <f t="shared" si="14"/>
        <v>1.8751265722350445E-5</v>
      </c>
      <c r="J262" s="145">
        <v>0.11840000000000001</v>
      </c>
      <c r="K262" s="144">
        <f t="shared" si="15"/>
        <v>2.2746257609063358E-4</v>
      </c>
      <c r="M262" s="146"/>
    </row>
    <row r="263" spans="2:13" x14ac:dyDescent="0.25">
      <c r="B263" s="134" t="s">
        <v>682</v>
      </c>
      <c r="C263" s="142" t="s">
        <v>683</v>
      </c>
      <c r="D263" s="143">
        <v>4015.6350000000002</v>
      </c>
      <c r="E263" s="143">
        <v>41.89</v>
      </c>
      <c r="F263" s="143">
        <f t="shared" si="12"/>
        <v>168214.95015000002</v>
      </c>
      <c r="G263" s="144">
        <f t="shared" si="13"/>
        <v>5.7348667350553767E-3</v>
      </c>
      <c r="H263" s="145">
        <v>2.769157316782048E-2</v>
      </c>
      <c r="I263" s="144">
        <f t="shared" si="14"/>
        <v>1.5880748180148571E-4</v>
      </c>
      <c r="J263" s="145">
        <v>9.2550000000000007E-2</v>
      </c>
      <c r="K263" s="144">
        <f t="shared" si="15"/>
        <v>5.3076191632937515E-4</v>
      </c>
      <c r="M263" s="146"/>
    </row>
    <row r="264" spans="2:13" x14ac:dyDescent="0.25">
      <c r="B264" s="134" t="s">
        <v>684</v>
      </c>
      <c r="C264" s="142" t="s">
        <v>685</v>
      </c>
      <c r="D264" s="143">
        <v>200.95500000000001</v>
      </c>
      <c r="E264" s="143">
        <v>61.54</v>
      </c>
      <c r="F264" s="143">
        <f t="shared" si="12"/>
        <v>12366.770700000001</v>
      </c>
      <c r="G264" s="144">
        <f t="shared" si="13"/>
        <v>4.2161402327346877E-4</v>
      </c>
      <c r="H264" s="145">
        <v>2.6649333766655833E-2</v>
      </c>
      <c r="I264" s="144">
        <f t="shared" si="14"/>
        <v>1.1235732826917269E-5</v>
      </c>
      <c r="J264" s="145">
        <v>0.12990000000000002</v>
      </c>
      <c r="K264" s="144">
        <f t="shared" si="15"/>
        <v>5.4767661623223601E-5</v>
      </c>
      <c r="M264" s="146"/>
    </row>
    <row r="265" spans="2:13" x14ac:dyDescent="0.25">
      <c r="B265" s="134" t="s">
        <v>686</v>
      </c>
      <c r="C265" s="142" t="s">
        <v>687</v>
      </c>
      <c r="D265" s="143">
        <v>135.93199999999999</v>
      </c>
      <c r="E265" s="143">
        <v>544.62</v>
      </c>
      <c r="F265" s="143">
        <f t="shared" si="12"/>
        <v>74031.285839999997</v>
      </c>
      <c r="G265" s="144">
        <f t="shared" si="13"/>
        <v>2.5239109730651492E-3</v>
      </c>
      <c r="H265" s="145">
        <v>1.0649627263045794E-2</v>
      </c>
      <c r="I265" s="144">
        <f t="shared" si="14"/>
        <v>2.687871110825505E-5</v>
      </c>
      <c r="J265" s="145">
        <v>9.9299999999999999E-2</v>
      </c>
      <c r="K265" s="144">
        <f t="shared" si="15"/>
        <v>2.5062435962536932E-4</v>
      </c>
      <c r="M265" s="146"/>
    </row>
    <row r="266" spans="2:13" x14ac:dyDescent="0.25">
      <c r="B266" s="134" t="s">
        <v>688</v>
      </c>
      <c r="C266" s="142" t="s">
        <v>689</v>
      </c>
      <c r="D266" s="143">
        <v>293.69099999999997</v>
      </c>
      <c r="E266" s="143">
        <v>202.7</v>
      </c>
      <c r="F266" s="143">
        <f t="shared" si="12"/>
        <v>59531.16569999999</v>
      </c>
      <c r="G266" s="144">
        <f t="shared" si="13"/>
        <v>2.0295657524349925E-3</v>
      </c>
      <c r="H266" s="145">
        <v>1.0261470152935373E-2</v>
      </c>
      <c r="I266" s="144">
        <f t="shared" si="14"/>
        <v>2.0826328392031497E-5</v>
      </c>
      <c r="J266" s="145">
        <v>0.17379999999999998</v>
      </c>
      <c r="K266" s="144">
        <f t="shared" si="15"/>
        <v>3.5273852777320167E-4</v>
      </c>
      <c r="M266" s="146"/>
    </row>
    <row r="267" spans="2:13" x14ac:dyDescent="0.25">
      <c r="B267" s="134" t="s">
        <v>690</v>
      </c>
      <c r="C267" s="142" t="s">
        <v>691</v>
      </c>
      <c r="D267" s="143">
        <v>600.18600000000004</v>
      </c>
      <c r="E267" s="143">
        <v>130.61000000000001</v>
      </c>
      <c r="F267" s="143">
        <f t="shared" si="12"/>
        <v>78390.293460000015</v>
      </c>
      <c r="G267" s="144">
        <f t="shared" si="13"/>
        <v>2.6725204026996708E-3</v>
      </c>
      <c r="H267" s="145" t="s">
        <v>210</v>
      </c>
      <c r="I267" s="144" t="str">
        <f t="shared" si="14"/>
        <v/>
      </c>
      <c r="J267" s="145">
        <v>0.14080000000000001</v>
      </c>
      <c r="K267" s="144">
        <f t="shared" si="15"/>
        <v>3.7629087270011366E-4</v>
      </c>
      <c r="M267" s="146"/>
    </row>
    <row r="268" spans="2:13" x14ac:dyDescent="0.25">
      <c r="B268" s="134" t="s">
        <v>692</v>
      </c>
      <c r="C268" s="142" t="s">
        <v>693</v>
      </c>
      <c r="D268" s="143">
        <v>251.291</v>
      </c>
      <c r="E268" s="143">
        <v>64.83</v>
      </c>
      <c r="F268" s="143">
        <f t="shared" si="12"/>
        <v>16291.195529999999</v>
      </c>
      <c r="G268" s="144">
        <f t="shared" si="13"/>
        <v>5.554074428935639E-4</v>
      </c>
      <c r="H268" s="145">
        <v>2.5913928736695974E-2</v>
      </c>
      <c r="I268" s="144">
        <f t="shared" si="14"/>
        <v>1.4392788894974354E-5</v>
      </c>
      <c r="J268" s="145">
        <v>7.0099999999999996E-2</v>
      </c>
      <c r="K268" s="144">
        <f t="shared" si="15"/>
        <v>3.8934061746838826E-5</v>
      </c>
      <c r="M268" s="146"/>
    </row>
    <row r="269" spans="2:13" x14ac:dyDescent="0.25">
      <c r="B269" s="134" t="s">
        <v>694</v>
      </c>
      <c r="C269" s="142" t="s">
        <v>695</v>
      </c>
      <c r="D269" s="143">
        <v>523.07600000000002</v>
      </c>
      <c r="E269" s="143">
        <v>91.82</v>
      </c>
      <c r="F269" s="143">
        <f t="shared" si="12"/>
        <v>48028.838319999995</v>
      </c>
      <c r="G269" s="144">
        <f t="shared" si="13"/>
        <v>1.6374227555821137E-3</v>
      </c>
      <c r="H269" s="145">
        <v>1.1762143323894579E-2</v>
      </c>
      <c r="I269" s="144">
        <f t="shared" si="14"/>
        <v>1.9259601132963224E-5</v>
      </c>
      <c r="J269" s="145">
        <v>0.12</v>
      </c>
      <c r="K269" s="144">
        <f t="shared" si="15"/>
        <v>1.9649073066985365E-4</v>
      </c>
      <c r="M269" s="146"/>
    </row>
    <row r="270" spans="2:13" x14ac:dyDescent="0.25">
      <c r="B270" s="134" t="s">
        <v>696</v>
      </c>
      <c r="C270" s="142" t="s">
        <v>697</v>
      </c>
      <c r="D270" s="143">
        <v>442.74099999999999</v>
      </c>
      <c r="E270" s="143">
        <v>592.74</v>
      </c>
      <c r="F270" s="143">
        <f t="shared" si="12"/>
        <v>262430.30034000002</v>
      </c>
      <c r="G270" s="144">
        <f t="shared" si="13"/>
        <v>8.9469027476358209E-3</v>
      </c>
      <c r="H270" s="145">
        <v>6.8832877821641868E-3</v>
      </c>
      <c r="I270" s="144">
        <f t="shared" si="14"/>
        <v>6.158410637101284E-5</v>
      </c>
      <c r="J270" s="145">
        <v>0.13055</v>
      </c>
      <c r="K270" s="144">
        <f t="shared" si="15"/>
        <v>1.1680181537038563E-3</v>
      </c>
      <c r="M270" s="146"/>
    </row>
    <row r="271" spans="2:13" x14ac:dyDescent="0.25">
      <c r="B271" s="134" t="s">
        <v>698</v>
      </c>
      <c r="C271" s="142" t="s">
        <v>699</v>
      </c>
      <c r="D271" s="143">
        <v>379.89499999999998</v>
      </c>
      <c r="E271" s="143">
        <v>296.33</v>
      </c>
      <c r="F271" s="143">
        <f t="shared" si="12"/>
        <v>112574.28534999999</v>
      </c>
      <c r="G271" s="144">
        <f t="shared" si="13"/>
        <v>3.8379378509499663E-3</v>
      </c>
      <c r="H271" s="145">
        <v>1.0123848412243107E-2</v>
      </c>
      <c r="I271" s="144">
        <f t="shared" si="14"/>
        <v>3.8854701018627537E-5</v>
      </c>
      <c r="J271" s="145">
        <v>7.6149999999999995E-2</v>
      </c>
      <c r="K271" s="144">
        <f t="shared" si="15"/>
        <v>2.9225896734983993E-4</v>
      </c>
      <c r="M271" s="146"/>
    </row>
    <row r="272" spans="2:13" x14ac:dyDescent="0.25">
      <c r="B272" s="134" t="s">
        <v>700</v>
      </c>
      <c r="C272" s="142" t="s">
        <v>701</v>
      </c>
      <c r="D272" s="143">
        <v>285.23099999999999</v>
      </c>
      <c r="E272" s="143">
        <v>46.84</v>
      </c>
      <c r="F272" s="143">
        <f t="shared" si="12"/>
        <v>13360.22004</v>
      </c>
      <c r="G272" s="144" t="str">
        <f t="shared" si="13"/>
        <v/>
      </c>
      <c r="H272" s="145">
        <v>4.1844577284372325E-2</v>
      </c>
      <c r="I272" s="144" t="str">
        <f t="shared" si="14"/>
        <v/>
      </c>
      <c r="J272" s="145">
        <v>0.46710000000000002</v>
      </c>
      <c r="K272" s="144" t="str">
        <f t="shared" si="15"/>
        <v/>
      </c>
      <c r="M272" s="146"/>
    </row>
    <row r="273" spans="2:13" x14ac:dyDescent="0.25">
      <c r="B273" s="134" t="s">
        <v>702</v>
      </c>
      <c r="C273" s="142" t="s">
        <v>703</v>
      </c>
      <c r="D273" s="143">
        <v>144.92699999999999</v>
      </c>
      <c r="E273" s="143">
        <v>100.03</v>
      </c>
      <c r="F273" s="143">
        <f t="shared" si="12"/>
        <v>14497.04781</v>
      </c>
      <c r="G273" s="144">
        <f t="shared" si="13"/>
        <v>4.9424047724616821E-4</v>
      </c>
      <c r="H273" s="145">
        <v>1.1196641007697692E-2</v>
      </c>
      <c r="I273" s="144">
        <f t="shared" si="14"/>
        <v>5.5338331951985247E-6</v>
      </c>
      <c r="J273" s="145">
        <v>0.13320000000000001</v>
      </c>
      <c r="K273" s="144">
        <f t="shared" si="15"/>
        <v>6.5832831569189609E-5</v>
      </c>
      <c r="M273" s="146"/>
    </row>
    <row r="274" spans="2:13" x14ac:dyDescent="0.25">
      <c r="B274" s="134" t="s">
        <v>704</v>
      </c>
      <c r="C274" s="142" t="s">
        <v>705</v>
      </c>
      <c r="D274" s="143">
        <v>836.53399999999999</v>
      </c>
      <c r="E274" s="143">
        <v>149.78</v>
      </c>
      <c r="F274" s="143">
        <f t="shared" si="12"/>
        <v>125296.06252000001</v>
      </c>
      <c r="G274" s="144">
        <f t="shared" si="13"/>
        <v>4.271654929235591E-3</v>
      </c>
      <c r="H274" s="145">
        <v>8.5458672719989325E-3</v>
      </c>
      <c r="I274" s="144">
        <f t="shared" si="14"/>
        <v>3.6504996057027353E-5</v>
      </c>
      <c r="J274" s="145">
        <v>5.5E-2</v>
      </c>
      <c r="K274" s="144">
        <f t="shared" si="15"/>
        <v>2.3494102110795752E-4</v>
      </c>
      <c r="M274" s="146"/>
    </row>
    <row r="275" spans="2:13" x14ac:dyDescent="0.25">
      <c r="B275" s="134" t="s">
        <v>706</v>
      </c>
      <c r="C275" s="142" t="s">
        <v>707</v>
      </c>
      <c r="D275" s="143">
        <v>653.54100000000005</v>
      </c>
      <c r="E275" s="143">
        <v>12.43</v>
      </c>
      <c r="F275" s="143">
        <f t="shared" si="12"/>
        <v>8123.5146300000006</v>
      </c>
      <c r="G275" s="144" t="str">
        <f t="shared" si="13"/>
        <v/>
      </c>
      <c r="H275" s="145" t="s">
        <v>210</v>
      </c>
      <c r="I275" s="144" t="str">
        <f t="shared" si="14"/>
        <v/>
      </c>
      <c r="J275" s="145">
        <v>0.5464</v>
      </c>
      <c r="K275" s="144" t="str">
        <f t="shared" si="15"/>
        <v/>
      </c>
      <c r="M275" s="146"/>
    </row>
    <row r="276" spans="2:13" x14ac:dyDescent="0.25">
      <c r="B276" s="134" t="s">
        <v>708</v>
      </c>
      <c r="C276" s="142" t="s">
        <v>709</v>
      </c>
      <c r="D276" s="143">
        <v>246.46799999999999</v>
      </c>
      <c r="E276" s="143">
        <v>107.08</v>
      </c>
      <c r="F276" s="143">
        <f t="shared" si="12"/>
        <v>26391.793439999998</v>
      </c>
      <c r="G276" s="144">
        <f t="shared" si="13"/>
        <v>8.997619898977135E-4</v>
      </c>
      <c r="H276" s="145">
        <v>1.8700037355248413E-2</v>
      </c>
      <c r="I276" s="144">
        <f t="shared" si="14"/>
        <v>1.6825582821919889E-5</v>
      </c>
      <c r="J276" s="145">
        <v>0.13320000000000001</v>
      </c>
      <c r="K276" s="144">
        <f t="shared" si="15"/>
        <v>1.1984829705437545E-4</v>
      </c>
      <c r="M276" s="146"/>
    </row>
    <row r="277" spans="2:13" x14ac:dyDescent="0.25">
      <c r="B277" s="134" t="s">
        <v>710</v>
      </c>
      <c r="C277" s="142" t="s">
        <v>711</v>
      </c>
      <c r="D277" s="143">
        <v>156.90799999999999</v>
      </c>
      <c r="E277" s="143">
        <v>102.79</v>
      </c>
      <c r="F277" s="143">
        <f t="shared" ref="F277:F340" si="16">IFERROR(D277*E277,"")</f>
        <v>16128.57332</v>
      </c>
      <c r="G277" s="144">
        <f t="shared" ref="G277:G340" si="17">IF(AND(ISNUMBER($J277)), IF(AND($J277&lt;=20%,$J277&gt;0%), $F277/SUMIFS($F$20:$F$521,$J$20:$J$521, "&gt;"&amp;0%,$J$20:$J$521, "&lt;="&amp;20%),""),"")</f>
        <v>5.4986324660376588E-4</v>
      </c>
      <c r="H277" s="145">
        <v>2.9185718455102636E-2</v>
      </c>
      <c r="I277" s="144">
        <f t="shared" ref="I277:I340" si="18">IFERROR($H277*$G277,"")</f>
        <v>1.6048153904186182E-5</v>
      </c>
      <c r="J277" s="145">
        <v>0.18210000000000001</v>
      </c>
      <c r="K277" s="144">
        <f t="shared" ref="K277:K340" si="19">IFERROR($J277*$G277,"")</f>
        <v>1.0013009720654577E-4</v>
      </c>
      <c r="M277" s="146"/>
    </row>
    <row r="278" spans="2:13" x14ac:dyDescent="0.25">
      <c r="B278" s="134" t="s">
        <v>712</v>
      </c>
      <c r="C278" s="142" t="s">
        <v>713</v>
      </c>
      <c r="D278" s="143">
        <v>610.70399999999995</v>
      </c>
      <c r="E278" s="143">
        <v>14.37</v>
      </c>
      <c r="F278" s="143">
        <f t="shared" si="16"/>
        <v>8775.8164799999995</v>
      </c>
      <c r="G278" s="144" t="str">
        <f t="shared" si="17"/>
        <v/>
      </c>
      <c r="H278" s="145">
        <v>1.3917884481558805E-2</v>
      </c>
      <c r="I278" s="144" t="str">
        <f t="shared" si="18"/>
        <v/>
      </c>
      <c r="J278" s="145">
        <v>-0.20355000000000001</v>
      </c>
      <c r="K278" s="144" t="str">
        <f t="shared" si="19"/>
        <v/>
      </c>
      <c r="M278" s="146"/>
    </row>
    <row r="279" spans="2:13" x14ac:dyDescent="0.25">
      <c r="B279" s="134" t="s">
        <v>714</v>
      </c>
      <c r="C279" s="142" t="s">
        <v>103</v>
      </c>
      <c r="D279" s="143">
        <v>333.18400000000003</v>
      </c>
      <c r="E279" s="143">
        <v>127.67</v>
      </c>
      <c r="F279" s="143">
        <f t="shared" si="16"/>
        <v>42537.601280000003</v>
      </c>
      <c r="G279" s="144">
        <f t="shared" si="17"/>
        <v>1.4502128042257188E-3</v>
      </c>
      <c r="H279" s="145">
        <v>9.3992323960209907E-3</v>
      </c>
      <c r="I279" s="144">
        <f t="shared" si="18"/>
        <v>1.3630887170602823E-5</v>
      </c>
      <c r="J279" s="145">
        <v>1.7000000000000001E-2</v>
      </c>
      <c r="K279" s="144">
        <f t="shared" si="19"/>
        <v>2.465361767183722E-5</v>
      </c>
      <c r="M279" s="146"/>
    </row>
    <row r="280" spans="2:13" x14ac:dyDescent="0.25">
      <c r="B280" s="134" t="s">
        <v>715</v>
      </c>
      <c r="C280" s="142" t="s">
        <v>716</v>
      </c>
      <c r="D280" s="143">
        <v>268.96600000000001</v>
      </c>
      <c r="E280" s="143">
        <v>138.01</v>
      </c>
      <c r="F280" s="143">
        <f t="shared" si="16"/>
        <v>37119.997660000001</v>
      </c>
      <c r="G280" s="144">
        <f t="shared" si="17"/>
        <v>1.265513199604675E-3</v>
      </c>
      <c r="H280" s="145">
        <v>5.5068473299036309E-3</v>
      </c>
      <c r="I280" s="144">
        <f t="shared" si="18"/>
        <v>6.9689879842008054E-6</v>
      </c>
      <c r="J280" s="145">
        <v>0.1032</v>
      </c>
      <c r="K280" s="144">
        <f t="shared" si="19"/>
        <v>1.3060096219920245E-4</v>
      </c>
      <c r="M280" s="146"/>
    </row>
    <row r="281" spans="2:13" x14ac:dyDescent="0.25">
      <c r="B281" s="134" t="s">
        <v>717</v>
      </c>
      <c r="C281" s="142" t="s">
        <v>718</v>
      </c>
      <c r="D281" s="143">
        <v>24.713999999999999</v>
      </c>
      <c r="E281" s="143">
        <v>1087.5999999999999</v>
      </c>
      <c r="F281" s="143">
        <f t="shared" si="16"/>
        <v>26878.946399999997</v>
      </c>
      <c r="G281" s="144" t="str">
        <f t="shared" si="17"/>
        <v/>
      </c>
      <c r="H281" s="145" t="s">
        <v>210</v>
      </c>
      <c r="I281" s="144" t="str">
        <f t="shared" si="18"/>
        <v/>
      </c>
      <c r="J281" s="145">
        <v>0.22</v>
      </c>
      <c r="K281" s="144" t="str">
        <f t="shared" si="19"/>
        <v/>
      </c>
      <c r="M281" s="146"/>
    </row>
    <row r="282" spans="2:13" x14ac:dyDescent="0.25">
      <c r="B282" s="134" t="s">
        <v>719</v>
      </c>
      <c r="C282" s="142" t="s">
        <v>720</v>
      </c>
      <c r="D282" s="143">
        <v>571.41300000000001</v>
      </c>
      <c r="E282" s="143">
        <v>59.97</v>
      </c>
      <c r="F282" s="143">
        <f t="shared" si="16"/>
        <v>34267.637609999998</v>
      </c>
      <c r="G282" s="144" t="str">
        <f t="shared" si="17"/>
        <v/>
      </c>
      <c r="H282" s="145">
        <v>2.3345005836251459E-2</v>
      </c>
      <c r="I282" s="144" t="str">
        <f t="shared" si="18"/>
        <v/>
      </c>
      <c r="J282" s="145" t="s">
        <v>210</v>
      </c>
      <c r="K282" s="144" t="str">
        <f t="shared" si="19"/>
        <v/>
      </c>
      <c r="M282" s="146"/>
    </row>
    <row r="283" spans="2:13" x14ac:dyDescent="0.25">
      <c r="B283" s="134" t="s">
        <v>721</v>
      </c>
      <c r="C283" s="142" t="s">
        <v>722</v>
      </c>
      <c r="D283" s="143">
        <v>165.96</v>
      </c>
      <c r="E283" s="143">
        <v>128.16999999999999</v>
      </c>
      <c r="F283" s="143">
        <f t="shared" si="16"/>
        <v>21271.093199999999</v>
      </c>
      <c r="G283" s="144">
        <f t="shared" si="17"/>
        <v>7.2518456119485765E-4</v>
      </c>
      <c r="H283" s="145">
        <v>4.0571116485917144E-2</v>
      </c>
      <c r="I283" s="144">
        <f t="shared" si="18"/>
        <v>2.942154730602528E-5</v>
      </c>
      <c r="J283" s="145">
        <v>0.11585000000000001</v>
      </c>
      <c r="K283" s="144">
        <f t="shared" si="19"/>
        <v>8.4012631414424267E-5</v>
      </c>
      <c r="M283" s="146"/>
    </row>
    <row r="284" spans="2:13" x14ac:dyDescent="0.25">
      <c r="B284" s="134" t="s">
        <v>723</v>
      </c>
      <c r="C284" s="142" t="s">
        <v>724</v>
      </c>
      <c r="D284" s="143">
        <v>551.81600000000003</v>
      </c>
      <c r="E284" s="143">
        <v>60.84</v>
      </c>
      <c r="F284" s="143">
        <f t="shared" si="16"/>
        <v>33572.485440000004</v>
      </c>
      <c r="G284" s="144">
        <f t="shared" si="17"/>
        <v>1.1445696698854739E-3</v>
      </c>
      <c r="H284" s="145">
        <v>3.4188034188034185E-2</v>
      </c>
      <c r="I284" s="144">
        <f t="shared" si="18"/>
        <v>3.9130587004631582E-5</v>
      </c>
      <c r="J284" s="145">
        <v>6.1200000000000004E-2</v>
      </c>
      <c r="K284" s="144">
        <f t="shared" si="19"/>
        <v>7.0047663796991009E-5</v>
      </c>
      <c r="M284" s="146"/>
    </row>
    <row r="285" spans="2:13" x14ac:dyDescent="0.25">
      <c r="B285" s="134" t="s">
        <v>725</v>
      </c>
      <c r="C285" s="142" t="s">
        <v>726</v>
      </c>
      <c r="D285" s="143">
        <v>681.01700000000005</v>
      </c>
      <c r="E285" s="143">
        <v>28.95</v>
      </c>
      <c r="F285" s="143">
        <f t="shared" si="16"/>
        <v>19715.442150000003</v>
      </c>
      <c r="G285" s="144" t="str">
        <f t="shared" si="17"/>
        <v/>
      </c>
      <c r="H285" s="145">
        <v>4.8359240069084625E-2</v>
      </c>
      <c r="I285" s="144" t="str">
        <f t="shared" si="18"/>
        <v/>
      </c>
      <c r="J285" s="145">
        <v>0.25</v>
      </c>
      <c r="K285" s="144" t="str">
        <f t="shared" si="19"/>
        <v/>
      </c>
      <c r="M285" s="146"/>
    </row>
    <row r="286" spans="2:13" x14ac:dyDescent="0.25">
      <c r="B286" s="134" t="s">
        <v>727</v>
      </c>
      <c r="C286" s="142" t="s">
        <v>728</v>
      </c>
      <c r="D286" s="143">
        <v>1246.0419999999999</v>
      </c>
      <c r="E286" s="143">
        <v>76.599999999999994</v>
      </c>
      <c r="F286" s="143">
        <f t="shared" si="16"/>
        <v>95446.81719999999</v>
      </c>
      <c r="G286" s="144">
        <f t="shared" si="17"/>
        <v>3.2540197909822419E-3</v>
      </c>
      <c r="H286" s="145">
        <v>3.91644908616188E-2</v>
      </c>
      <c r="I286" s="144">
        <f t="shared" si="18"/>
        <v>1.2744202836745074E-4</v>
      </c>
      <c r="J286" s="145">
        <v>2.0950000000000003E-2</v>
      </c>
      <c r="K286" s="144">
        <f t="shared" si="19"/>
        <v>6.8171714621077979E-5</v>
      </c>
      <c r="M286" s="146"/>
    </row>
    <row r="287" spans="2:13" x14ac:dyDescent="0.25">
      <c r="B287" s="134" t="s">
        <v>729</v>
      </c>
      <c r="C287" s="142" t="s">
        <v>730</v>
      </c>
      <c r="D287" s="143">
        <v>138.76400000000001</v>
      </c>
      <c r="E287" s="143">
        <v>46.41</v>
      </c>
      <c r="F287" s="143">
        <f t="shared" si="16"/>
        <v>6440.0372399999997</v>
      </c>
      <c r="G287" s="144" t="str">
        <f t="shared" si="17"/>
        <v/>
      </c>
      <c r="H287" s="145">
        <v>6.0331825037707391E-2</v>
      </c>
      <c r="I287" s="144" t="str">
        <f t="shared" si="18"/>
        <v/>
      </c>
      <c r="J287" s="145">
        <v>-3.49E-2</v>
      </c>
      <c r="K287" s="144" t="str">
        <f t="shared" si="19"/>
        <v/>
      </c>
      <c r="M287" s="146"/>
    </row>
    <row r="288" spans="2:13" x14ac:dyDescent="0.25">
      <c r="B288" s="134" t="s">
        <v>731</v>
      </c>
      <c r="C288" s="142" t="s">
        <v>732</v>
      </c>
      <c r="D288" s="143">
        <v>1448.075</v>
      </c>
      <c r="E288" s="143">
        <v>11.26</v>
      </c>
      <c r="F288" s="143">
        <f t="shared" si="16"/>
        <v>16305.324500000001</v>
      </c>
      <c r="G288" s="144" t="str">
        <f t="shared" si="17"/>
        <v/>
      </c>
      <c r="H288" s="145">
        <v>5.5062166962699825E-2</v>
      </c>
      <c r="I288" s="144" t="str">
        <f t="shared" si="18"/>
        <v/>
      </c>
      <c r="J288" s="145">
        <v>-7.690000000000001E-2</v>
      </c>
      <c r="K288" s="144" t="str">
        <f t="shared" si="19"/>
        <v/>
      </c>
      <c r="M288" s="146"/>
    </row>
    <row r="289" spans="2:13" x14ac:dyDescent="0.25">
      <c r="B289" s="134" t="s">
        <v>733</v>
      </c>
      <c r="C289" s="142" t="s">
        <v>734</v>
      </c>
      <c r="D289" s="143">
        <v>556.09400000000005</v>
      </c>
      <c r="E289" s="143">
        <v>89.1</v>
      </c>
      <c r="F289" s="143">
        <f t="shared" si="16"/>
        <v>49547.975400000003</v>
      </c>
      <c r="G289" s="144">
        <f t="shared" si="17"/>
        <v>1.6892139233606765E-3</v>
      </c>
      <c r="H289" s="145">
        <v>2.7384960718294053E-2</v>
      </c>
      <c r="I289" s="144">
        <f t="shared" si="18"/>
        <v>4.6259056936027506E-5</v>
      </c>
      <c r="J289" s="145">
        <v>0.1096</v>
      </c>
      <c r="K289" s="144">
        <f t="shared" si="19"/>
        <v>1.8513784600033016E-4</v>
      </c>
      <c r="M289" s="146"/>
    </row>
    <row r="290" spans="2:13" x14ac:dyDescent="0.25">
      <c r="B290" s="134" t="s">
        <v>735</v>
      </c>
      <c r="C290" s="142" t="s">
        <v>736</v>
      </c>
      <c r="D290" s="143">
        <v>144.898</v>
      </c>
      <c r="E290" s="143">
        <v>234.08</v>
      </c>
      <c r="F290" s="143">
        <f t="shared" si="16"/>
        <v>33917.723839999999</v>
      </c>
      <c r="G290" s="144">
        <f t="shared" si="17"/>
        <v>1.1563397070555247E-3</v>
      </c>
      <c r="H290" s="145" t="s">
        <v>210</v>
      </c>
      <c r="I290" s="144" t="str">
        <f t="shared" si="18"/>
        <v/>
      </c>
      <c r="J290" s="145">
        <v>8.6499999999999997E-3</v>
      </c>
      <c r="K290" s="144">
        <f t="shared" si="19"/>
        <v>1.0002338466030289E-5</v>
      </c>
      <c r="M290" s="146"/>
    </row>
    <row r="291" spans="2:13" x14ac:dyDescent="0.25">
      <c r="B291" s="134" t="s">
        <v>737</v>
      </c>
      <c r="C291" s="142" t="s">
        <v>738</v>
      </c>
      <c r="D291" s="143">
        <v>207.036</v>
      </c>
      <c r="E291" s="143">
        <v>79.25</v>
      </c>
      <c r="F291" s="143">
        <f t="shared" si="16"/>
        <v>16407.602999999999</v>
      </c>
      <c r="G291" s="144">
        <f t="shared" si="17"/>
        <v>5.593760635590854E-4</v>
      </c>
      <c r="H291" s="145">
        <v>3.7854889589905363E-2</v>
      </c>
      <c r="I291" s="144">
        <f t="shared" si="18"/>
        <v>2.1175119125265062E-5</v>
      </c>
      <c r="J291" s="145">
        <v>5.9249999999999997E-2</v>
      </c>
      <c r="K291" s="144">
        <f t="shared" si="19"/>
        <v>3.3143031765875809E-5</v>
      </c>
      <c r="M291" s="146"/>
    </row>
    <row r="292" spans="2:13" x14ac:dyDescent="0.25">
      <c r="B292" s="134" t="s">
        <v>739</v>
      </c>
      <c r="C292" s="142" t="s">
        <v>740</v>
      </c>
      <c r="D292" s="143">
        <v>89.623999999999995</v>
      </c>
      <c r="E292" s="143">
        <v>168.01</v>
      </c>
      <c r="F292" s="143">
        <f t="shared" si="16"/>
        <v>15057.728239999999</v>
      </c>
      <c r="G292" s="144">
        <f t="shared" si="17"/>
        <v>5.1335546996314301E-4</v>
      </c>
      <c r="H292" s="145">
        <v>2.97601333253973E-2</v>
      </c>
      <c r="I292" s="144">
        <f t="shared" si="18"/>
        <v>1.5277527229425126E-5</v>
      </c>
      <c r="J292" s="145">
        <v>0.05</v>
      </c>
      <c r="K292" s="144">
        <f t="shared" si="19"/>
        <v>2.566777349815715E-5</v>
      </c>
      <c r="M292" s="146"/>
    </row>
    <row r="293" spans="2:13" x14ac:dyDescent="0.25">
      <c r="B293" s="134" t="s">
        <v>741</v>
      </c>
      <c r="C293" s="142" t="s">
        <v>742</v>
      </c>
      <c r="D293" s="143">
        <v>361.23200000000003</v>
      </c>
      <c r="E293" s="143">
        <v>121.97</v>
      </c>
      <c r="F293" s="143">
        <f t="shared" si="16"/>
        <v>44059.467040000003</v>
      </c>
      <c r="G293" s="144">
        <f t="shared" si="17"/>
        <v>1.5020969995036125E-3</v>
      </c>
      <c r="H293" s="145">
        <v>2.9187505124210873E-2</v>
      </c>
      <c r="I293" s="144">
        <f t="shared" si="18"/>
        <v>4.3842463870073468E-5</v>
      </c>
      <c r="J293" s="145">
        <v>7.0000000000000007E-2</v>
      </c>
      <c r="K293" s="144">
        <f t="shared" si="19"/>
        <v>1.0514678996525289E-4</v>
      </c>
      <c r="M293" s="146"/>
    </row>
    <row r="294" spans="2:13" x14ac:dyDescent="0.25">
      <c r="B294" s="134" t="s">
        <v>743</v>
      </c>
      <c r="C294" s="142" t="s">
        <v>744</v>
      </c>
      <c r="D294" s="143">
        <v>1113</v>
      </c>
      <c r="E294" s="143">
        <v>129.05000000000001</v>
      </c>
      <c r="F294" s="143">
        <f t="shared" si="16"/>
        <v>143632.65000000002</v>
      </c>
      <c r="G294" s="144">
        <f t="shared" si="17"/>
        <v>4.8967948795177385E-3</v>
      </c>
      <c r="H294" s="145">
        <v>2.4796590468810539E-2</v>
      </c>
      <c r="I294" s="144">
        <f t="shared" si="18"/>
        <v>1.214238172371698E-4</v>
      </c>
      <c r="J294" s="145">
        <v>0.11609999999999999</v>
      </c>
      <c r="K294" s="144">
        <f t="shared" si="19"/>
        <v>5.6851788551200936E-4</v>
      </c>
      <c r="M294" s="146"/>
    </row>
    <row r="295" spans="2:13" x14ac:dyDescent="0.25">
      <c r="B295" s="134" t="s">
        <v>743</v>
      </c>
      <c r="C295" s="142" t="s">
        <v>745</v>
      </c>
      <c r="D295" s="143">
        <v>338.63200000000001</v>
      </c>
      <c r="E295" s="143">
        <v>130.38</v>
      </c>
      <c r="F295" s="143">
        <f t="shared" si="16"/>
        <v>44150.84016</v>
      </c>
      <c r="G295" s="144">
        <f t="shared" si="17"/>
        <v>1.5052121368079898E-3</v>
      </c>
      <c r="H295" s="145">
        <v>1.0277649946310785E-2</v>
      </c>
      <c r="I295" s="144">
        <f t="shared" si="18"/>
        <v>1.5470043437050976E-5</v>
      </c>
      <c r="J295" s="145">
        <v>0.1</v>
      </c>
      <c r="K295" s="144">
        <f t="shared" si="19"/>
        <v>1.50521213680799E-4</v>
      </c>
      <c r="M295" s="146"/>
    </row>
    <row r="296" spans="2:13" x14ac:dyDescent="0.25">
      <c r="B296" s="134" t="s">
        <v>746</v>
      </c>
      <c r="C296" s="142" t="s">
        <v>747</v>
      </c>
      <c r="D296" s="143">
        <v>83.052000000000007</v>
      </c>
      <c r="E296" s="143">
        <v>465.82</v>
      </c>
      <c r="F296" s="143">
        <f t="shared" si="16"/>
        <v>38687.282640000005</v>
      </c>
      <c r="G296" s="144">
        <f t="shared" si="17"/>
        <v>1.3189458492481167E-3</v>
      </c>
      <c r="H296" s="145" t="s">
        <v>210</v>
      </c>
      <c r="I296" s="144" t="str">
        <f t="shared" si="18"/>
        <v/>
      </c>
      <c r="J296" s="145">
        <v>0.17980000000000002</v>
      </c>
      <c r="K296" s="144">
        <f t="shared" si="19"/>
        <v>2.371464636948114E-4</v>
      </c>
      <c r="M296" s="146"/>
    </row>
    <row r="297" spans="2:13" x14ac:dyDescent="0.25">
      <c r="B297" s="134" t="s">
        <v>748</v>
      </c>
      <c r="C297" s="142" t="s">
        <v>749</v>
      </c>
      <c r="D297" s="143">
        <v>1136.7</v>
      </c>
      <c r="E297" s="143">
        <v>99.3</v>
      </c>
      <c r="F297" s="143">
        <f t="shared" si="16"/>
        <v>112874.31</v>
      </c>
      <c r="G297" s="144">
        <f t="shared" si="17"/>
        <v>3.8481664387386696E-3</v>
      </c>
      <c r="H297" s="145">
        <v>2.2960725075528699E-2</v>
      </c>
      <c r="I297" s="144">
        <f t="shared" si="18"/>
        <v>8.8356691644754943E-5</v>
      </c>
      <c r="J297" s="145">
        <v>0.1741</v>
      </c>
      <c r="K297" s="144">
        <f t="shared" si="19"/>
        <v>6.699657769844024E-4</v>
      </c>
      <c r="M297" s="146"/>
    </row>
    <row r="298" spans="2:13" x14ac:dyDescent="0.25">
      <c r="B298" s="134" t="s">
        <v>750</v>
      </c>
      <c r="C298" s="142" t="s">
        <v>751</v>
      </c>
      <c r="D298" s="143">
        <v>936.26</v>
      </c>
      <c r="E298" s="143">
        <v>12.39</v>
      </c>
      <c r="F298" s="143">
        <f t="shared" si="16"/>
        <v>11600.261400000001</v>
      </c>
      <c r="G298" s="144">
        <f t="shared" si="17"/>
        <v>3.9548181158383745E-4</v>
      </c>
      <c r="H298" s="145">
        <v>6.618240516545601E-2</v>
      </c>
      <c r="I298" s="144">
        <f t="shared" si="18"/>
        <v>2.6173937489810064E-5</v>
      </c>
      <c r="J298" s="145">
        <v>7.0750000000000007E-2</v>
      </c>
      <c r="K298" s="144">
        <f t="shared" si="19"/>
        <v>2.7980338169556502E-5</v>
      </c>
      <c r="M298" s="146"/>
    </row>
    <row r="299" spans="2:13" x14ac:dyDescent="0.25">
      <c r="B299" s="134" t="s">
        <v>752</v>
      </c>
      <c r="C299" s="142" t="s">
        <v>753</v>
      </c>
      <c r="D299" s="143">
        <v>247.227</v>
      </c>
      <c r="E299" s="143">
        <v>29.54</v>
      </c>
      <c r="F299" s="143">
        <f t="shared" si="16"/>
        <v>7303.0855799999999</v>
      </c>
      <c r="G299" s="144">
        <f t="shared" si="17"/>
        <v>2.489803820567526E-4</v>
      </c>
      <c r="H299" s="145">
        <v>1.7603249830737983E-2</v>
      </c>
      <c r="I299" s="144">
        <f t="shared" si="18"/>
        <v>4.3828638682976082E-6</v>
      </c>
      <c r="J299" s="145">
        <v>6.2350000000000003E-2</v>
      </c>
      <c r="K299" s="144">
        <f t="shared" si="19"/>
        <v>1.5523926821238524E-5</v>
      </c>
      <c r="M299" s="146"/>
    </row>
    <row r="300" spans="2:13" x14ac:dyDescent="0.25">
      <c r="B300" s="134" t="s">
        <v>754</v>
      </c>
      <c r="C300" s="142" t="s">
        <v>755</v>
      </c>
      <c r="D300" s="143">
        <v>235.58099999999999</v>
      </c>
      <c r="E300" s="143">
        <v>27.66</v>
      </c>
      <c r="F300" s="143">
        <f t="shared" si="16"/>
        <v>6516.1704599999994</v>
      </c>
      <c r="G300" s="144">
        <f t="shared" si="17"/>
        <v>2.2215248512502374E-4</v>
      </c>
      <c r="H300" s="145">
        <v>1.8799710773680405E-2</v>
      </c>
      <c r="I300" s="144">
        <f t="shared" si="18"/>
        <v>4.1764024680047845E-6</v>
      </c>
      <c r="J300" s="145">
        <v>6.2350000000000003E-2</v>
      </c>
      <c r="K300" s="144">
        <f t="shared" si="19"/>
        <v>1.3851207447545231E-5</v>
      </c>
      <c r="M300" s="146"/>
    </row>
    <row r="301" spans="2:13" x14ac:dyDescent="0.25">
      <c r="B301" s="134" t="s">
        <v>756</v>
      </c>
      <c r="C301" s="142" t="s">
        <v>757</v>
      </c>
      <c r="D301" s="143">
        <v>308.584</v>
      </c>
      <c r="E301" s="143">
        <v>72.819999999999993</v>
      </c>
      <c r="F301" s="143">
        <f t="shared" si="16"/>
        <v>22471.086879999999</v>
      </c>
      <c r="G301" s="144">
        <f t="shared" si="17"/>
        <v>7.6609533536547731E-4</v>
      </c>
      <c r="H301" s="145">
        <v>3.7901675363911015E-2</v>
      </c>
      <c r="I301" s="144">
        <f t="shared" si="18"/>
        <v>2.9036296698828857E-5</v>
      </c>
      <c r="J301" s="145">
        <v>6.9199999999999998E-2</v>
      </c>
      <c r="K301" s="144">
        <f t="shared" si="19"/>
        <v>5.3013797207291028E-5</v>
      </c>
      <c r="M301" s="146"/>
    </row>
    <row r="302" spans="2:13" x14ac:dyDescent="0.25">
      <c r="B302" s="134" t="s">
        <v>758</v>
      </c>
      <c r="C302" s="142" t="s">
        <v>759</v>
      </c>
      <c r="D302" s="143">
        <v>425.42500000000001</v>
      </c>
      <c r="E302" s="143">
        <v>15.27</v>
      </c>
      <c r="F302" s="143">
        <f t="shared" si="16"/>
        <v>6496.2397499999997</v>
      </c>
      <c r="G302" s="144" t="str">
        <f t="shared" si="17"/>
        <v/>
      </c>
      <c r="H302" s="145" t="s">
        <v>210</v>
      </c>
      <c r="I302" s="144" t="str">
        <f t="shared" si="18"/>
        <v/>
      </c>
      <c r="J302" s="145" t="s">
        <v>210</v>
      </c>
      <c r="K302" s="144" t="str">
        <f t="shared" si="19"/>
        <v/>
      </c>
      <c r="M302" s="146"/>
    </row>
    <row r="303" spans="2:13" x14ac:dyDescent="0.25">
      <c r="B303" s="134" t="s">
        <v>760</v>
      </c>
      <c r="C303" s="142" t="s">
        <v>761</v>
      </c>
      <c r="D303" s="143">
        <v>1557.0119999999999</v>
      </c>
      <c r="E303" s="143">
        <v>38.119999999999997</v>
      </c>
      <c r="F303" s="143">
        <f t="shared" si="16"/>
        <v>59353.297439999995</v>
      </c>
      <c r="G303" s="144">
        <f t="shared" si="17"/>
        <v>2.0235017803172553E-3</v>
      </c>
      <c r="H303" s="145">
        <v>5.0367261280167892E-2</v>
      </c>
      <c r="I303" s="144">
        <f t="shared" si="18"/>
        <v>1.0191824287012409E-4</v>
      </c>
      <c r="J303" s="145">
        <v>7.4999999999999997E-2</v>
      </c>
      <c r="K303" s="144">
        <f t="shared" si="19"/>
        <v>1.5176263352379414E-4</v>
      </c>
      <c r="M303" s="146"/>
    </row>
    <row r="304" spans="2:13" x14ac:dyDescent="0.25">
      <c r="B304" s="134" t="s">
        <v>762</v>
      </c>
      <c r="C304" s="142" t="s">
        <v>763</v>
      </c>
      <c r="D304" s="143">
        <v>122.828</v>
      </c>
      <c r="E304" s="143">
        <v>75.36</v>
      </c>
      <c r="F304" s="143">
        <f t="shared" si="16"/>
        <v>9256.3180800000009</v>
      </c>
      <c r="G304" s="144" t="str">
        <f t="shared" si="17"/>
        <v/>
      </c>
      <c r="H304" s="145">
        <v>1.6985138004246284E-2</v>
      </c>
      <c r="I304" s="144" t="str">
        <f t="shared" si="18"/>
        <v/>
      </c>
      <c r="J304" s="145" t="s">
        <v>210</v>
      </c>
      <c r="K304" s="144" t="str">
        <f t="shared" si="19"/>
        <v/>
      </c>
      <c r="M304" s="146"/>
    </row>
    <row r="305" spans="2:13" x14ac:dyDescent="0.25">
      <c r="B305" s="134" t="s">
        <v>764</v>
      </c>
      <c r="C305" s="142" t="s">
        <v>765</v>
      </c>
      <c r="D305" s="143">
        <v>640.71500000000003</v>
      </c>
      <c r="E305" s="143">
        <v>22.08</v>
      </c>
      <c r="F305" s="143">
        <f t="shared" si="16"/>
        <v>14146.9872</v>
      </c>
      <c r="G305" s="144">
        <f t="shared" si="17"/>
        <v>4.8230603892334355E-4</v>
      </c>
      <c r="H305" s="145">
        <v>2.2644927536231887E-2</v>
      </c>
      <c r="I305" s="144">
        <f t="shared" si="18"/>
        <v>1.0921785301706151E-5</v>
      </c>
      <c r="J305" s="145">
        <v>0.1298</v>
      </c>
      <c r="K305" s="144">
        <f t="shared" si="19"/>
        <v>6.2603323852249986E-5</v>
      </c>
      <c r="M305" s="146"/>
    </row>
    <row r="306" spans="2:13" x14ac:dyDescent="0.25">
      <c r="B306" s="134" t="s">
        <v>766</v>
      </c>
      <c r="C306" s="142" t="s">
        <v>767</v>
      </c>
      <c r="D306" s="143">
        <v>223.47</v>
      </c>
      <c r="E306" s="143">
        <v>100.13</v>
      </c>
      <c r="F306" s="143">
        <f t="shared" si="16"/>
        <v>22376.051100000001</v>
      </c>
      <c r="G306" s="144" t="str">
        <f t="shared" si="17"/>
        <v/>
      </c>
      <c r="H306" s="145">
        <v>4.87366423649256E-2</v>
      </c>
      <c r="I306" s="144" t="str">
        <f t="shared" si="18"/>
        <v/>
      </c>
      <c r="J306" s="145">
        <v>-4.0849999999999997E-2</v>
      </c>
      <c r="K306" s="144" t="str">
        <f t="shared" si="19"/>
        <v/>
      </c>
      <c r="M306" s="146"/>
    </row>
    <row r="307" spans="2:13" x14ac:dyDescent="0.25">
      <c r="B307" s="134" t="s">
        <v>768</v>
      </c>
      <c r="C307" s="142" t="s">
        <v>769</v>
      </c>
      <c r="D307" s="143">
        <v>402.77499999999998</v>
      </c>
      <c r="E307" s="143">
        <v>170.99</v>
      </c>
      <c r="F307" s="143">
        <f t="shared" si="16"/>
        <v>68870.49725</v>
      </c>
      <c r="G307" s="144">
        <f t="shared" si="17"/>
        <v>2.3479668326361761E-3</v>
      </c>
      <c r="H307" s="145">
        <v>1.6375226621439847E-2</v>
      </c>
      <c r="I307" s="144">
        <f t="shared" si="18"/>
        <v>3.8448488984041709E-5</v>
      </c>
      <c r="J307" s="145">
        <v>0.10050000000000001</v>
      </c>
      <c r="K307" s="144">
        <f t="shared" si="19"/>
        <v>2.3597066667993571E-4</v>
      </c>
      <c r="M307" s="146"/>
    </row>
    <row r="308" spans="2:13" x14ac:dyDescent="0.25">
      <c r="B308" s="134" t="s">
        <v>770</v>
      </c>
      <c r="C308" s="142" t="s">
        <v>771</v>
      </c>
      <c r="D308" s="143">
        <v>183.66300000000001</v>
      </c>
      <c r="E308" s="143">
        <v>240.49</v>
      </c>
      <c r="F308" s="143">
        <f t="shared" si="16"/>
        <v>44169.114870000005</v>
      </c>
      <c r="G308" s="144">
        <f t="shared" si="17"/>
        <v>1.5058351672008197E-3</v>
      </c>
      <c r="H308" s="145">
        <v>1.4803110316437273E-2</v>
      </c>
      <c r="I308" s="144">
        <f t="shared" si="18"/>
        <v>2.2291044098444501E-5</v>
      </c>
      <c r="J308" s="145">
        <v>9.7500000000000003E-2</v>
      </c>
      <c r="K308" s="144">
        <f t="shared" si="19"/>
        <v>1.4681892880207993E-4</v>
      </c>
      <c r="M308" s="146"/>
    </row>
    <row r="309" spans="2:13" x14ac:dyDescent="0.25">
      <c r="B309" s="134" t="s">
        <v>772</v>
      </c>
      <c r="C309" s="142" t="s">
        <v>773</v>
      </c>
      <c r="D309" s="143">
        <v>211.86</v>
      </c>
      <c r="E309" s="143">
        <v>31.75</v>
      </c>
      <c r="F309" s="143">
        <f t="shared" si="16"/>
        <v>6726.5550000000003</v>
      </c>
      <c r="G309" s="144">
        <f t="shared" si="17"/>
        <v>2.2932501823780623E-4</v>
      </c>
      <c r="H309" s="145">
        <v>1.7637795275590552E-2</v>
      </c>
      <c r="I309" s="144">
        <f t="shared" si="18"/>
        <v>4.0447877232494955E-6</v>
      </c>
      <c r="J309" s="145">
        <v>7.9299999999999995E-2</v>
      </c>
      <c r="K309" s="144">
        <f t="shared" si="19"/>
        <v>1.8185473946258032E-5</v>
      </c>
      <c r="M309" s="146"/>
    </row>
    <row r="310" spans="2:13" x14ac:dyDescent="0.25">
      <c r="B310" s="134" t="s">
        <v>774</v>
      </c>
      <c r="C310" s="142" t="s">
        <v>775</v>
      </c>
      <c r="D310" s="143">
        <v>148.149</v>
      </c>
      <c r="E310" s="143">
        <v>35.630000000000003</v>
      </c>
      <c r="F310" s="143">
        <f t="shared" si="16"/>
        <v>5278.5488700000005</v>
      </c>
      <c r="G310" s="144" t="str">
        <f t="shared" si="17"/>
        <v/>
      </c>
      <c r="H310" s="145">
        <v>4.6028627561044061E-2</v>
      </c>
      <c r="I310" s="144" t="str">
        <f t="shared" si="18"/>
        <v/>
      </c>
      <c r="J310" s="145">
        <v>-9.7250000000000003E-2</v>
      </c>
      <c r="K310" s="144" t="str">
        <f t="shared" si="19"/>
        <v/>
      </c>
      <c r="M310" s="146"/>
    </row>
    <row r="311" spans="2:13" x14ac:dyDescent="0.25">
      <c r="B311" s="134" t="s">
        <v>776</v>
      </c>
      <c r="C311" s="142" t="s">
        <v>777</v>
      </c>
      <c r="D311" s="143">
        <v>128.053</v>
      </c>
      <c r="E311" s="143">
        <v>37.81</v>
      </c>
      <c r="F311" s="143">
        <f t="shared" si="16"/>
        <v>4841.6839300000001</v>
      </c>
      <c r="G311" s="144">
        <f t="shared" si="17"/>
        <v>1.6506506756414589E-4</v>
      </c>
      <c r="H311" s="145" t="s">
        <v>210</v>
      </c>
      <c r="I311" s="144" t="str">
        <f t="shared" si="18"/>
        <v/>
      </c>
      <c r="J311" s="145">
        <v>3.56E-2</v>
      </c>
      <c r="K311" s="144">
        <f t="shared" si="19"/>
        <v>5.8763164052835935E-6</v>
      </c>
      <c r="M311" s="146"/>
    </row>
    <row r="312" spans="2:13" x14ac:dyDescent="0.25">
      <c r="B312" s="134" t="s">
        <v>778</v>
      </c>
      <c r="C312" s="142" t="s">
        <v>779</v>
      </c>
      <c r="D312" s="143">
        <v>449.55399999999997</v>
      </c>
      <c r="E312" s="143">
        <v>14.27</v>
      </c>
      <c r="F312" s="143">
        <f t="shared" si="16"/>
        <v>6415.1355799999992</v>
      </c>
      <c r="G312" s="144" t="str">
        <f t="shared" si="17"/>
        <v/>
      </c>
      <c r="H312" s="145">
        <v>5.6061667834618086E-2</v>
      </c>
      <c r="I312" s="144" t="str">
        <f t="shared" si="18"/>
        <v/>
      </c>
      <c r="J312" s="145">
        <v>-6.7500000000000008E-3</v>
      </c>
      <c r="K312" s="144" t="str">
        <f t="shared" si="19"/>
        <v/>
      </c>
      <c r="M312" s="146"/>
    </row>
    <row r="313" spans="2:13" x14ac:dyDescent="0.25">
      <c r="B313" s="134" t="s">
        <v>780</v>
      </c>
      <c r="C313" s="142" t="s">
        <v>781</v>
      </c>
      <c r="D313" s="143">
        <v>279.93599999999998</v>
      </c>
      <c r="E313" s="143">
        <v>571.46</v>
      </c>
      <c r="F313" s="143">
        <f t="shared" si="16"/>
        <v>159972.22656000001</v>
      </c>
      <c r="G313" s="144">
        <f t="shared" si="17"/>
        <v>5.4538517522586928E-3</v>
      </c>
      <c r="H313" s="145">
        <v>6.299653519056452E-3</v>
      </c>
      <c r="I313" s="144">
        <f t="shared" si="18"/>
        <v>3.435737638352867E-5</v>
      </c>
      <c r="J313" s="145">
        <v>0.18960000000000002</v>
      </c>
      <c r="K313" s="144">
        <f t="shared" si="19"/>
        <v>1.0340502922282482E-3</v>
      </c>
      <c r="M313" s="146"/>
    </row>
    <row r="314" spans="2:13" x14ac:dyDescent="0.25">
      <c r="B314" s="134" t="s">
        <v>782</v>
      </c>
      <c r="C314" s="142" t="s">
        <v>783</v>
      </c>
      <c r="D314" s="143">
        <v>1641.3119999999999</v>
      </c>
      <c r="E314" s="143">
        <v>79.34</v>
      </c>
      <c r="F314" s="143">
        <f t="shared" si="16"/>
        <v>130221.69408</v>
      </c>
      <c r="G314" s="144">
        <f t="shared" si="17"/>
        <v>4.4395819806504252E-3</v>
      </c>
      <c r="H314" s="145">
        <v>4.2853541719183257E-2</v>
      </c>
      <c r="I314" s="144">
        <f t="shared" si="18"/>
        <v>1.9025181162353724E-4</v>
      </c>
      <c r="J314" s="145">
        <v>3.6400000000000002E-2</v>
      </c>
      <c r="K314" s="144">
        <f t="shared" si="19"/>
        <v>1.6160078409567548E-4</v>
      </c>
      <c r="M314" s="146"/>
    </row>
    <row r="315" spans="2:13" x14ac:dyDescent="0.25">
      <c r="B315" s="134" t="s">
        <v>784</v>
      </c>
      <c r="C315" s="142" t="s">
        <v>785</v>
      </c>
      <c r="D315" s="143">
        <v>541.04499999999996</v>
      </c>
      <c r="E315" s="143">
        <v>83.44</v>
      </c>
      <c r="F315" s="143">
        <f t="shared" si="16"/>
        <v>45144.794799999996</v>
      </c>
      <c r="G315" s="144" t="str">
        <f t="shared" si="17"/>
        <v/>
      </c>
      <c r="H315" s="145">
        <v>2.1045062320230106E-2</v>
      </c>
      <c r="I315" s="144" t="str">
        <f t="shared" si="18"/>
        <v/>
      </c>
      <c r="J315" s="145">
        <v>-0.01</v>
      </c>
      <c r="K315" s="144" t="str">
        <f t="shared" si="19"/>
        <v/>
      </c>
      <c r="M315" s="146"/>
    </row>
    <row r="316" spans="2:13" x14ac:dyDescent="0.25">
      <c r="B316" s="134" t="s">
        <v>786</v>
      </c>
      <c r="C316" s="142" t="s">
        <v>787</v>
      </c>
      <c r="D316" s="143">
        <v>407.99</v>
      </c>
      <c r="E316" s="143">
        <v>229.43</v>
      </c>
      <c r="F316" s="143">
        <f t="shared" si="16"/>
        <v>93605.145700000008</v>
      </c>
      <c r="G316" s="144">
        <f t="shared" si="17"/>
        <v>3.1912326212756767E-3</v>
      </c>
      <c r="H316" s="145">
        <v>1.4993679989539292E-2</v>
      </c>
      <c r="I316" s="144">
        <f t="shared" si="18"/>
        <v>4.7848320695586135E-5</v>
      </c>
      <c r="J316" s="145">
        <v>0.155</v>
      </c>
      <c r="K316" s="144">
        <f t="shared" si="19"/>
        <v>4.9464105629772992E-4</v>
      </c>
      <c r="M316" s="146"/>
    </row>
    <row r="317" spans="2:13" x14ac:dyDescent="0.25">
      <c r="B317" s="134" t="s">
        <v>788</v>
      </c>
      <c r="C317" s="142" t="s">
        <v>789</v>
      </c>
      <c r="D317" s="143">
        <v>240.00299999999999</v>
      </c>
      <c r="E317" s="143">
        <v>71.3</v>
      </c>
      <c r="F317" s="143">
        <f t="shared" si="16"/>
        <v>17112.213899999999</v>
      </c>
      <c r="G317" s="144" t="str">
        <f t="shared" si="17"/>
        <v/>
      </c>
      <c r="H317" s="145" t="s">
        <v>210</v>
      </c>
      <c r="I317" s="144" t="str">
        <f t="shared" si="18"/>
        <v/>
      </c>
      <c r="J317" s="145">
        <v>-8.7599999999999997E-2</v>
      </c>
      <c r="K317" s="144" t="str">
        <f t="shared" si="19"/>
        <v/>
      </c>
      <c r="M317" s="146"/>
    </row>
    <row r="318" spans="2:13" x14ac:dyDescent="0.25">
      <c r="B318" s="134" t="s">
        <v>790</v>
      </c>
      <c r="C318" s="142" t="s">
        <v>791</v>
      </c>
      <c r="D318" s="143">
        <v>466.22300000000001</v>
      </c>
      <c r="E318" s="143">
        <v>27.27</v>
      </c>
      <c r="F318" s="143">
        <f t="shared" si="16"/>
        <v>12713.90121</v>
      </c>
      <c r="G318" s="144" t="str">
        <f t="shared" si="17"/>
        <v/>
      </c>
      <c r="H318" s="145">
        <v>6.1606160616061605E-2</v>
      </c>
      <c r="I318" s="144" t="str">
        <f t="shared" si="18"/>
        <v/>
      </c>
      <c r="J318" s="145">
        <v>-0.10630000000000001</v>
      </c>
      <c r="K318" s="144" t="str">
        <f t="shared" si="19"/>
        <v/>
      </c>
      <c r="M318" s="146"/>
    </row>
    <row r="319" spans="2:13" x14ac:dyDescent="0.25">
      <c r="B319" s="134" t="s">
        <v>792</v>
      </c>
      <c r="C319" s="142" t="s">
        <v>793</v>
      </c>
      <c r="D319" s="143">
        <v>59.161999999999999</v>
      </c>
      <c r="E319" s="143">
        <v>982.38</v>
      </c>
      <c r="F319" s="143">
        <f t="shared" si="16"/>
        <v>58119.565559999995</v>
      </c>
      <c r="G319" s="144">
        <f t="shared" si="17"/>
        <v>1.9814407868545447E-3</v>
      </c>
      <c r="H319" s="145" t="s">
        <v>210</v>
      </c>
      <c r="I319" s="144" t="str">
        <f t="shared" si="18"/>
        <v/>
      </c>
      <c r="J319" s="145">
        <v>0.1139</v>
      </c>
      <c r="K319" s="144">
        <f t="shared" si="19"/>
        <v>2.2568610562273265E-4</v>
      </c>
      <c r="M319" s="146"/>
    </row>
    <row r="320" spans="2:13" x14ac:dyDescent="0.25">
      <c r="B320" s="134" t="s">
        <v>794</v>
      </c>
      <c r="C320" s="142" t="s">
        <v>795</v>
      </c>
      <c r="D320" s="143">
        <v>261.68700000000001</v>
      </c>
      <c r="E320" s="143">
        <v>137.87</v>
      </c>
      <c r="F320" s="143">
        <f t="shared" si="16"/>
        <v>36078.786690000001</v>
      </c>
      <c r="G320" s="144" t="str">
        <f t="shared" si="17"/>
        <v/>
      </c>
      <c r="H320" s="145">
        <v>2.5821425980996592E-2</v>
      </c>
      <c r="I320" s="144" t="str">
        <f t="shared" si="18"/>
        <v/>
      </c>
      <c r="J320" s="145">
        <v>0.50019999999999998</v>
      </c>
      <c r="K320" s="144" t="str">
        <f t="shared" si="19"/>
        <v/>
      </c>
      <c r="M320" s="146"/>
    </row>
    <row r="321" spans="2:13" x14ac:dyDescent="0.25">
      <c r="B321" s="134" t="s">
        <v>796</v>
      </c>
      <c r="C321" s="142" t="s">
        <v>797</v>
      </c>
      <c r="D321" s="143">
        <v>379.72399999999999</v>
      </c>
      <c r="E321" s="143">
        <v>56.84</v>
      </c>
      <c r="F321" s="143">
        <f t="shared" si="16"/>
        <v>21583.512160000002</v>
      </c>
      <c r="G321" s="144">
        <f t="shared" si="17"/>
        <v>7.3583570189018194E-4</v>
      </c>
      <c r="H321" s="145">
        <v>4.6622097114707946E-2</v>
      </c>
      <c r="I321" s="144">
        <f t="shared" si="18"/>
        <v>3.4306203553993349E-5</v>
      </c>
      <c r="J321" s="145">
        <v>4.7500000000000001E-2</v>
      </c>
      <c r="K321" s="144">
        <f t="shared" si="19"/>
        <v>3.495219583978364E-5</v>
      </c>
      <c r="M321" s="146"/>
    </row>
    <row r="322" spans="2:13" x14ac:dyDescent="0.25">
      <c r="B322" s="134" t="s">
        <v>798</v>
      </c>
      <c r="C322" s="142" t="s">
        <v>799</v>
      </c>
      <c r="D322" s="143">
        <v>235.05500000000001</v>
      </c>
      <c r="E322" s="143">
        <v>33.69</v>
      </c>
      <c r="F322" s="143">
        <f t="shared" si="16"/>
        <v>7919.0029500000001</v>
      </c>
      <c r="G322" s="144">
        <f t="shared" si="17"/>
        <v>2.6997853967357605E-4</v>
      </c>
      <c r="H322" s="145">
        <v>1.3060255268625707E-2</v>
      </c>
      <c r="I322" s="144">
        <f t="shared" si="18"/>
        <v>3.5259886451876957E-6</v>
      </c>
      <c r="J322" s="145">
        <v>4.3299999999999998E-2</v>
      </c>
      <c r="K322" s="144">
        <f t="shared" si="19"/>
        <v>1.1690070767865843E-5</v>
      </c>
      <c r="M322" s="146"/>
    </row>
    <row r="323" spans="2:13" x14ac:dyDescent="0.25">
      <c r="B323" s="134" t="s">
        <v>800</v>
      </c>
      <c r="C323" s="142" t="s">
        <v>801</v>
      </c>
      <c r="D323" s="143">
        <v>1398.336</v>
      </c>
      <c r="E323" s="143">
        <v>31.57</v>
      </c>
      <c r="F323" s="143">
        <f t="shared" si="16"/>
        <v>44145.467519999998</v>
      </c>
      <c r="G323" s="144">
        <f t="shared" si="17"/>
        <v>1.5050289701251951E-3</v>
      </c>
      <c r="H323" s="145">
        <v>2.7241051631295532E-2</v>
      </c>
      <c r="I323" s="144">
        <f t="shared" si="18"/>
        <v>4.099857188177598E-5</v>
      </c>
      <c r="J323" s="145">
        <v>6.8449999999999997E-2</v>
      </c>
      <c r="K323" s="144">
        <f t="shared" si="19"/>
        <v>1.030192330050696E-4</v>
      </c>
      <c r="M323" s="146"/>
    </row>
    <row r="324" spans="2:13" x14ac:dyDescent="0.25">
      <c r="B324" s="134" t="s">
        <v>802</v>
      </c>
      <c r="C324" s="142" t="s">
        <v>803</v>
      </c>
      <c r="D324" s="143">
        <v>705.4</v>
      </c>
      <c r="E324" s="143">
        <v>17.47</v>
      </c>
      <c r="F324" s="143">
        <f t="shared" si="16"/>
        <v>12323.337999999998</v>
      </c>
      <c r="G324" s="144" t="str">
        <f t="shared" si="17"/>
        <v/>
      </c>
      <c r="H324" s="145">
        <v>4.1213508872352603E-2</v>
      </c>
      <c r="I324" s="144" t="str">
        <f t="shared" si="18"/>
        <v/>
      </c>
      <c r="J324" s="145" t="s">
        <v>210</v>
      </c>
      <c r="K324" s="144" t="str">
        <f t="shared" si="19"/>
        <v/>
      </c>
      <c r="M324" s="146"/>
    </row>
    <row r="325" spans="2:13" x14ac:dyDescent="0.25">
      <c r="B325" s="134" t="s">
        <v>804</v>
      </c>
      <c r="C325" s="142" t="s">
        <v>805</v>
      </c>
      <c r="D325" s="143">
        <v>224.10900000000001</v>
      </c>
      <c r="E325" s="143">
        <v>54.34</v>
      </c>
      <c r="F325" s="143">
        <f t="shared" si="16"/>
        <v>12178.083060000001</v>
      </c>
      <c r="G325" s="144" t="str">
        <f t="shared" si="17"/>
        <v/>
      </c>
      <c r="H325" s="145" t="s">
        <v>210</v>
      </c>
      <c r="I325" s="144" t="str">
        <f t="shared" si="18"/>
        <v/>
      </c>
      <c r="J325" s="145">
        <v>0.36359999999999998</v>
      </c>
      <c r="K325" s="144" t="str">
        <f t="shared" si="19"/>
        <v/>
      </c>
      <c r="M325" s="146"/>
    </row>
    <row r="326" spans="2:13" x14ac:dyDescent="0.25">
      <c r="B326" s="134" t="s">
        <v>806</v>
      </c>
      <c r="C326" s="142" t="s">
        <v>807</v>
      </c>
      <c r="D326" s="143">
        <v>326.24700000000001</v>
      </c>
      <c r="E326" s="143">
        <v>124.89</v>
      </c>
      <c r="F326" s="143">
        <f t="shared" si="16"/>
        <v>40744.987830000005</v>
      </c>
      <c r="G326" s="144">
        <f t="shared" si="17"/>
        <v>1.3890981456650461E-3</v>
      </c>
      <c r="H326" s="145">
        <v>6.0853551124989989E-2</v>
      </c>
      <c r="I326" s="144">
        <f t="shared" si="18"/>
        <v>8.4531555024856676E-5</v>
      </c>
      <c r="J326" s="145">
        <v>1.7100000000000001E-2</v>
      </c>
      <c r="K326" s="144">
        <f t="shared" si="19"/>
        <v>2.3753578290872289E-5</v>
      </c>
      <c r="M326" s="146"/>
    </row>
    <row r="327" spans="2:13" x14ac:dyDescent="0.25">
      <c r="B327" s="134" t="s">
        <v>808</v>
      </c>
      <c r="C327" s="142" t="s">
        <v>809</v>
      </c>
      <c r="D327" s="143">
        <v>118.56399999999999</v>
      </c>
      <c r="E327" s="143">
        <v>83.83</v>
      </c>
      <c r="F327" s="143">
        <f t="shared" si="16"/>
        <v>9939.22012</v>
      </c>
      <c r="G327" s="144">
        <f t="shared" si="17"/>
        <v>3.3885277609245305E-4</v>
      </c>
      <c r="H327" s="145">
        <v>3.7695335798640109E-2</v>
      </c>
      <c r="I327" s="144">
        <f t="shared" si="18"/>
        <v>1.2773169181106427E-5</v>
      </c>
      <c r="J327" s="145">
        <v>4.7500000000000001E-2</v>
      </c>
      <c r="K327" s="144">
        <f t="shared" si="19"/>
        <v>1.609550686439152E-5</v>
      </c>
      <c r="M327" s="146"/>
    </row>
    <row r="328" spans="2:13" x14ac:dyDescent="0.25">
      <c r="B328" s="134" t="s">
        <v>810</v>
      </c>
      <c r="C328" s="142" t="s">
        <v>811</v>
      </c>
      <c r="D328" s="143">
        <v>142.01499999999999</v>
      </c>
      <c r="E328" s="143">
        <v>172.94</v>
      </c>
      <c r="F328" s="143">
        <f t="shared" si="16"/>
        <v>24560.074099999998</v>
      </c>
      <c r="G328" s="144">
        <f t="shared" si="17"/>
        <v>8.3731411411998736E-4</v>
      </c>
      <c r="H328" s="145">
        <v>3.8163524921938245E-2</v>
      </c>
      <c r="I328" s="144">
        <f t="shared" si="18"/>
        <v>3.1954858061708783E-5</v>
      </c>
      <c r="J328" s="145">
        <v>6.2699999999999992E-2</v>
      </c>
      <c r="K328" s="144">
        <f t="shared" si="19"/>
        <v>5.2499594955323201E-5</v>
      </c>
      <c r="M328" s="146"/>
    </row>
    <row r="329" spans="2:13" x14ac:dyDescent="0.25">
      <c r="B329" s="134" t="s">
        <v>812</v>
      </c>
      <c r="C329" s="142" t="s">
        <v>813</v>
      </c>
      <c r="D329" s="143">
        <v>361</v>
      </c>
      <c r="E329" s="143">
        <v>97.78</v>
      </c>
      <c r="F329" s="143">
        <f t="shared" si="16"/>
        <v>35298.58</v>
      </c>
      <c r="G329" s="144">
        <f t="shared" si="17"/>
        <v>1.2034165337633696E-3</v>
      </c>
      <c r="H329" s="145">
        <v>5.1135201472693799E-2</v>
      </c>
      <c r="I329" s="144">
        <f t="shared" si="18"/>
        <v>6.1536946909560719E-5</v>
      </c>
      <c r="J329" s="145">
        <v>0.1047</v>
      </c>
      <c r="K329" s="144">
        <f t="shared" si="19"/>
        <v>1.259977110850248E-4</v>
      </c>
      <c r="M329" s="146"/>
    </row>
    <row r="330" spans="2:13" x14ac:dyDescent="0.25">
      <c r="B330" s="134" t="s">
        <v>814</v>
      </c>
      <c r="C330" s="142" t="s">
        <v>815</v>
      </c>
      <c r="D330" s="143">
        <v>723.25699999999995</v>
      </c>
      <c r="E330" s="143">
        <v>151.61000000000001</v>
      </c>
      <c r="F330" s="143">
        <f t="shared" si="16"/>
        <v>109652.99377</v>
      </c>
      <c r="G330" s="144">
        <f t="shared" si="17"/>
        <v>3.7383437429910709E-3</v>
      </c>
      <c r="H330" s="145">
        <v>4.2741243981267725E-2</v>
      </c>
      <c r="I330" s="144">
        <f t="shared" si="18"/>
        <v>1.5978146200502696E-4</v>
      </c>
      <c r="J330" s="145">
        <v>1.6399999999999998E-2</v>
      </c>
      <c r="K330" s="144">
        <f t="shared" si="19"/>
        <v>6.1308837385053554E-5</v>
      </c>
      <c r="M330" s="146"/>
    </row>
    <row r="331" spans="2:13" x14ac:dyDescent="0.25">
      <c r="B331" s="134" t="s">
        <v>816</v>
      </c>
      <c r="C331" s="142" t="s">
        <v>817</v>
      </c>
      <c r="D331" s="143">
        <v>863.91499999999996</v>
      </c>
      <c r="E331" s="143">
        <v>19.940000000000001</v>
      </c>
      <c r="F331" s="143">
        <f t="shared" si="16"/>
        <v>17226.465100000001</v>
      </c>
      <c r="G331" s="144">
        <f t="shared" si="17"/>
        <v>5.8729311263052667E-4</v>
      </c>
      <c r="H331" s="145">
        <v>9.6288866599799391E-2</v>
      </c>
      <c r="I331" s="144">
        <f t="shared" si="18"/>
        <v>5.654978817706174E-5</v>
      </c>
      <c r="J331" s="145">
        <v>2.5000000000000001E-3</v>
      </c>
      <c r="K331" s="144">
        <f t="shared" si="19"/>
        <v>1.4682327815763168E-6</v>
      </c>
      <c r="M331" s="146"/>
    </row>
    <row r="332" spans="2:13" x14ac:dyDescent="0.25">
      <c r="B332" s="134" t="s">
        <v>818</v>
      </c>
      <c r="C332" s="142" t="s">
        <v>819</v>
      </c>
      <c r="D332" s="143">
        <v>98.8</v>
      </c>
      <c r="E332" s="143">
        <v>200.94</v>
      </c>
      <c r="F332" s="143">
        <f t="shared" si="16"/>
        <v>19852.871999999999</v>
      </c>
      <c r="G332" s="144" t="str">
        <f t="shared" si="17"/>
        <v/>
      </c>
      <c r="H332" s="145">
        <v>1.0351348661291929E-2</v>
      </c>
      <c r="I332" s="144" t="str">
        <f t="shared" si="18"/>
        <v/>
      </c>
      <c r="J332" s="145" t="s">
        <v>210</v>
      </c>
      <c r="K332" s="144" t="str">
        <f t="shared" si="19"/>
        <v/>
      </c>
      <c r="M332" s="146"/>
    </row>
    <row r="333" spans="2:13" x14ac:dyDescent="0.25">
      <c r="B333" s="134" t="s">
        <v>820</v>
      </c>
      <c r="C333" s="142" t="s">
        <v>821</v>
      </c>
      <c r="D333" s="143">
        <v>133.06200000000001</v>
      </c>
      <c r="E333" s="143">
        <v>470.56</v>
      </c>
      <c r="F333" s="143">
        <f t="shared" si="16"/>
        <v>62613.654720000006</v>
      </c>
      <c r="G333" s="144">
        <f t="shared" si="17"/>
        <v>2.1346554827247682E-3</v>
      </c>
      <c r="H333" s="145">
        <v>5.2703162189731379E-3</v>
      </c>
      <c r="I333" s="144">
        <f t="shared" si="18"/>
        <v>1.1250309412524279E-5</v>
      </c>
      <c r="J333" s="145">
        <v>0.10039999999999999</v>
      </c>
      <c r="K333" s="144">
        <f t="shared" si="19"/>
        <v>2.1431941046556671E-4</v>
      </c>
      <c r="M333" s="146"/>
    </row>
    <row r="334" spans="2:13" x14ac:dyDescent="0.25">
      <c r="B334" s="134" t="s">
        <v>822</v>
      </c>
      <c r="C334" s="142" t="s">
        <v>823</v>
      </c>
      <c r="D334" s="143">
        <v>248.09899999999999</v>
      </c>
      <c r="E334" s="143">
        <v>447.77</v>
      </c>
      <c r="F334" s="143">
        <f t="shared" si="16"/>
        <v>111091.28922999999</v>
      </c>
      <c r="G334" s="144">
        <f t="shared" si="17"/>
        <v>3.7873788185380413E-3</v>
      </c>
      <c r="H334" s="145">
        <v>2.8139446590883712E-2</v>
      </c>
      <c r="I334" s="144">
        <f t="shared" si="18"/>
        <v>1.0657474398369546E-4</v>
      </c>
      <c r="J334" s="145">
        <v>7.0400000000000004E-2</v>
      </c>
      <c r="K334" s="144">
        <f t="shared" si="19"/>
        <v>2.6663146882507813E-4</v>
      </c>
      <c r="M334" s="146"/>
    </row>
    <row r="335" spans="2:13" x14ac:dyDescent="0.25">
      <c r="B335" s="134" t="s">
        <v>824</v>
      </c>
      <c r="C335" s="142" t="s">
        <v>825</v>
      </c>
      <c r="D335" s="143">
        <v>199.43299999999999</v>
      </c>
      <c r="E335" s="143">
        <v>203.37</v>
      </c>
      <c r="F335" s="143">
        <f t="shared" si="16"/>
        <v>40558.689209999997</v>
      </c>
      <c r="G335" s="144">
        <f t="shared" si="17"/>
        <v>1.3827467615718245E-3</v>
      </c>
      <c r="H335" s="145">
        <v>1.0030978020356985E-2</v>
      </c>
      <c r="I335" s="144">
        <f t="shared" si="18"/>
        <v>1.3870302373046771E-5</v>
      </c>
      <c r="J335" s="145">
        <v>9.0399999999999994E-2</v>
      </c>
      <c r="K335" s="144">
        <f t="shared" si="19"/>
        <v>1.2500030724609294E-4</v>
      </c>
      <c r="M335" s="146"/>
    </row>
    <row r="336" spans="2:13" x14ac:dyDescent="0.25">
      <c r="B336" s="134" t="s">
        <v>826</v>
      </c>
      <c r="C336" s="142" t="s">
        <v>827</v>
      </c>
      <c r="D336" s="143">
        <v>380.84699999999998</v>
      </c>
      <c r="E336" s="143">
        <v>111.66</v>
      </c>
      <c r="F336" s="143">
        <f t="shared" si="16"/>
        <v>42525.376019999996</v>
      </c>
      <c r="G336" s="144" t="str">
        <f t="shared" si="17"/>
        <v/>
      </c>
      <c r="H336" s="145">
        <v>2.1493820526598602E-2</v>
      </c>
      <c r="I336" s="144" t="str">
        <f t="shared" si="18"/>
        <v/>
      </c>
      <c r="J336" s="145">
        <v>-6.3E-2</v>
      </c>
      <c r="K336" s="144" t="str">
        <f t="shared" si="19"/>
        <v/>
      </c>
      <c r="M336" s="146"/>
    </row>
    <row r="337" spans="2:13" x14ac:dyDescent="0.25">
      <c r="B337" s="134" t="s">
        <v>828</v>
      </c>
      <c r="C337" s="142" t="s">
        <v>82</v>
      </c>
      <c r="D337" s="143">
        <v>59.127000000000002</v>
      </c>
      <c r="E337" s="143">
        <v>280.61</v>
      </c>
      <c r="F337" s="143">
        <f t="shared" si="16"/>
        <v>16591.627470000003</v>
      </c>
      <c r="G337" s="144">
        <f t="shared" si="17"/>
        <v>5.6564991621307448E-4</v>
      </c>
      <c r="H337" s="145" t="s">
        <v>210</v>
      </c>
      <c r="I337" s="144" t="str">
        <f t="shared" si="18"/>
        <v/>
      </c>
      <c r="J337" s="145">
        <v>4.4349999999999994E-2</v>
      </c>
      <c r="K337" s="144">
        <f t="shared" si="19"/>
        <v>2.5086573784049848E-5</v>
      </c>
      <c r="M337" s="146"/>
    </row>
    <row r="338" spans="2:13" x14ac:dyDescent="0.25">
      <c r="B338" s="134" t="s">
        <v>829</v>
      </c>
      <c r="C338" s="142" t="s">
        <v>830</v>
      </c>
      <c r="D338" s="143">
        <v>57.014000000000003</v>
      </c>
      <c r="E338" s="143">
        <v>235.34</v>
      </c>
      <c r="F338" s="143">
        <f t="shared" si="16"/>
        <v>13417.674760000002</v>
      </c>
      <c r="G338" s="144" t="str">
        <f t="shared" si="17"/>
        <v/>
      </c>
      <c r="H338" s="145">
        <v>1.1557746239483302E-2</v>
      </c>
      <c r="I338" s="144" t="str">
        <f t="shared" si="18"/>
        <v/>
      </c>
      <c r="J338" s="145" t="s">
        <v>210</v>
      </c>
      <c r="K338" s="144" t="str">
        <f t="shared" si="19"/>
        <v/>
      </c>
      <c r="M338" s="146"/>
    </row>
    <row r="339" spans="2:13" x14ac:dyDescent="0.25">
      <c r="B339" s="134" t="s">
        <v>831</v>
      </c>
      <c r="C339" s="142" t="s">
        <v>832</v>
      </c>
      <c r="D339" s="143">
        <v>217.87200000000001</v>
      </c>
      <c r="E339" s="143">
        <v>123.59</v>
      </c>
      <c r="F339" s="143">
        <f t="shared" si="16"/>
        <v>26926.800480000002</v>
      </c>
      <c r="G339" s="144">
        <f t="shared" si="17"/>
        <v>9.1800171278786388E-4</v>
      </c>
      <c r="H339" s="145" t="s">
        <v>210</v>
      </c>
      <c r="I339" s="144" t="str">
        <f t="shared" si="18"/>
        <v/>
      </c>
      <c r="J339" s="145">
        <v>7.7649999999999997E-2</v>
      </c>
      <c r="K339" s="144">
        <f t="shared" si="19"/>
        <v>7.1282832997977629E-5</v>
      </c>
      <c r="M339" s="146"/>
    </row>
    <row r="340" spans="2:13" x14ac:dyDescent="0.25">
      <c r="B340" s="134" t="s">
        <v>833</v>
      </c>
      <c r="C340" s="142" t="s">
        <v>834</v>
      </c>
      <c r="D340" s="143">
        <v>120.315</v>
      </c>
      <c r="E340" s="143">
        <v>156.47</v>
      </c>
      <c r="F340" s="143">
        <f t="shared" si="16"/>
        <v>18825.688050000001</v>
      </c>
      <c r="G340" s="144">
        <f t="shared" si="17"/>
        <v>6.4181460724033342E-4</v>
      </c>
      <c r="H340" s="145">
        <v>3.3488847702434973E-2</v>
      </c>
      <c r="I340" s="144">
        <f t="shared" si="18"/>
        <v>2.1493631635069646E-5</v>
      </c>
      <c r="J340" s="145">
        <v>0.10445</v>
      </c>
      <c r="K340" s="144">
        <f t="shared" si="19"/>
        <v>6.7037535726252831E-5</v>
      </c>
      <c r="M340" s="146"/>
    </row>
    <row r="341" spans="2:13" x14ac:dyDescent="0.25">
      <c r="B341" s="134" t="s">
        <v>835</v>
      </c>
      <c r="C341" s="142" t="s">
        <v>836</v>
      </c>
      <c r="D341" s="143">
        <v>229.583</v>
      </c>
      <c r="E341" s="143">
        <v>51.04</v>
      </c>
      <c r="F341" s="143">
        <f t="shared" ref="F341:F404" si="20">IFERROR(D341*E341,"")</f>
        <v>11717.91632</v>
      </c>
      <c r="G341" s="144">
        <f t="shared" ref="G341:G404" si="21">IF(AND(ISNUMBER($J341)), IF(AND($J341&lt;=20%,$J341&gt;0%), $F341/SUMIFS($F$20:$F$521,$J$20:$J$521, "&gt;"&amp;0%,$J$20:$J$521, "&lt;="&amp;20%),""),"")</f>
        <v>3.9949296092770925E-4</v>
      </c>
      <c r="H341" s="145">
        <v>5.0352664576802507E-2</v>
      </c>
      <c r="I341" s="144">
        <f t="shared" ref="I341:I404" si="22">IFERROR($H341*$G341,"")</f>
        <v>2.0115535062386612E-5</v>
      </c>
      <c r="J341" s="145">
        <v>4.82E-2</v>
      </c>
      <c r="K341" s="144">
        <f t="shared" ref="K341:K404" si="23">IFERROR($J341*$G341,"")</f>
        <v>1.9255560716715586E-5</v>
      </c>
      <c r="M341" s="146"/>
    </row>
    <row r="342" spans="2:13" x14ac:dyDescent="0.25">
      <c r="B342" s="134" t="s">
        <v>837</v>
      </c>
      <c r="C342" s="142" t="s">
        <v>838</v>
      </c>
      <c r="D342" s="143">
        <v>271.81200000000001</v>
      </c>
      <c r="E342" s="143">
        <v>32.380000000000003</v>
      </c>
      <c r="F342" s="143">
        <f t="shared" si="20"/>
        <v>8801.2725600000012</v>
      </c>
      <c r="G342" s="144" t="str">
        <f t="shared" si="21"/>
        <v/>
      </c>
      <c r="H342" s="145" t="s">
        <v>210</v>
      </c>
      <c r="I342" s="144" t="str">
        <f t="shared" si="22"/>
        <v/>
      </c>
      <c r="J342" s="145">
        <v>0.43479999999999996</v>
      </c>
      <c r="K342" s="144" t="str">
        <f t="shared" si="23"/>
        <v/>
      </c>
      <c r="M342" s="146"/>
    </row>
    <row r="343" spans="2:13" x14ac:dyDescent="0.25">
      <c r="B343" s="134" t="s">
        <v>839</v>
      </c>
      <c r="C343" s="142" t="s">
        <v>840</v>
      </c>
      <c r="D343" s="143">
        <v>34.881</v>
      </c>
      <c r="E343" s="143">
        <v>392.89</v>
      </c>
      <c r="F343" s="143">
        <f t="shared" si="20"/>
        <v>13704.39609</v>
      </c>
      <c r="G343" s="144">
        <f t="shared" si="21"/>
        <v>4.6721700532848838E-4</v>
      </c>
      <c r="H343" s="145">
        <v>1.2318969686171702E-2</v>
      </c>
      <c r="I343" s="144">
        <f t="shared" si="22"/>
        <v>5.7556321255055711E-6</v>
      </c>
      <c r="J343" s="145">
        <v>0.13970000000000002</v>
      </c>
      <c r="K343" s="144">
        <f t="shared" si="23"/>
        <v>6.527021564438984E-5</v>
      </c>
      <c r="M343" s="146"/>
    </row>
    <row r="344" spans="2:13" x14ac:dyDescent="0.25">
      <c r="B344" s="134" t="s">
        <v>841</v>
      </c>
      <c r="C344" s="142" t="s">
        <v>842</v>
      </c>
      <c r="D344" s="143">
        <v>3.1789999999999998</v>
      </c>
      <c r="E344" s="143">
        <v>6155.39</v>
      </c>
      <c r="F344" s="143">
        <f t="shared" si="20"/>
        <v>19567.984810000002</v>
      </c>
      <c r="G344" s="144" t="str">
        <f t="shared" si="21"/>
        <v/>
      </c>
      <c r="H344" s="145" t="s">
        <v>210</v>
      </c>
      <c r="I344" s="144" t="str">
        <f t="shared" si="22"/>
        <v/>
      </c>
      <c r="J344" s="145">
        <v>-4.5700000000000005E-2</v>
      </c>
      <c r="K344" s="144" t="str">
        <f t="shared" si="23"/>
        <v/>
      </c>
      <c r="M344" s="146"/>
    </row>
    <row r="345" spans="2:13" x14ac:dyDescent="0.25">
      <c r="B345" s="134" t="s">
        <v>843</v>
      </c>
      <c r="C345" s="142" t="s">
        <v>844</v>
      </c>
      <c r="D345" s="143">
        <v>206.03100000000001</v>
      </c>
      <c r="E345" s="143">
        <v>91.39</v>
      </c>
      <c r="F345" s="143">
        <f t="shared" si="20"/>
        <v>18829.17309</v>
      </c>
      <c r="G345" s="144">
        <f t="shared" si="21"/>
        <v>6.4193342093643178E-4</v>
      </c>
      <c r="H345" s="145">
        <v>2.18842324105482E-2</v>
      </c>
      <c r="I345" s="144">
        <f t="shared" si="22"/>
        <v>1.404822017587114E-5</v>
      </c>
      <c r="J345" s="145">
        <v>7.3950000000000002E-2</v>
      </c>
      <c r="K345" s="144">
        <f t="shared" si="23"/>
        <v>4.7470976478249135E-5</v>
      </c>
      <c r="M345" s="146"/>
    </row>
    <row r="346" spans="2:13" x14ac:dyDescent="0.25">
      <c r="B346" s="134" t="s">
        <v>845</v>
      </c>
      <c r="C346" s="142" t="s">
        <v>846</v>
      </c>
      <c r="D346" s="143">
        <v>109.114</v>
      </c>
      <c r="E346" s="143">
        <v>389.06</v>
      </c>
      <c r="F346" s="143">
        <f t="shared" si="20"/>
        <v>42451.89284</v>
      </c>
      <c r="G346" s="144">
        <f t="shared" si="21"/>
        <v>1.4472907899753136E-3</v>
      </c>
      <c r="H346" s="145">
        <v>4.1124762247468256E-3</v>
      </c>
      <c r="I346" s="144">
        <f t="shared" si="22"/>
        <v>5.9519489640685291E-6</v>
      </c>
      <c r="J346" s="145">
        <v>5.8299999999999998E-2</v>
      </c>
      <c r="K346" s="144">
        <f t="shared" si="23"/>
        <v>8.4377053055560781E-5</v>
      </c>
      <c r="M346" s="146"/>
    </row>
    <row r="347" spans="2:13" x14ac:dyDescent="0.25">
      <c r="B347" s="134" t="s">
        <v>847</v>
      </c>
      <c r="C347" s="142" t="s">
        <v>848</v>
      </c>
      <c r="D347" s="143">
        <v>91.3</v>
      </c>
      <c r="E347" s="143">
        <v>101.46</v>
      </c>
      <c r="F347" s="143">
        <f t="shared" si="20"/>
        <v>9263.2979999999989</v>
      </c>
      <c r="G347" s="144" t="str">
        <f t="shared" si="21"/>
        <v/>
      </c>
      <c r="H347" s="145" t="s">
        <v>210</v>
      </c>
      <c r="I347" s="144" t="str">
        <f t="shared" si="22"/>
        <v/>
      </c>
      <c r="J347" s="145">
        <v>0.2167</v>
      </c>
      <c r="K347" s="144" t="str">
        <f t="shared" si="23"/>
        <v/>
      </c>
      <c r="M347" s="146"/>
    </row>
    <row r="348" spans="2:13" x14ac:dyDescent="0.25">
      <c r="B348" s="134" t="s">
        <v>849</v>
      </c>
      <c r="C348" s="142" t="s">
        <v>850</v>
      </c>
      <c r="D348" s="143">
        <v>300.77</v>
      </c>
      <c r="E348" s="143">
        <v>78.16</v>
      </c>
      <c r="F348" s="143">
        <f t="shared" si="20"/>
        <v>23508.183199999996</v>
      </c>
      <c r="G348" s="144">
        <f t="shared" si="21"/>
        <v>8.0145253269730036E-4</v>
      </c>
      <c r="H348" s="145">
        <v>2.4053224155578302E-2</v>
      </c>
      <c r="I348" s="144">
        <f t="shared" si="22"/>
        <v>1.9277517419024115E-5</v>
      </c>
      <c r="J348" s="145">
        <v>7.0000000000000007E-2</v>
      </c>
      <c r="K348" s="144">
        <f t="shared" si="23"/>
        <v>5.6101677288811031E-5</v>
      </c>
      <c r="M348" s="146"/>
    </row>
    <row r="349" spans="2:13" x14ac:dyDescent="0.25">
      <c r="B349" s="134" t="s">
        <v>851</v>
      </c>
      <c r="C349" s="142" t="s">
        <v>852</v>
      </c>
      <c r="D349" s="143">
        <v>291.99</v>
      </c>
      <c r="E349" s="143">
        <v>64.150000000000006</v>
      </c>
      <c r="F349" s="143">
        <f t="shared" si="20"/>
        <v>18731.158500000001</v>
      </c>
      <c r="G349" s="144">
        <f t="shared" si="21"/>
        <v>6.3859185937344435E-4</v>
      </c>
      <c r="H349" s="145">
        <v>4.0530007794232263E-2</v>
      </c>
      <c r="I349" s="144">
        <f t="shared" si="22"/>
        <v>2.5882133037738971E-5</v>
      </c>
      <c r="J349" s="145">
        <v>0.04</v>
      </c>
      <c r="K349" s="144">
        <f t="shared" si="23"/>
        <v>2.5543674374937775E-5</v>
      </c>
      <c r="M349" s="146"/>
    </row>
    <row r="350" spans="2:13" x14ac:dyDescent="0.25">
      <c r="B350" s="134" t="s">
        <v>853</v>
      </c>
      <c r="C350" s="142" t="s">
        <v>854</v>
      </c>
      <c r="D350" s="143">
        <v>232.30500000000001</v>
      </c>
      <c r="E350" s="143">
        <v>127.69</v>
      </c>
      <c r="F350" s="143">
        <f t="shared" si="20"/>
        <v>29663.025450000001</v>
      </c>
      <c r="G350" s="144">
        <f t="shared" si="21"/>
        <v>1.011286438943822E-3</v>
      </c>
      <c r="H350" s="145">
        <v>2.0675072441068212E-2</v>
      </c>
      <c r="I350" s="144">
        <f t="shared" si="22"/>
        <v>2.0908420383833423E-5</v>
      </c>
      <c r="J350" s="145">
        <v>0.13855000000000001</v>
      </c>
      <c r="K350" s="144">
        <f t="shared" si="23"/>
        <v>1.4011373611566653E-4</v>
      </c>
      <c r="M350" s="146"/>
    </row>
    <row r="351" spans="2:13" x14ac:dyDescent="0.25">
      <c r="B351" s="134" t="s">
        <v>855</v>
      </c>
      <c r="C351" s="142" t="s">
        <v>856</v>
      </c>
      <c r="D351" s="143">
        <v>272.06200000000001</v>
      </c>
      <c r="E351" s="143">
        <v>273.27</v>
      </c>
      <c r="F351" s="143">
        <f t="shared" si="20"/>
        <v>74346.382740000001</v>
      </c>
      <c r="G351" s="144">
        <f t="shared" si="21"/>
        <v>2.5346534114067932E-3</v>
      </c>
      <c r="H351" s="145" t="s">
        <v>210</v>
      </c>
      <c r="I351" s="144" t="str">
        <f t="shared" si="22"/>
        <v/>
      </c>
      <c r="J351" s="145">
        <v>0.18559999999999999</v>
      </c>
      <c r="K351" s="144">
        <f t="shared" si="23"/>
        <v>4.704316731571008E-4</v>
      </c>
      <c r="M351" s="146"/>
    </row>
    <row r="352" spans="2:13" x14ac:dyDescent="0.25">
      <c r="B352" s="134" t="s">
        <v>857</v>
      </c>
      <c r="C352" s="142" t="s">
        <v>858</v>
      </c>
      <c r="D352" s="143">
        <v>42.124000000000002</v>
      </c>
      <c r="E352" s="143">
        <v>408.84</v>
      </c>
      <c r="F352" s="143">
        <f t="shared" si="20"/>
        <v>17221.976159999998</v>
      </c>
      <c r="G352" s="144" t="str">
        <f t="shared" si="21"/>
        <v/>
      </c>
      <c r="H352" s="145" t="s">
        <v>210</v>
      </c>
      <c r="I352" s="144" t="str">
        <f t="shared" si="22"/>
        <v/>
      </c>
      <c r="J352" s="145" t="s">
        <v>210</v>
      </c>
      <c r="K352" s="144" t="str">
        <f t="shared" si="23"/>
        <v/>
      </c>
      <c r="M352" s="146"/>
    </row>
    <row r="353" spans="2:13" x14ac:dyDescent="0.25">
      <c r="B353" s="134" t="s">
        <v>859</v>
      </c>
      <c r="C353" s="142" t="s">
        <v>860</v>
      </c>
      <c r="D353" s="143">
        <v>61.006999999999998</v>
      </c>
      <c r="E353" s="143">
        <v>137.47999999999999</v>
      </c>
      <c r="F353" s="143">
        <f t="shared" si="20"/>
        <v>8387.2423599999984</v>
      </c>
      <c r="G353" s="144">
        <f t="shared" si="21"/>
        <v>2.8594198771464749E-4</v>
      </c>
      <c r="H353" s="145">
        <v>5.8190282222868785E-3</v>
      </c>
      <c r="I353" s="144">
        <f t="shared" si="22"/>
        <v>1.6639044964483416E-6</v>
      </c>
      <c r="J353" s="145">
        <v>9.4100000000000003E-2</v>
      </c>
      <c r="K353" s="144">
        <f t="shared" si="23"/>
        <v>2.6907141043948329E-5</v>
      </c>
      <c r="M353" s="146"/>
    </row>
    <row r="354" spans="2:13" x14ac:dyDescent="0.25">
      <c r="B354" s="134" t="s">
        <v>861</v>
      </c>
      <c r="C354" s="142" t="s">
        <v>862</v>
      </c>
      <c r="D354" s="143">
        <v>159.95500000000001</v>
      </c>
      <c r="E354" s="143">
        <v>96.93</v>
      </c>
      <c r="F354" s="143">
        <f t="shared" si="20"/>
        <v>15504.438150000002</v>
      </c>
      <c r="G354" s="144" t="str">
        <f t="shared" si="21"/>
        <v/>
      </c>
      <c r="H354" s="145">
        <v>2.8061487671515527E-2</v>
      </c>
      <c r="I354" s="144" t="str">
        <f t="shared" si="22"/>
        <v/>
      </c>
      <c r="J354" s="145">
        <v>-7.1050000000000002E-2</v>
      </c>
      <c r="K354" s="144" t="str">
        <f t="shared" si="23"/>
        <v/>
      </c>
      <c r="M354" s="146"/>
    </row>
    <row r="355" spans="2:13" x14ac:dyDescent="0.25">
      <c r="B355" s="134" t="s">
        <v>863</v>
      </c>
      <c r="C355" s="142" t="s">
        <v>864</v>
      </c>
      <c r="D355" s="143">
        <v>112.435</v>
      </c>
      <c r="E355" s="143">
        <v>137.22999999999999</v>
      </c>
      <c r="F355" s="143">
        <f t="shared" si="20"/>
        <v>15429.455049999999</v>
      </c>
      <c r="G355" s="144" t="str">
        <f t="shared" si="21"/>
        <v/>
      </c>
      <c r="H355" s="145">
        <v>2.0695183268964513E-2</v>
      </c>
      <c r="I355" s="144" t="str">
        <f t="shared" si="22"/>
        <v/>
      </c>
      <c r="J355" s="145">
        <v>-1.265E-2</v>
      </c>
      <c r="K355" s="144" t="str">
        <f t="shared" si="23"/>
        <v/>
      </c>
      <c r="M355" s="146"/>
    </row>
    <row r="356" spans="2:13" x14ac:dyDescent="0.25">
      <c r="B356" s="134" t="s">
        <v>865</v>
      </c>
      <c r="C356" s="142" t="s">
        <v>866</v>
      </c>
      <c r="D356" s="143">
        <v>114.673</v>
      </c>
      <c r="E356" s="143">
        <v>275.44</v>
      </c>
      <c r="F356" s="143">
        <f t="shared" si="20"/>
        <v>31585.53112</v>
      </c>
      <c r="G356" s="144">
        <f t="shared" si="21"/>
        <v>1.0768294468929186E-3</v>
      </c>
      <c r="H356" s="145">
        <v>1.8152773743828059E-2</v>
      </c>
      <c r="I356" s="144">
        <f t="shared" si="22"/>
        <v>1.9547441310138665E-5</v>
      </c>
      <c r="J356" s="145">
        <v>0.12163</v>
      </c>
      <c r="K356" s="144">
        <f t="shared" si="23"/>
        <v>1.309747656255857E-4</v>
      </c>
      <c r="M356" s="146"/>
    </row>
    <row r="357" spans="2:13" x14ac:dyDescent="0.25">
      <c r="B357" s="134" t="s">
        <v>867</v>
      </c>
      <c r="C357" s="142" t="s">
        <v>868</v>
      </c>
      <c r="D357" s="143">
        <v>1226.539</v>
      </c>
      <c r="E357" s="143">
        <v>35.11</v>
      </c>
      <c r="F357" s="143">
        <f t="shared" si="20"/>
        <v>43063.784289999996</v>
      </c>
      <c r="G357" s="144">
        <f t="shared" si="21"/>
        <v>1.4681516939493101E-3</v>
      </c>
      <c r="H357" s="145">
        <v>4.557106237539163E-2</v>
      </c>
      <c r="I357" s="144">
        <f t="shared" si="22"/>
        <v>6.6905232421500893E-5</v>
      </c>
      <c r="J357" s="145">
        <v>4.0300000000000002E-2</v>
      </c>
      <c r="K357" s="144">
        <f t="shared" si="23"/>
        <v>5.9166513266157199E-5</v>
      </c>
      <c r="M357" s="146"/>
    </row>
    <row r="358" spans="2:13" x14ac:dyDescent="0.25">
      <c r="B358" s="134" t="s">
        <v>869</v>
      </c>
      <c r="C358" s="142" t="s">
        <v>870</v>
      </c>
      <c r="D358" s="143">
        <v>466.16500000000002</v>
      </c>
      <c r="E358" s="143">
        <v>208.78</v>
      </c>
      <c r="F358" s="143">
        <f t="shared" si="20"/>
        <v>97325.928700000004</v>
      </c>
      <c r="G358" s="144">
        <f t="shared" si="21"/>
        <v>3.3180833835654254E-3</v>
      </c>
      <c r="H358" s="145">
        <v>3.1037455694989943E-2</v>
      </c>
      <c r="I358" s="144">
        <f t="shared" si="22"/>
        <v>1.0298486600969422E-4</v>
      </c>
      <c r="J358" s="145">
        <v>0.10929999999999999</v>
      </c>
      <c r="K358" s="144">
        <f t="shared" si="23"/>
        <v>3.6266651382370097E-4</v>
      </c>
      <c r="M358" s="146"/>
    </row>
    <row r="359" spans="2:13" x14ac:dyDescent="0.25">
      <c r="B359" s="134" t="s">
        <v>871</v>
      </c>
      <c r="C359" s="142" t="s">
        <v>872</v>
      </c>
      <c r="D359" s="143">
        <v>107.129</v>
      </c>
      <c r="E359" s="143">
        <v>823.81</v>
      </c>
      <c r="F359" s="143">
        <f t="shared" si="20"/>
        <v>88253.941489999997</v>
      </c>
      <c r="G359" s="144">
        <f t="shared" si="21"/>
        <v>3.0087967379665418E-3</v>
      </c>
      <c r="H359" s="145" t="s">
        <v>210</v>
      </c>
      <c r="I359" s="144" t="str">
        <f t="shared" si="22"/>
        <v/>
      </c>
      <c r="J359" s="145">
        <v>0.04</v>
      </c>
      <c r="K359" s="144">
        <f t="shared" si="23"/>
        <v>1.2035186951866168E-4</v>
      </c>
      <c r="M359" s="146"/>
    </row>
    <row r="360" spans="2:13" x14ac:dyDescent="0.25">
      <c r="B360" s="134" t="s">
        <v>873</v>
      </c>
      <c r="C360" s="142" t="s">
        <v>874</v>
      </c>
      <c r="D360" s="143">
        <v>10334.031000000001</v>
      </c>
      <c r="E360" s="143">
        <v>146.09</v>
      </c>
      <c r="F360" s="143">
        <f t="shared" si="20"/>
        <v>1509698.5887900002</v>
      </c>
      <c r="G360" s="144" t="str">
        <f t="shared" si="21"/>
        <v/>
      </c>
      <c r="H360" s="145" t="s">
        <v>210</v>
      </c>
      <c r="I360" s="144" t="str">
        <f t="shared" si="22"/>
        <v/>
      </c>
      <c r="J360" s="145">
        <v>0.8698999999999999</v>
      </c>
      <c r="K360" s="144" t="str">
        <f t="shared" si="23"/>
        <v/>
      </c>
      <c r="M360" s="146"/>
    </row>
    <row r="361" spans="2:13" x14ac:dyDescent="0.25">
      <c r="B361" s="134" t="s">
        <v>875</v>
      </c>
      <c r="C361" s="142" t="s">
        <v>876</v>
      </c>
      <c r="D361" s="143">
        <v>72.828000000000003</v>
      </c>
      <c r="E361" s="143">
        <v>158.69</v>
      </c>
      <c r="F361" s="143">
        <f t="shared" si="20"/>
        <v>11557.07532</v>
      </c>
      <c r="G361" s="144">
        <f t="shared" si="21"/>
        <v>3.9400949052445126E-4</v>
      </c>
      <c r="H361" s="145">
        <v>1.31073161509862E-2</v>
      </c>
      <c r="I361" s="144">
        <f t="shared" si="22"/>
        <v>5.1644069587929839E-6</v>
      </c>
      <c r="J361" s="145">
        <v>7.0599999999999996E-2</v>
      </c>
      <c r="K361" s="144">
        <f t="shared" si="23"/>
        <v>2.7817070031026257E-5</v>
      </c>
      <c r="M361" s="146"/>
    </row>
    <row r="362" spans="2:13" x14ac:dyDescent="0.25">
      <c r="B362" s="134" t="s">
        <v>877</v>
      </c>
      <c r="C362" s="142" t="s">
        <v>878</v>
      </c>
      <c r="D362" s="143">
        <v>39.752000000000002</v>
      </c>
      <c r="E362" s="143">
        <v>129.38</v>
      </c>
      <c r="F362" s="143">
        <f t="shared" si="20"/>
        <v>5143.1137600000002</v>
      </c>
      <c r="G362" s="144">
        <f t="shared" si="21"/>
        <v>1.7534156143986219E-4</v>
      </c>
      <c r="H362" s="145">
        <v>2.3187509661462359E-2</v>
      </c>
      <c r="I362" s="144">
        <f t="shared" si="22"/>
        <v>4.0657341499427002E-6</v>
      </c>
      <c r="J362" s="145">
        <v>0.1038</v>
      </c>
      <c r="K362" s="144">
        <f t="shared" si="23"/>
        <v>1.8200454077457694E-5</v>
      </c>
      <c r="M362" s="146"/>
    </row>
    <row r="363" spans="2:13" x14ac:dyDescent="0.25">
      <c r="B363" s="134" t="s">
        <v>879</v>
      </c>
      <c r="C363" s="142" t="s">
        <v>880</v>
      </c>
      <c r="D363" s="143">
        <v>156.93899999999999</v>
      </c>
      <c r="E363" s="143">
        <v>56.93</v>
      </c>
      <c r="F363" s="143">
        <f t="shared" si="20"/>
        <v>8934.5372699999989</v>
      </c>
      <c r="G363" s="144">
        <f t="shared" si="21"/>
        <v>3.0460063470663797E-4</v>
      </c>
      <c r="H363" s="145">
        <v>6.8856490426839972E-2</v>
      </c>
      <c r="I363" s="144">
        <f t="shared" si="22"/>
        <v>2.0973730687686996E-5</v>
      </c>
      <c r="J363" s="145">
        <v>2.8149999999999998E-2</v>
      </c>
      <c r="K363" s="144">
        <f t="shared" si="23"/>
        <v>8.5745078669918588E-6</v>
      </c>
      <c r="M363" s="146"/>
    </row>
    <row r="364" spans="2:13" x14ac:dyDescent="0.25">
      <c r="B364" s="134" t="s">
        <v>881</v>
      </c>
      <c r="C364" s="142" t="s">
        <v>882</v>
      </c>
      <c r="D364" s="143">
        <v>598.30999999999995</v>
      </c>
      <c r="E364" s="143">
        <v>90.99</v>
      </c>
      <c r="F364" s="143">
        <f t="shared" si="20"/>
        <v>54440.226899999994</v>
      </c>
      <c r="G364" s="144">
        <f t="shared" si="21"/>
        <v>1.8560029653682765E-3</v>
      </c>
      <c r="H364" s="145">
        <v>9.6713924607099693E-3</v>
      </c>
      <c r="I364" s="144">
        <f t="shared" si="22"/>
        <v>1.7950133086318095E-5</v>
      </c>
      <c r="J364" s="145">
        <v>4.0399999999999998E-2</v>
      </c>
      <c r="K364" s="144">
        <f t="shared" si="23"/>
        <v>7.498251980087836E-5</v>
      </c>
      <c r="M364" s="146"/>
    </row>
    <row r="365" spans="2:13" x14ac:dyDescent="0.25">
      <c r="B365" s="134" t="s">
        <v>883</v>
      </c>
      <c r="C365" s="142" t="s">
        <v>884</v>
      </c>
      <c r="D365" s="143">
        <v>411.74400000000003</v>
      </c>
      <c r="E365" s="143">
        <v>52.6</v>
      </c>
      <c r="F365" s="143">
        <f t="shared" si="20"/>
        <v>21657.734400000001</v>
      </c>
      <c r="G365" s="144" t="str">
        <f t="shared" si="21"/>
        <v/>
      </c>
      <c r="H365" s="145">
        <v>3.8022813688212928E-3</v>
      </c>
      <c r="I365" s="144" t="str">
        <f t="shared" si="22"/>
        <v/>
      </c>
      <c r="J365" s="145">
        <v>0.20405000000000001</v>
      </c>
      <c r="K365" s="144" t="str">
        <f t="shared" si="23"/>
        <v/>
      </c>
      <c r="M365" s="146"/>
    </row>
    <row r="366" spans="2:13" x14ac:dyDescent="0.25">
      <c r="B366" s="134" t="s">
        <v>885</v>
      </c>
      <c r="C366" s="142" t="s">
        <v>886</v>
      </c>
      <c r="D366" s="143">
        <v>233.309</v>
      </c>
      <c r="E366" s="143">
        <v>231.64</v>
      </c>
      <c r="F366" s="143">
        <f t="shared" si="20"/>
        <v>54043.696759999999</v>
      </c>
      <c r="G366" s="144" t="str">
        <f t="shared" si="21"/>
        <v/>
      </c>
      <c r="H366" s="145">
        <v>5.525815921257124E-2</v>
      </c>
      <c r="I366" s="144" t="str">
        <f t="shared" si="22"/>
        <v/>
      </c>
      <c r="J366" s="145">
        <v>-0.03</v>
      </c>
      <c r="K366" s="144" t="str">
        <f t="shared" si="23"/>
        <v/>
      </c>
      <c r="M366" s="146"/>
    </row>
    <row r="367" spans="2:13" x14ac:dyDescent="0.25">
      <c r="B367" s="134" t="s">
        <v>887</v>
      </c>
      <c r="C367" s="142" t="s">
        <v>888</v>
      </c>
      <c r="D367" s="143">
        <v>340.45299999999997</v>
      </c>
      <c r="E367" s="143">
        <v>125.36</v>
      </c>
      <c r="F367" s="143">
        <f t="shared" si="20"/>
        <v>42679.18808</v>
      </c>
      <c r="G367" s="144" t="str">
        <f t="shared" si="21"/>
        <v/>
      </c>
      <c r="H367" s="145">
        <v>3.2546266751754947E-2</v>
      </c>
      <c r="I367" s="144" t="str">
        <f t="shared" si="22"/>
        <v/>
      </c>
      <c r="J367" s="145">
        <v>0.35655000000000003</v>
      </c>
      <c r="K367" s="144" t="str">
        <f t="shared" si="23"/>
        <v/>
      </c>
      <c r="M367" s="146"/>
    </row>
    <row r="368" spans="2:13" x14ac:dyDescent="0.25">
      <c r="B368" s="134" t="s">
        <v>889</v>
      </c>
      <c r="C368" s="142" t="s">
        <v>890</v>
      </c>
      <c r="D368" s="143">
        <v>152.053</v>
      </c>
      <c r="E368" s="143">
        <v>543.23</v>
      </c>
      <c r="F368" s="143">
        <f t="shared" si="20"/>
        <v>82599.751189999995</v>
      </c>
      <c r="G368" s="144">
        <f t="shared" si="21"/>
        <v>2.8160313040010831E-3</v>
      </c>
      <c r="H368" s="145" t="s">
        <v>210</v>
      </c>
      <c r="I368" s="144" t="str">
        <f t="shared" si="22"/>
        <v/>
      </c>
      <c r="J368" s="145">
        <v>0.16675000000000001</v>
      </c>
      <c r="K368" s="144">
        <f t="shared" si="23"/>
        <v>4.6957321994218061E-4</v>
      </c>
      <c r="M368" s="146"/>
    </row>
    <row r="369" spans="2:13" x14ac:dyDescent="0.25">
      <c r="B369" s="134" t="s">
        <v>891</v>
      </c>
      <c r="C369" s="142" t="s">
        <v>892</v>
      </c>
      <c r="D369" s="143">
        <v>119.746</v>
      </c>
      <c r="E369" s="143">
        <v>75.81</v>
      </c>
      <c r="F369" s="143">
        <f t="shared" si="20"/>
        <v>9077.9442600000002</v>
      </c>
      <c r="G369" s="144">
        <f t="shared" si="21"/>
        <v>3.0948973627455487E-4</v>
      </c>
      <c r="H369" s="145" t="s">
        <v>210</v>
      </c>
      <c r="I369" s="144" t="str">
        <f t="shared" si="22"/>
        <v/>
      </c>
      <c r="J369" s="145">
        <v>2.7349999999999999E-2</v>
      </c>
      <c r="K369" s="144">
        <f t="shared" si="23"/>
        <v>8.4645442871090752E-6</v>
      </c>
      <c r="M369" s="146"/>
    </row>
    <row r="370" spans="2:13" x14ac:dyDescent="0.25">
      <c r="B370" s="134" t="s">
        <v>893</v>
      </c>
      <c r="C370" s="142" t="s">
        <v>894</v>
      </c>
      <c r="D370" s="143">
        <v>116.651</v>
      </c>
      <c r="E370" s="143">
        <v>82.05</v>
      </c>
      <c r="F370" s="143">
        <f t="shared" si="20"/>
        <v>9571.2145499999988</v>
      </c>
      <c r="G370" s="144">
        <f t="shared" si="21"/>
        <v>3.2630654937582549E-4</v>
      </c>
      <c r="H370" s="145">
        <v>2.9737964655697745E-2</v>
      </c>
      <c r="I370" s="144">
        <f t="shared" si="22"/>
        <v>9.703692632260989E-6</v>
      </c>
      <c r="J370" s="145">
        <v>0.05</v>
      </c>
      <c r="K370" s="144">
        <f t="shared" si="23"/>
        <v>1.6315327468791276E-5</v>
      </c>
      <c r="M370" s="146"/>
    </row>
    <row r="371" spans="2:13" x14ac:dyDescent="0.25">
      <c r="B371" s="134" t="s">
        <v>895</v>
      </c>
      <c r="C371" s="142" t="s">
        <v>896</v>
      </c>
      <c r="D371" s="143">
        <v>664.78700000000003</v>
      </c>
      <c r="E371" s="143">
        <v>333.14</v>
      </c>
      <c r="F371" s="143">
        <f t="shared" si="20"/>
        <v>221467.14118000001</v>
      </c>
      <c r="G371" s="144">
        <f t="shared" si="21"/>
        <v>7.5503665977871741E-3</v>
      </c>
      <c r="H371" s="145">
        <v>1.5488983610494087E-2</v>
      </c>
      <c r="I371" s="144">
        <f t="shared" si="22"/>
        <v>1.1694750448634754E-4</v>
      </c>
      <c r="J371" s="145">
        <v>0.1</v>
      </c>
      <c r="K371" s="144">
        <f t="shared" si="23"/>
        <v>7.550366597787175E-4</v>
      </c>
      <c r="M371" s="146"/>
    </row>
    <row r="372" spans="2:13" x14ac:dyDescent="0.25">
      <c r="B372" s="134" t="s">
        <v>897</v>
      </c>
      <c r="C372" s="142" t="s">
        <v>898</v>
      </c>
      <c r="D372" s="143">
        <v>55.314</v>
      </c>
      <c r="E372" s="143">
        <v>962.87</v>
      </c>
      <c r="F372" s="143">
        <f t="shared" si="20"/>
        <v>53260.191180000002</v>
      </c>
      <c r="G372" s="144">
        <f t="shared" si="21"/>
        <v>1.815772607776573E-3</v>
      </c>
      <c r="H372" s="145" t="s">
        <v>210</v>
      </c>
      <c r="I372" s="144" t="str">
        <f t="shared" si="22"/>
        <v/>
      </c>
      <c r="J372" s="145">
        <v>0.15560000000000002</v>
      </c>
      <c r="K372" s="144">
        <f t="shared" si="23"/>
        <v>2.8253421777003478E-4</v>
      </c>
      <c r="M372" s="146"/>
    </row>
    <row r="373" spans="2:13" x14ac:dyDescent="0.25">
      <c r="B373" s="134" t="s">
        <v>899</v>
      </c>
      <c r="C373" s="142" t="s">
        <v>900</v>
      </c>
      <c r="D373" s="143">
        <v>280.30799999999999</v>
      </c>
      <c r="E373" s="143">
        <v>125.55</v>
      </c>
      <c r="F373" s="143">
        <f t="shared" si="20"/>
        <v>35192.669399999999</v>
      </c>
      <c r="G373" s="144">
        <f t="shared" si="21"/>
        <v>1.1998057775476577E-3</v>
      </c>
      <c r="H373" s="145">
        <v>1.9275189167662285E-2</v>
      </c>
      <c r="I373" s="144">
        <f t="shared" si="22"/>
        <v>2.3126483326685239E-5</v>
      </c>
      <c r="J373" s="145">
        <v>0.1193</v>
      </c>
      <c r="K373" s="144">
        <f t="shared" si="23"/>
        <v>1.4313682926143557E-4</v>
      </c>
      <c r="M373" s="146"/>
    </row>
    <row r="374" spans="2:13" x14ac:dyDescent="0.25">
      <c r="B374" s="134" t="s">
        <v>901</v>
      </c>
      <c r="C374" s="142" t="s">
        <v>902</v>
      </c>
      <c r="D374" s="143">
        <v>923.86199999999997</v>
      </c>
      <c r="E374" s="143">
        <v>114.93</v>
      </c>
      <c r="F374" s="143">
        <f t="shared" si="20"/>
        <v>106179.45966000001</v>
      </c>
      <c r="G374" s="144">
        <f t="shared" si="21"/>
        <v>3.6199223113480691E-3</v>
      </c>
      <c r="H374" s="145">
        <v>3.0279300443748366E-2</v>
      </c>
      <c r="I374" s="144">
        <f t="shared" si="22"/>
        <v>1.096087152483362E-4</v>
      </c>
      <c r="J374" s="145">
        <v>0.08</v>
      </c>
      <c r="K374" s="144">
        <f t="shared" si="23"/>
        <v>2.8959378490784552E-4</v>
      </c>
      <c r="M374" s="146"/>
    </row>
    <row r="375" spans="2:13" x14ac:dyDescent="0.25">
      <c r="B375" s="134" t="s">
        <v>903</v>
      </c>
      <c r="C375" s="142" t="s">
        <v>904</v>
      </c>
      <c r="D375" s="143">
        <v>573.81500000000005</v>
      </c>
      <c r="E375" s="143">
        <v>36.94</v>
      </c>
      <c r="F375" s="143">
        <f t="shared" si="20"/>
        <v>21196.7261</v>
      </c>
      <c r="G375" s="144" t="str">
        <f t="shared" si="21"/>
        <v/>
      </c>
      <c r="H375" s="145">
        <v>4.4396318354087708E-2</v>
      </c>
      <c r="I375" s="144" t="str">
        <f t="shared" si="22"/>
        <v/>
      </c>
      <c r="J375" s="145">
        <v>-3.3E-3</v>
      </c>
      <c r="K375" s="144" t="str">
        <f t="shared" si="23"/>
        <v/>
      </c>
      <c r="M375" s="146"/>
    </row>
    <row r="376" spans="2:13" x14ac:dyDescent="0.25">
      <c r="B376" s="134" t="s">
        <v>905</v>
      </c>
      <c r="C376" s="142" t="s">
        <v>906</v>
      </c>
      <c r="D376" s="143">
        <v>102.1</v>
      </c>
      <c r="E376" s="143">
        <v>212.2</v>
      </c>
      <c r="F376" s="143">
        <f t="shared" si="20"/>
        <v>21665.62</v>
      </c>
      <c r="G376" s="144">
        <f t="shared" si="21"/>
        <v>7.3863496271618667E-4</v>
      </c>
      <c r="H376" s="145" t="s">
        <v>210</v>
      </c>
      <c r="I376" s="144" t="str">
        <f t="shared" si="22"/>
        <v/>
      </c>
      <c r="J376" s="145">
        <v>0.115</v>
      </c>
      <c r="K376" s="144">
        <f t="shared" si="23"/>
        <v>8.4943020712361476E-5</v>
      </c>
      <c r="M376" s="146"/>
    </row>
    <row r="377" spans="2:13" x14ac:dyDescent="0.25">
      <c r="B377" s="134" t="s">
        <v>907</v>
      </c>
      <c r="C377" s="142" t="s">
        <v>68</v>
      </c>
      <c r="D377" s="143">
        <v>145.285</v>
      </c>
      <c r="E377" s="143">
        <v>188.31</v>
      </c>
      <c r="F377" s="143">
        <f t="shared" si="20"/>
        <v>27358.618350000001</v>
      </c>
      <c r="G377" s="144">
        <f t="shared" si="21"/>
        <v>9.3272345979107142E-4</v>
      </c>
      <c r="H377" s="145">
        <v>1.699325580160374E-3</v>
      </c>
      <c r="I377" s="144">
        <f t="shared" si="22"/>
        <v>1.5850008344386537E-6</v>
      </c>
      <c r="J377" s="145">
        <v>0.08</v>
      </c>
      <c r="K377" s="144">
        <f t="shared" si="23"/>
        <v>7.4617876783285712E-5</v>
      </c>
      <c r="M377" s="146"/>
    </row>
    <row r="378" spans="2:13" x14ac:dyDescent="0.25">
      <c r="B378" s="134" t="s">
        <v>908</v>
      </c>
      <c r="C378" s="142" t="s">
        <v>909</v>
      </c>
      <c r="D378" s="143">
        <v>130.58500000000001</v>
      </c>
      <c r="E378" s="143">
        <v>66.73</v>
      </c>
      <c r="F378" s="143">
        <f t="shared" si="20"/>
        <v>8713.9370500000005</v>
      </c>
      <c r="G378" s="144">
        <f t="shared" si="21"/>
        <v>2.9707982361169209E-4</v>
      </c>
      <c r="H378" s="145" t="s">
        <v>210</v>
      </c>
      <c r="I378" s="144" t="str">
        <f t="shared" si="22"/>
        <v/>
      </c>
      <c r="J378" s="145">
        <v>3.44E-2</v>
      </c>
      <c r="K378" s="144">
        <f t="shared" si="23"/>
        <v>1.0219545932242208E-5</v>
      </c>
      <c r="M378" s="146"/>
    </row>
    <row r="379" spans="2:13" x14ac:dyDescent="0.25">
      <c r="B379" s="134" t="s">
        <v>910</v>
      </c>
      <c r="C379" s="142" t="s">
        <v>911</v>
      </c>
      <c r="D379" s="143">
        <v>262.47500000000002</v>
      </c>
      <c r="E379" s="143">
        <v>77.59</v>
      </c>
      <c r="F379" s="143">
        <f t="shared" si="20"/>
        <v>20365.435250000002</v>
      </c>
      <c r="G379" s="144">
        <f t="shared" si="21"/>
        <v>6.9430842535697873E-4</v>
      </c>
      <c r="H379" s="145">
        <v>3.2478412166516306E-2</v>
      </c>
      <c r="I379" s="144">
        <f t="shared" si="22"/>
        <v>2.2550035209428878E-5</v>
      </c>
      <c r="J379" s="145">
        <v>7.1050000000000002E-2</v>
      </c>
      <c r="K379" s="144">
        <f t="shared" si="23"/>
        <v>4.9330613621613343E-5</v>
      </c>
      <c r="M379" s="146"/>
    </row>
    <row r="380" spans="2:13" x14ac:dyDescent="0.25">
      <c r="B380" s="134" t="s">
        <v>912</v>
      </c>
      <c r="C380" s="142" t="s">
        <v>913</v>
      </c>
      <c r="D380" s="143">
        <v>86.873000000000005</v>
      </c>
      <c r="E380" s="143">
        <v>293.36</v>
      </c>
      <c r="F380" s="143">
        <f t="shared" si="20"/>
        <v>25485.063280000002</v>
      </c>
      <c r="G380" s="144">
        <f t="shared" si="21"/>
        <v>8.6884929974967071E-4</v>
      </c>
      <c r="H380" s="145" t="s">
        <v>210</v>
      </c>
      <c r="I380" s="144" t="str">
        <f t="shared" si="22"/>
        <v/>
      </c>
      <c r="J380" s="145">
        <v>0.10769999999999999</v>
      </c>
      <c r="K380" s="144">
        <f t="shared" si="23"/>
        <v>9.3575069583039523E-5</v>
      </c>
      <c r="M380" s="146"/>
    </row>
    <row r="381" spans="2:13" x14ac:dyDescent="0.25">
      <c r="B381" s="134" t="s">
        <v>914</v>
      </c>
      <c r="C381" s="142" t="s">
        <v>915</v>
      </c>
      <c r="D381" s="143">
        <v>37.988</v>
      </c>
      <c r="E381" s="143">
        <v>453.46</v>
      </c>
      <c r="F381" s="143">
        <f t="shared" si="20"/>
        <v>17226.038479999999</v>
      </c>
      <c r="G381" s="144">
        <f t="shared" si="21"/>
        <v>5.8727856809186153E-4</v>
      </c>
      <c r="H381" s="145">
        <v>8.6446434084594004E-3</v>
      </c>
      <c r="I381" s="144">
        <f t="shared" si="22"/>
        <v>5.0768138025847857E-6</v>
      </c>
      <c r="J381" s="145">
        <v>0.10445</v>
      </c>
      <c r="K381" s="144">
        <f t="shared" si="23"/>
        <v>6.1341246437194932E-5</v>
      </c>
      <c r="M381" s="146"/>
    </row>
    <row r="382" spans="2:13" x14ac:dyDescent="0.25">
      <c r="B382" s="134" t="s">
        <v>916</v>
      </c>
      <c r="C382" s="142" t="s">
        <v>917</v>
      </c>
      <c r="D382" s="143">
        <v>2470</v>
      </c>
      <c r="E382" s="143">
        <v>467.7</v>
      </c>
      <c r="F382" s="143">
        <f t="shared" si="20"/>
        <v>1155219</v>
      </c>
      <c r="G382" s="144" t="str">
        <f t="shared" si="21"/>
        <v/>
      </c>
      <c r="H382" s="145">
        <v>3.4209963651913623E-4</v>
      </c>
      <c r="I382" s="144" t="str">
        <f t="shared" si="22"/>
        <v/>
      </c>
      <c r="J382" s="145">
        <v>0.50822999999999996</v>
      </c>
      <c r="K382" s="144" t="str">
        <f t="shared" si="23"/>
        <v/>
      </c>
      <c r="M382" s="146"/>
    </row>
    <row r="383" spans="2:13" x14ac:dyDescent="0.25">
      <c r="B383" s="134" t="s">
        <v>918</v>
      </c>
      <c r="C383" s="142" t="s">
        <v>919</v>
      </c>
      <c r="D383" s="143">
        <v>144.43600000000001</v>
      </c>
      <c r="E383" s="143">
        <v>33.380000000000003</v>
      </c>
      <c r="F383" s="143">
        <f t="shared" si="20"/>
        <v>4821.2736800000002</v>
      </c>
      <c r="G383" s="144">
        <f t="shared" si="21"/>
        <v>1.6436923129231162E-4</v>
      </c>
      <c r="H383" s="145">
        <v>2.3966446974236069E-2</v>
      </c>
      <c r="I383" s="144">
        <f t="shared" si="22"/>
        <v>3.9393464659631307E-6</v>
      </c>
      <c r="J383" s="145">
        <v>1E-4</v>
      </c>
      <c r="K383" s="144">
        <f t="shared" si="23"/>
        <v>1.6436923129231164E-8</v>
      </c>
      <c r="M383" s="146"/>
    </row>
    <row r="384" spans="2:13" x14ac:dyDescent="0.25">
      <c r="B384" s="134" t="s">
        <v>920</v>
      </c>
      <c r="C384" s="142" t="s">
        <v>921</v>
      </c>
      <c r="D384" s="143">
        <v>501.41300000000001</v>
      </c>
      <c r="E384" s="143">
        <v>70.38</v>
      </c>
      <c r="F384" s="143">
        <f t="shared" si="20"/>
        <v>35289.446940000002</v>
      </c>
      <c r="G384" s="144">
        <f t="shared" si="21"/>
        <v>1.203105164994205E-3</v>
      </c>
      <c r="H384" s="145">
        <v>1.6481955100880932E-2</v>
      </c>
      <c r="I384" s="144">
        <f t="shared" si="22"/>
        <v>1.9829525311072432E-5</v>
      </c>
      <c r="J384" s="145">
        <v>0.12</v>
      </c>
      <c r="K384" s="144">
        <f t="shared" si="23"/>
        <v>1.4437261979930461E-4</v>
      </c>
      <c r="M384" s="146"/>
    </row>
    <row r="385" spans="2:13" x14ac:dyDescent="0.25">
      <c r="B385" s="134" t="s">
        <v>922</v>
      </c>
      <c r="C385" s="142" t="s">
        <v>923</v>
      </c>
      <c r="D385" s="143">
        <v>352.072</v>
      </c>
      <c r="E385" s="143">
        <v>310.83999999999997</v>
      </c>
      <c r="F385" s="143">
        <f t="shared" si="20"/>
        <v>109438.06047999999</v>
      </c>
      <c r="G385" s="144">
        <f t="shared" si="21"/>
        <v>3.7310161316582019E-3</v>
      </c>
      <c r="H385" s="145" t="s">
        <v>210</v>
      </c>
      <c r="I385" s="144" t="str">
        <f t="shared" si="22"/>
        <v/>
      </c>
      <c r="J385" s="145">
        <v>0.1157</v>
      </c>
      <c r="K385" s="144">
        <f t="shared" si="23"/>
        <v>4.3167856643285397E-4</v>
      </c>
      <c r="M385" s="146"/>
    </row>
    <row r="386" spans="2:13" x14ac:dyDescent="0.25">
      <c r="B386" s="134" t="s">
        <v>924</v>
      </c>
      <c r="C386" s="142" t="s">
        <v>925</v>
      </c>
      <c r="D386" s="143">
        <v>170.06800000000001</v>
      </c>
      <c r="E386" s="143">
        <v>158.19999999999999</v>
      </c>
      <c r="F386" s="143">
        <f t="shared" si="20"/>
        <v>26904.757600000001</v>
      </c>
      <c r="G386" s="144" t="str">
        <f t="shared" si="21"/>
        <v/>
      </c>
      <c r="H386" s="145" t="s">
        <v>210</v>
      </c>
      <c r="I386" s="144" t="str">
        <f t="shared" si="22"/>
        <v/>
      </c>
      <c r="J386" s="145">
        <v>0.57999999999999996</v>
      </c>
      <c r="K386" s="144" t="str">
        <f t="shared" si="23"/>
        <v/>
      </c>
      <c r="M386" s="146"/>
    </row>
    <row r="387" spans="2:13" x14ac:dyDescent="0.25">
      <c r="B387" s="134" t="s">
        <v>926</v>
      </c>
      <c r="C387" s="142" t="s">
        <v>927</v>
      </c>
      <c r="D387" s="143">
        <v>314.637</v>
      </c>
      <c r="E387" s="143">
        <v>161.84</v>
      </c>
      <c r="F387" s="143">
        <f t="shared" si="20"/>
        <v>50920.852080000004</v>
      </c>
      <c r="G387" s="144">
        <f t="shared" si="21"/>
        <v>1.7360187097155428E-3</v>
      </c>
      <c r="H387" s="145">
        <v>1.3222936233316857E-2</v>
      </c>
      <c r="I387" s="144">
        <f t="shared" si="22"/>
        <v>2.2955264698413629E-5</v>
      </c>
      <c r="J387" s="145">
        <v>9.9650000000000002E-2</v>
      </c>
      <c r="K387" s="144">
        <f t="shared" si="23"/>
        <v>1.7299426442315386E-4</v>
      </c>
      <c r="M387" s="146"/>
    </row>
    <row r="388" spans="2:13" x14ac:dyDescent="0.25">
      <c r="B388" s="134" t="s">
        <v>928</v>
      </c>
      <c r="C388" s="142" t="s">
        <v>929</v>
      </c>
      <c r="D388" s="143">
        <v>519</v>
      </c>
      <c r="E388" s="143">
        <v>41.01</v>
      </c>
      <c r="F388" s="143">
        <f t="shared" si="20"/>
        <v>21284.19</v>
      </c>
      <c r="G388" s="144">
        <f t="shared" si="21"/>
        <v>7.2563106373573578E-4</v>
      </c>
      <c r="H388" s="145">
        <v>2.4384296513045599E-2</v>
      </c>
      <c r="I388" s="144">
        <f t="shared" si="22"/>
        <v>1.7694003017208872E-5</v>
      </c>
      <c r="J388" s="145">
        <v>3.15E-3</v>
      </c>
      <c r="K388" s="144">
        <f t="shared" si="23"/>
        <v>2.2857378507675676E-6</v>
      </c>
      <c r="M388" s="146"/>
    </row>
    <row r="389" spans="2:13" x14ac:dyDescent="0.25">
      <c r="B389" s="134" t="s">
        <v>930</v>
      </c>
      <c r="C389" s="142" t="s">
        <v>931</v>
      </c>
      <c r="D389" s="143">
        <v>326.11200000000002</v>
      </c>
      <c r="E389" s="143">
        <v>341.54</v>
      </c>
      <c r="F389" s="143">
        <f t="shared" si="20"/>
        <v>111380.29248000002</v>
      </c>
      <c r="G389" s="144">
        <f t="shared" si="21"/>
        <v>3.7972316593424412E-3</v>
      </c>
      <c r="H389" s="145">
        <v>3.220706213035076E-2</v>
      </c>
      <c r="I389" s="144">
        <f t="shared" si="22"/>
        <v>1.2229767597577693E-4</v>
      </c>
      <c r="J389" s="145">
        <v>7.7050000000000007E-2</v>
      </c>
      <c r="K389" s="144">
        <f t="shared" si="23"/>
        <v>2.9257669935233512E-4</v>
      </c>
      <c r="M389" s="146"/>
    </row>
    <row r="390" spans="2:13" x14ac:dyDescent="0.25">
      <c r="B390" s="134" t="s">
        <v>932</v>
      </c>
      <c r="C390" s="142" t="s">
        <v>933</v>
      </c>
      <c r="D390" s="143">
        <v>107.887</v>
      </c>
      <c r="E390" s="143">
        <v>246.96</v>
      </c>
      <c r="F390" s="143">
        <f t="shared" si="20"/>
        <v>26643.773520000002</v>
      </c>
      <c r="G390" s="144">
        <f t="shared" si="21"/>
        <v>9.083526185986703E-4</v>
      </c>
      <c r="H390" s="145">
        <v>1.3767411726595399E-2</v>
      </c>
      <c r="I390" s="144">
        <f t="shared" si="22"/>
        <v>1.2505664493178972E-5</v>
      </c>
      <c r="J390" s="145">
        <v>0.08</v>
      </c>
      <c r="K390" s="144">
        <f t="shared" si="23"/>
        <v>7.2668209487893628E-5</v>
      </c>
      <c r="M390" s="146"/>
    </row>
    <row r="391" spans="2:13" x14ac:dyDescent="0.25">
      <c r="B391" s="134" t="s">
        <v>934</v>
      </c>
      <c r="C391" s="142" t="s">
        <v>935</v>
      </c>
      <c r="D391" s="143">
        <v>629.32799999999997</v>
      </c>
      <c r="E391" s="143">
        <v>72.87</v>
      </c>
      <c r="F391" s="143">
        <f t="shared" si="20"/>
        <v>45859.131359999999</v>
      </c>
      <c r="G391" s="144">
        <f t="shared" si="21"/>
        <v>1.5634520397888594E-3</v>
      </c>
      <c r="H391" s="145">
        <v>3.2660902977905859E-2</v>
      </c>
      <c r="I391" s="144">
        <f t="shared" si="22"/>
        <v>5.1063755382152949E-5</v>
      </c>
      <c r="J391" s="145">
        <v>5.4900000000000004E-2</v>
      </c>
      <c r="K391" s="144">
        <f t="shared" si="23"/>
        <v>8.5833516984408384E-5</v>
      </c>
      <c r="M391" s="146"/>
    </row>
    <row r="392" spans="2:13" x14ac:dyDescent="0.25">
      <c r="B392" s="134" t="s">
        <v>936</v>
      </c>
      <c r="C392" s="142" t="s">
        <v>937</v>
      </c>
      <c r="D392" s="143">
        <v>183</v>
      </c>
      <c r="E392" s="143">
        <v>364.96</v>
      </c>
      <c r="F392" s="143">
        <f t="shared" si="20"/>
        <v>66787.679999999993</v>
      </c>
      <c r="G392" s="144">
        <f t="shared" si="21"/>
        <v>2.2769584035305982E-3</v>
      </c>
      <c r="H392" s="145">
        <v>8.439281017097764E-3</v>
      </c>
      <c r="I392" s="144">
        <f t="shared" si="22"/>
        <v>1.9215891831637008E-5</v>
      </c>
      <c r="J392" s="145">
        <v>0.14080000000000001</v>
      </c>
      <c r="K392" s="144">
        <f t="shared" si="23"/>
        <v>3.2059574321710826E-4</v>
      </c>
      <c r="M392" s="146"/>
    </row>
    <row r="393" spans="2:13" x14ac:dyDescent="0.25">
      <c r="B393" s="134" t="s">
        <v>938</v>
      </c>
      <c r="C393" s="142" t="s">
        <v>939</v>
      </c>
      <c r="D393" s="143">
        <v>430.69799999999998</v>
      </c>
      <c r="E393" s="143">
        <v>71.33</v>
      </c>
      <c r="F393" s="143">
        <f t="shared" si="20"/>
        <v>30721.688339999997</v>
      </c>
      <c r="G393" s="144">
        <f t="shared" si="21"/>
        <v>1.0473788943770918E-3</v>
      </c>
      <c r="H393" s="145" t="s">
        <v>210</v>
      </c>
      <c r="I393" s="144" t="str">
        <f t="shared" si="22"/>
        <v/>
      </c>
      <c r="J393" s="145">
        <v>3.7200000000000004E-2</v>
      </c>
      <c r="K393" s="144">
        <f t="shared" si="23"/>
        <v>3.8962494870827819E-5</v>
      </c>
      <c r="M393" s="146"/>
    </row>
    <row r="394" spans="2:13" x14ac:dyDescent="0.25">
      <c r="B394" s="134" t="s">
        <v>940</v>
      </c>
      <c r="C394" s="142" t="s">
        <v>941</v>
      </c>
      <c r="D394" s="143">
        <v>34.89</v>
      </c>
      <c r="E394" s="143">
        <v>3125.7</v>
      </c>
      <c r="F394" s="143">
        <f t="shared" si="20"/>
        <v>109055.673</v>
      </c>
      <c r="G394" s="144">
        <f t="shared" si="21"/>
        <v>3.7179795897991216E-3</v>
      </c>
      <c r="H394" s="145" t="s">
        <v>210</v>
      </c>
      <c r="I394" s="144" t="str">
        <f t="shared" si="22"/>
        <v/>
      </c>
      <c r="J394" s="145">
        <v>0.15</v>
      </c>
      <c r="K394" s="144">
        <f t="shared" si="23"/>
        <v>5.5769693846986822E-4</v>
      </c>
      <c r="M394" s="146"/>
    </row>
    <row r="395" spans="2:13" x14ac:dyDescent="0.25">
      <c r="B395" s="134" t="s">
        <v>942</v>
      </c>
      <c r="C395" s="142" t="s">
        <v>943</v>
      </c>
      <c r="D395" s="143">
        <v>59.707000000000001</v>
      </c>
      <c r="E395" s="143">
        <v>171.19</v>
      </c>
      <c r="F395" s="143">
        <f t="shared" si="20"/>
        <v>10221.241330000001</v>
      </c>
      <c r="G395" s="144">
        <f t="shared" si="21"/>
        <v>3.4846758175845866E-4</v>
      </c>
      <c r="H395" s="145" t="s">
        <v>210</v>
      </c>
      <c r="I395" s="144" t="str">
        <f t="shared" si="22"/>
        <v/>
      </c>
      <c r="J395" s="145">
        <v>5.45E-2</v>
      </c>
      <c r="K395" s="144">
        <f t="shared" si="23"/>
        <v>1.8991483205835995E-5</v>
      </c>
      <c r="M395" s="146"/>
    </row>
    <row r="396" spans="2:13" x14ac:dyDescent="0.25">
      <c r="B396" s="134" t="s">
        <v>944</v>
      </c>
      <c r="C396" s="142" t="s">
        <v>945</v>
      </c>
      <c r="D396" s="143">
        <v>150.83199999999999</v>
      </c>
      <c r="E396" s="143">
        <v>115.53</v>
      </c>
      <c r="F396" s="143">
        <f t="shared" si="20"/>
        <v>17425.62096</v>
      </c>
      <c r="G396" s="144" t="str">
        <f t="shared" si="21"/>
        <v/>
      </c>
      <c r="H396" s="145" t="s">
        <v>210</v>
      </c>
      <c r="I396" s="144" t="str">
        <f t="shared" si="22"/>
        <v/>
      </c>
      <c r="J396" s="145" t="s">
        <v>210</v>
      </c>
      <c r="K396" s="144" t="str">
        <f t="shared" si="23"/>
        <v/>
      </c>
      <c r="M396" s="146"/>
    </row>
    <row r="397" spans="2:13" x14ac:dyDescent="0.25">
      <c r="B397" s="134" t="s">
        <v>946</v>
      </c>
      <c r="C397" s="142" t="s">
        <v>947</v>
      </c>
      <c r="D397" s="143">
        <v>51.296999999999997</v>
      </c>
      <c r="E397" s="143">
        <v>197.08</v>
      </c>
      <c r="F397" s="143">
        <f t="shared" si="20"/>
        <v>10109.61276</v>
      </c>
      <c r="G397" s="144">
        <f t="shared" si="21"/>
        <v>3.4466188569991007E-4</v>
      </c>
      <c r="H397" s="145" t="s">
        <v>210</v>
      </c>
      <c r="I397" s="144" t="str">
        <f t="shared" si="22"/>
        <v/>
      </c>
      <c r="J397" s="145">
        <v>0.09</v>
      </c>
      <c r="K397" s="144">
        <f t="shared" si="23"/>
        <v>3.1019569712991907E-5</v>
      </c>
      <c r="M397" s="146"/>
    </row>
    <row r="398" spans="2:13" x14ac:dyDescent="0.25">
      <c r="B398" s="134" t="s">
        <v>948</v>
      </c>
      <c r="C398" s="142" t="s">
        <v>949</v>
      </c>
      <c r="D398" s="143">
        <v>37.905000000000001</v>
      </c>
      <c r="E398" s="143">
        <v>240.12</v>
      </c>
      <c r="F398" s="143">
        <f t="shared" si="20"/>
        <v>9101.7486000000008</v>
      </c>
      <c r="G398" s="144" t="str">
        <f t="shared" si="21"/>
        <v/>
      </c>
      <c r="H398" s="145">
        <v>1.1994002998500749E-2</v>
      </c>
      <c r="I398" s="144" t="str">
        <f t="shared" si="22"/>
        <v/>
      </c>
      <c r="J398" s="145" t="s">
        <v>210</v>
      </c>
      <c r="K398" s="144" t="str">
        <f t="shared" si="23"/>
        <v/>
      </c>
      <c r="M398" s="146"/>
    </row>
    <row r="399" spans="2:13" x14ac:dyDescent="0.25">
      <c r="B399" s="134" t="s">
        <v>950</v>
      </c>
      <c r="C399" s="142" t="s">
        <v>951</v>
      </c>
      <c r="D399" s="143">
        <v>640.70000000000005</v>
      </c>
      <c r="E399" s="143">
        <v>44.97</v>
      </c>
      <c r="F399" s="143">
        <f t="shared" si="20"/>
        <v>28812.279000000002</v>
      </c>
      <c r="G399" s="144" t="str">
        <f t="shared" si="21"/>
        <v/>
      </c>
      <c r="H399" s="145">
        <v>6.8490104514120534E-2</v>
      </c>
      <c r="I399" s="144" t="str">
        <f t="shared" si="22"/>
        <v/>
      </c>
      <c r="J399" s="145">
        <v>0.51350000000000007</v>
      </c>
      <c r="K399" s="144" t="str">
        <f t="shared" si="23"/>
        <v/>
      </c>
      <c r="M399" s="146"/>
    </row>
    <row r="400" spans="2:13" x14ac:dyDescent="0.25">
      <c r="B400" s="134" t="s">
        <v>952</v>
      </c>
      <c r="C400" s="142" t="s">
        <v>953</v>
      </c>
      <c r="D400" s="143">
        <v>158.15</v>
      </c>
      <c r="E400" s="143">
        <v>62.9</v>
      </c>
      <c r="F400" s="143">
        <f t="shared" si="20"/>
        <v>9947.6350000000002</v>
      </c>
      <c r="G400" s="144">
        <f t="shared" si="21"/>
        <v>3.3913966031617069E-4</v>
      </c>
      <c r="H400" s="145">
        <v>5.0874403815580286E-3</v>
      </c>
      <c r="I400" s="144">
        <f t="shared" si="22"/>
        <v>1.7253528028803596E-6</v>
      </c>
      <c r="J400" s="145">
        <v>4.4999999999999998E-2</v>
      </c>
      <c r="K400" s="144">
        <f t="shared" si="23"/>
        <v>1.526128471422768E-5</v>
      </c>
      <c r="M400" s="146"/>
    </row>
    <row r="401" spans="2:13" x14ac:dyDescent="0.25">
      <c r="B401" s="134" t="s">
        <v>954</v>
      </c>
      <c r="C401" s="142" t="s">
        <v>955</v>
      </c>
      <c r="D401" s="143">
        <v>5918</v>
      </c>
      <c r="E401" s="143">
        <v>132.53</v>
      </c>
      <c r="F401" s="143">
        <f t="shared" si="20"/>
        <v>784312.54</v>
      </c>
      <c r="G401" s="144">
        <f t="shared" si="21"/>
        <v>2.6739168495558296E-2</v>
      </c>
      <c r="H401" s="145" t="s">
        <v>210</v>
      </c>
      <c r="I401" s="144" t="str">
        <f t="shared" si="22"/>
        <v/>
      </c>
      <c r="J401" s="145">
        <v>0.16649999999999998</v>
      </c>
      <c r="K401" s="144">
        <f t="shared" si="23"/>
        <v>4.4520715545104559E-3</v>
      </c>
      <c r="M401" s="146"/>
    </row>
    <row r="402" spans="2:13" x14ac:dyDescent="0.25">
      <c r="B402" s="134" t="s">
        <v>956</v>
      </c>
      <c r="C402" s="142" t="s">
        <v>957</v>
      </c>
      <c r="D402" s="143">
        <v>46.993000000000002</v>
      </c>
      <c r="E402" s="143">
        <v>225.69</v>
      </c>
      <c r="F402" s="143">
        <f t="shared" si="20"/>
        <v>10605.85017</v>
      </c>
      <c r="G402" s="144">
        <f t="shared" si="21"/>
        <v>3.6157985531415268E-4</v>
      </c>
      <c r="H402" s="145">
        <v>6.0259648189995131E-3</v>
      </c>
      <c r="I402" s="144">
        <f t="shared" si="22"/>
        <v>2.1788674873820181E-6</v>
      </c>
      <c r="J402" s="145">
        <v>6.9949999999999998E-2</v>
      </c>
      <c r="K402" s="144">
        <f t="shared" si="23"/>
        <v>2.5292510879224979E-5</v>
      </c>
      <c r="M402" s="146"/>
    </row>
    <row r="403" spans="2:13" x14ac:dyDescent="0.25">
      <c r="B403" s="134" t="s">
        <v>958</v>
      </c>
      <c r="C403" s="142" t="s">
        <v>959</v>
      </c>
      <c r="D403" s="143">
        <v>437.68</v>
      </c>
      <c r="E403" s="143">
        <v>473.97</v>
      </c>
      <c r="F403" s="143">
        <f t="shared" si="20"/>
        <v>207447.18960000001</v>
      </c>
      <c r="G403" s="144" t="str">
        <f t="shared" si="21"/>
        <v/>
      </c>
      <c r="H403" s="145" t="s">
        <v>210</v>
      </c>
      <c r="I403" s="144" t="str">
        <f t="shared" si="22"/>
        <v/>
      </c>
      <c r="J403" s="145">
        <v>0.30959999999999999</v>
      </c>
      <c r="K403" s="144" t="str">
        <f t="shared" si="23"/>
        <v/>
      </c>
      <c r="M403" s="146"/>
    </row>
    <row r="404" spans="2:13" x14ac:dyDescent="0.25">
      <c r="B404" s="134" t="s">
        <v>960</v>
      </c>
      <c r="C404" s="142" t="s">
        <v>961</v>
      </c>
      <c r="D404" s="143">
        <v>87.787999999999997</v>
      </c>
      <c r="E404" s="143">
        <v>106.09</v>
      </c>
      <c r="F404" s="143">
        <f t="shared" si="20"/>
        <v>9313.4289200000003</v>
      </c>
      <c r="G404" s="144">
        <f t="shared" si="21"/>
        <v>3.1751799501163847E-4</v>
      </c>
      <c r="H404" s="145">
        <v>1.6966726364407578E-2</v>
      </c>
      <c r="I404" s="144">
        <f t="shared" si="22"/>
        <v>5.3872409371378008E-6</v>
      </c>
      <c r="J404" s="145">
        <v>5.9299999999999999E-2</v>
      </c>
      <c r="K404" s="144">
        <f t="shared" si="23"/>
        <v>1.882881710419016E-5</v>
      </c>
      <c r="M404" s="146"/>
    </row>
    <row r="405" spans="2:13" x14ac:dyDescent="0.25">
      <c r="B405" s="134" t="s">
        <v>962</v>
      </c>
      <c r="C405" s="142" t="s">
        <v>963</v>
      </c>
      <c r="D405" s="143">
        <v>292.12299999999999</v>
      </c>
      <c r="E405" s="143">
        <v>127.8</v>
      </c>
      <c r="F405" s="143">
        <f t="shared" ref="F405:F468" si="24">IFERROR(D405*E405,"")</f>
        <v>37333.3194</v>
      </c>
      <c r="G405" s="144">
        <f t="shared" ref="G405:G468" si="25">IF(AND(ISNUMBER($J405)), IF(AND($J405&lt;=20%,$J405&gt;0%), $F405/SUMIFS($F$20:$F$521,$J$20:$J$521, "&gt;"&amp;0%,$J$20:$J$521, "&lt;="&amp;20%),""),"")</f>
        <v>1.2727858691830877E-3</v>
      </c>
      <c r="H405" s="145">
        <v>7.3865414710485135E-3</v>
      </c>
      <c r="I405" s="144">
        <f t="shared" ref="I405:I468" si="26">IFERROR($H405*$G405,"")</f>
        <v>9.401485606485406E-6</v>
      </c>
      <c r="J405" s="145">
        <v>0.08</v>
      </c>
      <c r="K405" s="144">
        <f t="shared" ref="K405:K468" si="27">IFERROR($J405*$G405,"")</f>
        <v>1.0182286953464702E-4</v>
      </c>
      <c r="M405" s="146"/>
    </row>
    <row r="406" spans="2:13" x14ac:dyDescent="0.25">
      <c r="B406" s="134" t="s">
        <v>964</v>
      </c>
      <c r="C406" s="142" t="s">
        <v>965</v>
      </c>
      <c r="D406" s="143">
        <v>2438.5659999999998</v>
      </c>
      <c r="E406" s="143">
        <v>10.45</v>
      </c>
      <c r="F406" s="143">
        <f t="shared" si="24"/>
        <v>25483.014699999996</v>
      </c>
      <c r="G406" s="144" t="str">
        <f t="shared" si="25"/>
        <v/>
      </c>
      <c r="H406" s="145" t="s">
        <v>210</v>
      </c>
      <c r="I406" s="144" t="str">
        <f t="shared" si="26"/>
        <v/>
      </c>
      <c r="J406" s="145">
        <v>0.9104000000000001</v>
      </c>
      <c r="K406" s="144" t="str">
        <f t="shared" si="27"/>
        <v/>
      </c>
      <c r="M406" s="146"/>
    </row>
    <row r="407" spans="2:13" x14ac:dyDescent="0.25">
      <c r="B407" s="134" t="s">
        <v>966</v>
      </c>
      <c r="C407" s="142" t="s">
        <v>967</v>
      </c>
      <c r="D407" s="143">
        <v>234.959</v>
      </c>
      <c r="E407" s="143">
        <v>479.49</v>
      </c>
      <c r="F407" s="143">
        <f t="shared" si="24"/>
        <v>112660.49091000001</v>
      </c>
      <c r="G407" s="144">
        <f t="shared" si="25"/>
        <v>3.8408768132596779E-3</v>
      </c>
      <c r="H407" s="145">
        <v>1.2346451437986194E-2</v>
      </c>
      <c r="I407" s="144">
        <f t="shared" si="26"/>
        <v>4.7421199054197779E-5</v>
      </c>
      <c r="J407" s="145">
        <v>0.10847</v>
      </c>
      <c r="K407" s="144">
        <f t="shared" si="27"/>
        <v>4.1661990793427726E-4</v>
      </c>
      <c r="M407" s="146"/>
    </row>
    <row r="408" spans="2:13" x14ac:dyDescent="0.25">
      <c r="B408" s="134" t="s">
        <v>968</v>
      </c>
      <c r="C408" s="142" t="s">
        <v>969</v>
      </c>
      <c r="D408" s="143">
        <v>248.768</v>
      </c>
      <c r="E408" s="143">
        <v>46.4</v>
      </c>
      <c r="F408" s="143">
        <f t="shared" si="24"/>
        <v>11542.8352</v>
      </c>
      <c r="G408" s="144" t="str">
        <f t="shared" si="25"/>
        <v/>
      </c>
      <c r="H408" s="145" t="s">
        <v>210</v>
      </c>
      <c r="I408" s="144" t="str">
        <f t="shared" si="26"/>
        <v/>
      </c>
      <c r="J408" s="145" t="s">
        <v>210</v>
      </c>
      <c r="K408" s="144" t="str">
        <f t="shared" si="27"/>
        <v/>
      </c>
      <c r="M408" s="146"/>
    </row>
    <row r="409" spans="2:13" x14ac:dyDescent="0.25">
      <c r="B409" s="134" t="s">
        <v>970</v>
      </c>
      <c r="C409" s="142" t="s">
        <v>971</v>
      </c>
      <c r="D409" s="143">
        <v>359.99</v>
      </c>
      <c r="E409" s="143">
        <v>218.36</v>
      </c>
      <c r="F409" s="143">
        <f t="shared" si="24"/>
        <v>78607.416400000002</v>
      </c>
      <c r="G409" s="144">
        <f t="shared" si="25"/>
        <v>2.679922664656251E-3</v>
      </c>
      <c r="H409" s="145">
        <v>2.0150210661293279E-2</v>
      </c>
      <c r="I409" s="144">
        <f t="shared" si="26"/>
        <v>5.400100624879788E-5</v>
      </c>
      <c r="J409" s="145">
        <v>0.111</v>
      </c>
      <c r="K409" s="144">
        <f t="shared" si="27"/>
        <v>2.9747141577684389E-4</v>
      </c>
      <c r="M409" s="146"/>
    </row>
    <row r="410" spans="2:13" x14ac:dyDescent="0.25">
      <c r="B410" s="134" t="s">
        <v>972</v>
      </c>
      <c r="C410" s="142" t="s">
        <v>973</v>
      </c>
      <c r="D410" s="143">
        <v>318.86799999999999</v>
      </c>
      <c r="E410" s="143">
        <v>28.45</v>
      </c>
      <c r="F410" s="143">
        <f t="shared" si="24"/>
        <v>9071.7945999999993</v>
      </c>
      <c r="G410" s="144">
        <f t="shared" si="25"/>
        <v>3.0928007904412166E-4</v>
      </c>
      <c r="H410" s="145">
        <v>3.0931458699472759E-2</v>
      </c>
      <c r="I410" s="144">
        <f t="shared" si="26"/>
        <v>9.5664839915229199E-6</v>
      </c>
      <c r="J410" s="145">
        <v>7.9600000000000004E-2</v>
      </c>
      <c r="K410" s="144">
        <f t="shared" si="27"/>
        <v>2.4618694291912086E-5</v>
      </c>
      <c r="M410" s="146"/>
    </row>
    <row r="411" spans="2:13" x14ac:dyDescent="0.25">
      <c r="B411" s="134" t="s">
        <v>974</v>
      </c>
      <c r="C411" s="142" t="s">
        <v>975</v>
      </c>
      <c r="D411" s="143">
        <v>148.762</v>
      </c>
      <c r="E411" s="143">
        <v>751.23</v>
      </c>
      <c r="F411" s="143">
        <f t="shared" si="24"/>
        <v>111754.47726</v>
      </c>
      <c r="G411" s="144">
        <f t="shared" si="25"/>
        <v>3.809988550722621E-3</v>
      </c>
      <c r="H411" s="145">
        <v>2.6623004938567417E-2</v>
      </c>
      <c r="I411" s="144">
        <f t="shared" si="26"/>
        <v>1.0143334400177366E-4</v>
      </c>
      <c r="J411" s="145">
        <v>6.7199999999999996E-2</v>
      </c>
      <c r="K411" s="144">
        <f t="shared" si="27"/>
        <v>2.5603123060856012E-4</v>
      </c>
      <c r="M411" s="146"/>
    </row>
    <row r="412" spans="2:13" x14ac:dyDescent="0.25">
      <c r="B412" s="134" t="s">
        <v>976</v>
      </c>
      <c r="C412" s="142" t="s">
        <v>977</v>
      </c>
      <c r="D412" s="143">
        <v>206.10900000000001</v>
      </c>
      <c r="E412" s="143">
        <v>104.11</v>
      </c>
      <c r="F412" s="143">
        <f t="shared" si="24"/>
        <v>21458.007990000002</v>
      </c>
      <c r="G412" s="144">
        <f t="shared" si="25"/>
        <v>7.3155695205848192E-4</v>
      </c>
      <c r="H412" s="145">
        <v>3.6595908174046683E-2</v>
      </c>
      <c r="I412" s="144">
        <f t="shared" si="26"/>
        <v>2.6771991041617676E-5</v>
      </c>
      <c r="J412" s="145">
        <v>7.0000000000000007E-2</v>
      </c>
      <c r="K412" s="144">
        <f t="shared" si="27"/>
        <v>5.1208986644093738E-5</v>
      </c>
      <c r="M412" s="146"/>
    </row>
    <row r="413" spans="2:13" x14ac:dyDescent="0.25">
      <c r="B413" s="134" t="s">
        <v>978</v>
      </c>
      <c r="C413" s="142" t="s">
        <v>979</v>
      </c>
      <c r="D413" s="143">
        <v>576.96500000000003</v>
      </c>
      <c r="E413" s="143">
        <v>55.84</v>
      </c>
      <c r="F413" s="143">
        <f t="shared" si="24"/>
        <v>32217.725600000005</v>
      </c>
      <c r="G413" s="144">
        <f t="shared" si="25"/>
        <v>1.0983825317418259E-3</v>
      </c>
      <c r="H413" s="145">
        <v>1.5759312320916905E-2</v>
      </c>
      <c r="I413" s="144">
        <f t="shared" si="26"/>
        <v>1.730975336555886E-5</v>
      </c>
      <c r="J413" s="145">
        <v>2.6800000000000001E-2</v>
      </c>
      <c r="K413" s="144">
        <f t="shared" si="27"/>
        <v>2.9436651850680933E-5</v>
      </c>
      <c r="M413" s="146"/>
    </row>
    <row r="414" spans="2:13" x14ac:dyDescent="0.25">
      <c r="B414" s="134" t="s">
        <v>980</v>
      </c>
      <c r="C414" s="142" t="s">
        <v>981</v>
      </c>
      <c r="D414" s="143">
        <v>108.855</v>
      </c>
      <c r="E414" s="143">
        <v>138.66</v>
      </c>
      <c r="F414" s="143">
        <f t="shared" si="24"/>
        <v>15093.8343</v>
      </c>
      <c r="G414" s="144">
        <f t="shared" si="25"/>
        <v>5.1458641550183198E-4</v>
      </c>
      <c r="H414" s="145">
        <v>2.0193278523005911E-2</v>
      </c>
      <c r="I414" s="144">
        <f t="shared" si="26"/>
        <v>1.039118681238374E-5</v>
      </c>
      <c r="J414" s="145">
        <v>2.265E-2</v>
      </c>
      <c r="K414" s="144">
        <f t="shared" si="27"/>
        <v>1.1655382311116495E-5</v>
      </c>
      <c r="M414" s="146"/>
    </row>
    <row r="415" spans="2:13" x14ac:dyDescent="0.25">
      <c r="B415" s="134" t="s">
        <v>982</v>
      </c>
      <c r="C415" s="142" t="s">
        <v>983</v>
      </c>
      <c r="D415" s="143">
        <v>1552.4059999999999</v>
      </c>
      <c r="E415" s="143">
        <v>93.36</v>
      </c>
      <c r="F415" s="143">
        <f t="shared" si="24"/>
        <v>144932.62416000001</v>
      </c>
      <c r="G415" s="144">
        <f t="shared" si="25"/>
        <v>4.9411142373391899E-3</v>
      </c>
      <c r="H415" s="145">
        <v>5.5698371893744644E-2</v>
      </c>
      <c r="I415" s="144">
        <f t="shared" si="26"/>
        <v>2.7521201836079465E-4</v>
      </c>
      <c r="J415" s="145">
        <v>9.1899999999999996E-2</v>
      </c>
      <c r="K415" s="144">
        <f t="shared" si="27"/>
        <v>4.5408839841147152E-4</v>
      </c>
      <c r="M415" s="146"/>
    </row>
    <row r="416" spans="2:13" x14ac:dyDescent="0.25">
      <c r="B416" s="134" t="s">
        <v>984</v>
      </c>
      <c r="C416" s="142" t="s">
        <v>985</v>
      </c>
      <c r="D416" s="143">
        <v>968</v>
      </c>
      <c r="E416" s="143">
        <v>251.9</v>
      </c>
      <c r="F416" s="143">
        <f t="shared" si="24"/>
        <v>243839.2</v>
      </c>
      <c r="G416" s="144" t="str">
        <f t="shared" si="25"/>
        <v/>
      </c>
      <c r="H416" s="145" t="s">
        <v>210</v>
      </c>
      <c r="I416" s="144" t="str">
        <f t="shared" si="26"/>
        <v/>
      </c>
      <c r="J416" s="145">
        <v>0.21667000000000003</v>
      </c>
      <c r="K416" s="144" t="str">
        <f t="shared" si="27"/>
        <v/>
      </c>
      <c r="M416" s="146"/>
    </row>
    <row r="417" spans="2:13" x14ac:dyDescent="0.25">
      <c r="B417" s="134" t="s">
        <v>986</v>
      </c>
      <c r="C417" s="142" t="s">
        <v>987</v>
      </c>
      <c r="D417" s="143">
        <v>404.79700000000003</v>
      </c>
      <c r="E417" s="143">
        <v>71.430000000000007</v>
      </c>
      <c r="F417" s="143">
        <f t="shared" si="24"/>
        <v>28914.649710000005</v>
      </c>
      <c r="G417" s="144">
        <f t="shared" si="25"/>
        <v>9.8577244549186475E-4</v>
      </c>
      <c r="H417" s="145">
        <v>1.1199776004479909E-3</v>
      </c>
      <c r="I417" s="144">
        <f t="shared" si="26"/>
        <v>1.1040430580897265E-6</v>
      </c>
      <c r="J417" s="145">
        <v>0.14000000000000001</v>
      </c>
      <c r="K417" s="144">
        <f t="shared" si="27"/>
        <v>1.3800814236886107E-4</v>
      </c>
      <c r="M417" s="146"/>
    </row>
    <row r="418" spans="2:13" x14ac:dyDescent="0.25">
      <c r="B418" s="134" t="s">
        <v>988</v>
      </c>
      <c r="C418" s="142" t="s">
        <v>989</v>
      </c>
      <c r="D418" s="143">
        <v>39.722999999999999</v>
      </c>
      <c r="E418" s="143">
        <v>237.02</v>
      </c>
      <c r="F418" s="143">
        <f t="shared" si="24"/>
        <v>9415.1454599999997</v>
      </c>
      <c r="G418" s="144" t="str">
        <f t="shared" si="25"/>
        <v/>
      </c>
      <c r="H418" s="145">
        <v>2.1939076871150112E-2</v>
      </c>
      <c r="I418" s="144" t="str">
        <f t="shared" si="26"/>
        <v/>
      </c>
      <c r="J418" s="145">
        <v>0.4</v>
      </c>
      <c r="K418" s="144" t="str">
        <f t="shared" si="27"/>
        <v/>
      </c>
      <c r="M418" s="146"/>
    </row>
    <row r="419" spans="2:13" x14ac:dyDescent="0.25">
      <c r="B419" s="134" t="s">
        <v>990</v>
      </c>
      <c r="C419" s="142" t="s">
        <v>991</v>
      </c>
      <c r="D419" s="143">
        <v>106.822</v>
      </c>
      <c r="E419" s="143">
        <v>538.25</v>
      </c>
      <c r="F419" s="143">
        <f t="shared" si="24"/>
        <v>57496.941500000001</v>
      </c>
      <c r="G419" s="144" t="str">
        <f t="shared" si="25"/>
        <v/>
      </c>
      <c r="H419" s="145">
        <v>5.5736182071528103E-3</v>
      </c>
      <c r="I419" s="144" t="str">
        <f t="shared" si="26"/>
        <v/>
      </c>
      <c r="J419" s="145">
        <v>-0.01</v>
      </c>
      <c r="K419" s="144" t="str">
        <f t="shared" si="27"/>
        <v/>
      </c>
      <c r="M419" s="146"/>
    </row>
    <row r="420" spans="2:13" x14ac:dyDescent="0.25">
      <c r="B420" s="134" t="s">
        <v>992</v>
      </c>
      <c r="C420" s="142" t="s">
        <v>993</v>
      </c>
      <c r="D420" s="143">
        <v>740.19</v>
      </c>
      <c r="E420" s="143">
        <v>63.63</v>
      </c>
      <c r="F420" s="143">
        <f t="shared" si="24"/>
        <v>47098.289700000008</v>
      </c>
      <c r="G420" s="144">
        <f t="shared" si="25"/>
        <v>1.60569803479225E-3</v>
      </c>
      <c r="H420" s="145">
        <v>3.268898318403269E-2</v>
      </c>
      <c r="I420" s="144">
        <f t="shared" si="26"/>
        <v>5.2488636057958198E-5</v>
      </c>
      <c r="J420" s="145">
        <v>9.1700000000000004E-2</v>
      </c>
      <c r="K420" s="144">
        <f t="shared" si="27"/>
        <v>1.4724250979044934E-4</v>
      </c>
      <c r="M420" s="146"/>
    </row>
    <row r="421" spans="2:13" x14ac:dyDescent="0.25">
      <c r="B421" s="134" t="s">
        <v>994</v>
      </c>
      <c r="C421" s="142" t="s">
        <v>995</v>
      </c>
      <c r="D421" s="143">
        <v>229.18600000000001</v>
      </c>
      <c r="E421" s="143">
        <v>31.67</v>
      </c>
      <c r="F421" s="143">
        <f t="shared" si="24"/>
        <v>7258.3206200000004</v>
      </c>
      <c r="G421" s="144">
        <f t="shared" si="25"/>
        <v>2.4745423304460383E-4</v>
      </c>
      <c r="H421" s="145">
        <v>4.4205873065993051E-2</v>
      </c>
      <c r="I421" s="144">
        <f t="shared" si="26"/>
        <v>1.093893041561242E-5</v>
      </c>
      <c r="J421" s="145">
        <v>0.11</v>
      </c>
      <c r="K421" s="144">
        <f t="shared" si="27"/>
        <v>2.7219965634906422E-5</v>
      </c>
      <c r="M421" s="146"/>
    </row>
    <row r="422" spans="2:13" x14ac:dyDescent="0.25">
      <c r="B422" s="134" t="s">
        <v>996</v>
      </c>
      <c r="C422" s="142" t="s">
        <v>997</v>
      </c>
      <c r="D422" s="143">
        <v>1976.1310000000001</v>
      </c>
      <c r="E422" s="143">
        <v>32.299999999999997</v>
      </c>
      <c r="F422" s="143">
        <f t="shared" si="24"/>
        <v>63829.031299999995</v>
      </c>
      <c r="G422" s="144">
        <f t="shared" si="25"/>
        <v>2.1760906982807699E-3</v>
      </c>
      <c r="H422" s="145">
        <v>1.3622291021671827E-2</v>
      </c>
      <c r="I422" s="144">
        <f t="shared" si="26"/>
        <v>2.964334078153371E-5</v>
      </c>
      <c r="J422" s="145">
        <v>6.3899999999999998E-2</v>
      </c>
      <c r="K422" s="144">
        <f t="shared" si="27"/>
        <v>1.390521956201412E-4</v>
      </c>
      <c r="M422" s="146"/>
    </row>
    <row r="423" spans="2:13" x14ac:dyDescent="0.25">
      <c r="B423" s="134" t="s">
        <v>998</v>
      </c>
      <c r="C423" s="142" t="s">
        <v>999</v>
      </c>
      <c r="D423" s="143">
        <v>606.5</v>
      </c>
      <c r="E423" s="143">
        <v>67.709999999999994</v>
      </c>
      <c r="F423" s="143">
        <f t="shared" si="24"/>
        <v>41066.114999999998</v>
      </c>
      <c r="G423" s="144">
        <f t="shared" si="25"/>
        <v>1.4000461709345791E-3</v>
      </c>
      <c r="H423" s="145" t="s">
        <v>210</v>
      </c>
      <c r="I423" s="144" t="str">
        <f t="shared" si="26"/>
        <v/>
      </c>
      <c r="J423" s="145">
        <v>9.2249999999999999E-2</v>
      </c>
      <c r="K423" s="144">
        <f t="shared" si="27"/>
        <v>1.2915425926871493E-4</v>
      </c>
      <c r="M423" s="146"/>
    </row>
    <row r="424" spans="2:13" x14ac:dyDescent="0.25">
      <c r="B424" s="134" t="s">
        <v>1000</v>
      </c>
      <c r="C424" s="142" t="s">
        <v>1001</v>
      </c>
      <c r="D424" s="143">
        <v>101.196</v>
      </c>
      <c r="E424" s="143">
        <v>353.51</v>
      </c>
      <c r="F424" s="143">
        <f t="shared" si="24"/>
        <v>35773.797959999996</v>
      </c>
      <c r="G424" s="144">
        <f t="shared" si="25"/>
        <v>1.2196178979600395E-3</v>
      </c>
      <c r="H424" s="145">
        <v>1.5275381177335862E-2</v>
      </c>
      <c r="I424" s="144">
        <f t="shared" si="26"/>
        <v>1.8630128282040717E-5</v>
      </c>
      <c r="J424" s="145">
        <v>0.15820000000000001</v>
      </c>
      <c r="K424" s="144">
        <f t="shared" si="27"/>
        <v>1.9294355145727825E-4</v>
      </c>
      <c r="M424" s="146"/>
    </row>
    <row r="425" spans="2:13" x14ac:dyDescent="0.25">
      <c r="B425" s="134" t="s">
        <v>1002</v>
      </c>
      <c r="C425" s="142" t="s">
        <v>1003</v>
      </c>
      <c r="D425" s="143">
        <v>51.36</v>
      </c>
      <c r="E425" s="143">
        <v>236.98</v>
      </c>
      <c r="F425" s="143">
        <f t="shared" si="24"/>
        <v>12171.292799999999</v>
      </c>
      <c r="G425" s="144" t="str">
        <f t="shared" si="25"/>
        <v/>
      </c>
      <c r="H425" s="145" t="s">
        <v>210</v>
      </c>
      <c r="I425" s="144" t="str">
        <f t="shared" si="26"/>
        <v/>
      </c>
      <c r="J425" s="145" t="s">
        <v>210</v>
      </c>
      <c r="K425" s="144" t="str">
        <f t="shared" si="27"/>
        <v/>
      </c>
      <c r="M425" s="146"/>
    </row>
    <row r="426" spans="2:13" x14ac:dyDescent="0.25">
      <c r="B426" s="134" t="s">
        <v>1004</v>
      </c>
      <c r="C426" s="142" t="s">
        <v>1005</v>
      </c>
      <c r="D426" s="143">
        <v>208.98099999999999</v>
      </c>
      <c r="E426" s="143">
        <v>116.31</v>
      </c>
      <c r="F426" s="143">
        <f t="shared" si="24"/>
        <v>24306.580109999999</v>
      </c>
      <c r="G426" s="144">
        <f t="shared" si="25"/>
        <v>8.2867187245543191E-4</v>
      </c>
      <c r="H426" s="145">
        <v>8.2538044880061893E-3</v>
      </c>
      <c r="I426" s="144">
        <f t="shared" si="26"/>
        <v>6.8396956199571364E-6</v>
      </c>
      <c r="J426" s="145">
        <v>7.1199999999999999E-2</v>
      </c>
      <c r="K426" s="144">
        <f t="shared" si="27"/>
        <v>5.9001437318826754E-5</v>
      </c>
      <c r="M426" s="146"/>
    </row>
    <row r="427" spans="2:13" x14ac:dyDescent="0.25">
      <c r="B427" s="134" t="s">
        <v>1006</v>
      </c>
      <c r="C427" s="142" t="s">
        <v>1007</v>
      </c>
      <c r="D427" s="143">
        <v>304.79300000000001</v>
      </c>
      <c r="E427" s="143">
        <v>78.959999999999994</v>
      </c>
      <c r="F427" s="143">
        <f t="shared" si="24"/>
        <v>24066.455279999998</v>
      </c>
      <c r="G427" s="144" t="str">
        <f t="shared" si="25"/>
        <v/>
      </c>
      <c r="H427" s="145" t="s">
        <v>210</v>
      </c>
      <c r="I427" s="144" t="str">
        <f t="shared" si="26"/>
        <v/>
      </c>
      <c r="J427" s="145" t="s">
        <v>210</v>
      </c>
      <c r="K427" s="144" t="str">
        <f t="shared" si="27"/>
        <v/>
      </c>
      <c r="M427" s="146"/>
    </row>
    <row r="428" spans="2:13" x14ac:dyDescent="0.25">
      <c r="B428" s="134" t="s">
        <v>1008</v>
      </c>
      <c r="C428" s="142" t="s">
        <v>1009</v>
      </c>
      <c r="D428" s="143">
        <v>106.771</v>
      </c>
      <c r="E428" s="143">
        <v>90.26</v>
      </c>
      <c r="F428" s="143">
        <f t="shared" si="24"/>
        <v>9637.1504600000007</v>
      </c>
      <c r="G428" s="144">
        <f t="shared" si="25"/>
        <v>3.2855446881798823E-4</v>
      </c>
      <c r="H428" s="145">
        <v>4.4316419233325945E-2</v>
      </c>
      <c r="I428" s="144">
        <f t="shared" si="26"/>
        <v>1.4560357581120683E-5</v>
      </c>
      <c r="J428" s="145">
        <v>6.1699999999999998E-2</v>
      </c>
      <c r="K428" s="144">
        <f t="shared" si="27"/>
        <v>2.0271810726069872E-5</v>
      </c>
      <c r="M428" s="146"/>
    </row>
    <row r="429" spans="2:13" x14ac:dyDescent="0.25">
      <c r="B429" s="134" t="s">
        <v>1010</v>
      </c>
      <c r="C429" s="142" t="s">
        <v>1011</v>
      </c>
      <c r="D429" s="143">
        <v>930.43799999999999</v>
      </c>
      <c r="E429" s="143">
        <v>413.83</v>
      </c>
      <c r="F429" s="143">
        <f t="shared" si="24"/>
        <v>385043.15753999999</v>
      </c>
      <c r="G429" s="144">
        <f t="shared" si="25"/>
        <v>1.3127080522675126E-2</v>
      </c>
      <c r="H429" s="145">
        <v>5.5095087354710866E-3</v>
      </c>
      <c r="I429" s="144">
        <f t="shared" si="26"/>
        <v>7.2323764810910965E-5</v>
      </c>
      <c r="J429" s="145">
        <v>0.17350000000000002</v>
      </c>
      <c r="K429" s="144">
        <f t="shared" si="27"/>
        <v>2.2775484706841348E-3</v>
      </c>
      <c r="M429" s="146"/>
    </row>
    <row r="430" spans="2:13" x14ac:dyDescent="0.25">
      <c r="B430" s="134" t="s">
        <v>1012</v>
      </c>
      <c r="C430" s="142" t="s">
        <v>1013</v>
      </c>
      <c r="D430" s="143">
        <v>158.66800000000001</v>
      </c>
      <c r="E430" s="143">
        <v>63.94</v>
      </c>
      <c r="F430" s="143">
        <f t="shared" si="24"/>
        <v>10145.23192</v>
      </c>
      <c r="G430" s="144">
        <f t="shared" si="25"/>
        <v>3.4587623160455444E-4</v>
      </c>
      <c r="H430" s="145" t="s">
        <v>210</v>
      </c>
      <c r="I430" s="144" t="str">
        <f t="shared" si="26"/>
        <v/>
      </c>
      <c r="J430" s="145">
        <v>0.16339999999999999</v>
      </c>
      <c r="K430" s="144">
        <f t="shared" si="27"/>
        <v>5.651617624418419E-5</v>
      </c>
      <c r="M430" s="146"/>
    </row>
    <row r="431" spans="2:13" x14ac:dyDescent="0.25">
      <c r="B431" s="134" t="s">
        <v>1014</v>
      </c>
      <c r="C431" s="142" t="s">
        <v>1015</v>
      </c>
      <c r="D431" s="143">
        <v>572.36400000000003</v>
      </c>
      <c r="E431" s="143">
        <v>113.84</v>
      </c>
      <c r="F431" s="143">
        <f t="shared" si="24"/>
        <v>65157.917760000004</v>
      </c>
      <c r="G431" s="144">
        <f t="shared" si="25"/>
        <v>2.2213957484402461E-3</v>
      </c>
      <c r="H431" s="145">
        <v>1.4757554462403372E-2</v>
      </c>
      <c r="I431" s="144">
        <f t="shared" si="26"/>
        <v>3.2782368740158232E-5</v>
      </c>
      <c r="J431" s="145">
        <v>8.6599999999999996E-2</v>
      </c>
      <c r="K431" s="144">
        <f t="shared" si="27"/>
        <v>1.923728718149253E-4</v>
      </c>
      <c r="M431" s="146"/>
    </row>
    <row r="432" spans="2:13" x14ac:dyDescent="0.25">
      <c r="B432" s="134" t="s">
        <v>1016</v>
      </c>
      <c r="C432" s="142" t="s">
        <v>1017</v>
      </c>
      <c r="D432" s="143">
        <v>592.48400000000004</v>
      </c>
      <c r="E432" s="143">
        <v>58.64</v>
      </c>
      <c r="F432" s="143">
        <f t="shared" si="24"/>
        <v>34743.261760000001</v>
      </c>
      <c r="G432" s="144">
        <f t="shared" si="25"/>
        <v>1.1844843514626545E-3</v>
      </c>
      <c r="H432" s="145">
        <v>3.5470668485675309E-2</v>
      </c>
      <c r="I432" s="144">
        <f t="shared" si="26"/>
        <v>4.2014451757201934E-5</v>
      </c>
      <c r="J432" s="145">
        <v>5.5099999999999996E-2</v>
      </c>
      <c r="K432" s="144">
        <f t="shared" si="27"/>
        <v>6.5265087765592258E-5</v>
      </c>
      <c r="M432" s="146"/>
    </row>
    <row r="433" spans="2:13" x14ac:dyDescent="0.25">
      <c r="B433" s="134" t="s">
        <v>1018</v>
      </c>
      <c r="C433" s="142" t="s">
        <v>1019</v>
      </c>
      <c r="D433" s="143">
        <v>27.445</v>
      </c>
      <c r="E433" s="143">
        <v>2202.25</v>
      </c>
      <c r="F433" s="143">
        <f t="shared" si="24"/>
        <v>60440.751250000001</v>
      </c>
      <c r="G433" s="144" t="str">
        <f t="shared" si="25"/>
        <v/>
      </c>
      <c r="H433" s="145" t="s">
        <v>210</v>
      </c>
      <c r="I433" s="144" t="str">
        <f t="shared" si="26"/>
        <v/>
      </c>
      <c r="J433" s="145">
        <v>0.25409999999999999</v>
      </c>
      <c r="K433" s="144" t="str">
        <f t="shared" si="27"/>
        <v/>
      </c>
      <c r="M433" s="146"/>
    </row>
    <row r="434" spans="2:13" x14ac:dyDescent="0.25">
      <c r="B434" s="134" t="s">
        <v>1020</v>
      </c>
      <c r="C434" s="142" t="s">
        <v>1021</v>
      </c>
      <c r="D434" s="143">
        <v>112.946</v>
      </c>
      <c r="E434" s="143">
        <v>84.42</v>
      </c>
      <c r="F434" s="143">
        <f t="shared" si="24"/>
        <v>9534.9013200000009</v>
      </c>
      <c r="G434" s="144" t="str">
        <f t="shared" si="25"/>
        <v/>
      </c>
      <c r="H434" s="145">
        <v>1.1845534233593935E-2</v>
      </c>
      <c r="I434" s="144" t="str">
        <f t="shared" si="26"/>
        <v/>
      </c>
      <c r="J434" s="145">
        <v>1.5324</v>
      </c>
      <c r="K434" s="144" t="str">
        <f t="shared" si="27"/>
        <v/>
      </c>
      <c r="M434" s="146"/>
    </row>
    <row r="435" spans="2:13" x14ac:dyDescent="0.25">
      <c r="B435" s="134" t="s">
        <v>1022</v>
      </c>
      <c r="C435" s="142" t="s">
        <v>1023</v>
      </c>
      <c r="D435" s="143">
        <v>230.32499999999999</v>
      </c>
      <c r="E435" s="143">
        <v>84.22</v>
      </c>
      <c r="F435" s="143">
        <f t="shared" si="24"/>
        <v>19397.9715</v>
      </c>
      <c r="G435" s="144" t="str">
        <f t="shared" si="25"/>
        <v/>
      </c>
      <c r="H435" s="145" t="s">
        <v>210</v>
      </c>
      <c r="I435" s="144" t="str">
        <f t="shared" si="26"/>
        <v/>
      </c>
      <c r="J435" s="145" t="s">
        <v>210</v>
      </c>
      <c r="K435" s="144" t="str">
        <f t="shared" si="27"/>
        <v/>
      </c>
      <c r="M435" s="146"/>
    </row>
    <row r="436" spans="2:13" x14ac:dyDescent="0.25">
      <c r="B436" s="134" t="s">
        <v>1024</v>
      </c>
      <c r="C436" s="142" t="s">
        <v>1025</v>
      </c>
      <c r="D436" s="143">
        <v>52.591000000000001</v>
      </c>
      <c r="E436" s="143">
        <v>168.02</v>
      </c>
      <c r="F436" s="143">
        <f t="shared" si="24"/>
        <v>8836.3398200000011</v>
      </c>
      <c r="G436" s="144">
        <f t="shared" si="25"/>
        <v>3.0125283899068E-4</v>
      </c>
      <c r="H436" s="145">
        <v>1.7140816569456017E-2</v>
      </c>
      <c r="I436" s="144">
        <f t="shared" si="26"/>
        <v>5.1637196541671134E-6</v>
      </c>
      <c r="J436" s="145">
        <v>0.14599999999999999</v>
      </c>
      <c r="K436" s="144">
        <f t="shared" si="27"/>
        <v>4.3982914492639275E-5</v>
      </c>
      <c r="M436" s="146"/>
    </row>
    <row r="437" spans="2:13" x14ac:dyDescent="0.25">
      <c r="B437" s="134" t="s">
        <v>1026</v>
      </c>
      <c r="C437" s="142" t="s">
        <v>1027</v>
      </c>
      <c r="D437" s="143">
        <v>225.76400000000001</v>
      </c>
      <c r="E437" s="143">
        <v>47.84</v>
      </c>
      <c r="F437" s="143">
        <f t="shared" si="24"/>
        <v>10800.549760000002</v>
      </c>
      <c r="G437" s="144" t="str">
        <f t="shared" si="25"/>
        <v/>
      </c>
      <c r="H437" s="145">
        <v>3.1563545150501672E-2</v>
      </c>
      <c r="I437" s="144" t="str">
        <f t="shared" si="26"/>
        <v/>
      </c>
      <c r="J437" s="145" t="s">
        <v>210</v>
      </c>
      <c r="K437" s="144" t="str">
        <f t="shared" si="27"/>
        <v/>
      </c>
      <c r="M437" s="146"/>
    </row>
    <row r="438" spans="2:13" x14ac:dyDescent="0.25">
      <c r="B438" s="134" t="s">
        <v>1028</v>
      </c>
      <c r="C438" s="142" t="s">
        <v>1029</v>
      </c>
      <c r="D438" s="143">
        <v>930.06500000000005</v>
      </c>
      <c r="E438" s="143">
        <v>16.68</v>
      </c>
      <c r="F438" s="143">
        <f t="shared" si="24"/>
        <v>15513.484200000001</v>
      </c>
      <c r="G438" s="144">
        <f t="shared" si="25"/>
        <v>5.2889332609291364E-4</v>
      </c>
      <c r="H438" s="145">
        <v>5.755395683453237E-2</v>
      </c>
      <c r="I438" s="144">
        <f t="shared" si="26"/>
        <v>3.0439903660023805E-5</v>
      </c>
      <c r="J438" s="145">
        <v>9.8499999999999994E-3</v>
      </c>
      <c r="K438" s="144">
        <f t="shared" si="27"/>
        <v>5.2095992620151993E-6</v>
      </c>
      <c r="M438" s="146"/>
    </row>
    <row r="439" spans="2:13" x14ac:dyDescent="0.25">
      <c r="B439" s="134" t="s">
        <v>1030</v>
      </c>
      <c r="C439" s="142" t="s">
        <v>1031</v>
      </c>
      <c r="D439" s="143">
        <v>1040.441</v>
      </c>
      <c r="E439" s="143">
        <v>55.15</v>
      </c>
      <c r="F439" s="143">
        <f t="shared" si="24"/>
        <v>57380.321150000003</v>
      </c>
      <c r="G439" s="144" t="str">
        <f t="shared" si="25"/>
        <v/>
      </c>
      <c r="H439" s="145" t="s">
        <v>210</v>
      </c>
      <c r="I439" s="144" t="str">
        <f t="shared" si="26"/>
        <v/>
      </c>
      <c r="J439" s="145">
        <v>0.2132</v>
      </c>
      <c r="K439" s="144" t="str">
        <f t="shared" si="27"/>
        <v/>
      </c>
      <c r="M439" s="146"/>
    </row>
    <row r="440" spans="2:13" x14ac:dyDescent="0.25">
      <c r="B440" s="134" t="s">
        <v>1032</v>
      </c>
      <c r="C440" s="142" t="s">
        <v>1033</v>
      </c>
      <c r="D440" s="143">
        <v>326.83499999999998</v>
      </c>
      <c r="E440" s="143">
        <v>35.89</v>
      </c>
      <c r="F440" s="143">
        <f t="shared" si="24"/>
        <v>11730.10815</v>
      </c>
      <c r="G440" s="144">
        <f t="shared" si="25"/>
        <v>3.9990861078667897E-4</v>
      </c>
      <c r="H440" s="145">
        <v>2.2290331568682084E-2</v>
      </c>
      <c r="I440" s="144">
        <f t="shared" si="26"/>
        <v>8.914095531606107E-6</v>
      </c>
      <c r="J440" s="145">
        <v>7.0000000000000007E-2</v>
      </c>
      <c r="K440" s="144">
        <f t="shared" si="27"/>
        <v>2.7993602755067532E-5</v>
      </c>
      <c r="M440" s="146"/>
    </row>
    <row r="441" spans="2:13" x14ac:dyDescent="0.25">
      <c r="B441" s="134" t="s">
        <v>1034</v>
      </c>
      <c r="C441" s="142" t="s">
        <v>1035</v>
      </c>
      <c r="D441" s="143">
        <v>1006.234</v>
      </c>
      <c r="E441" s="143">
        <v>33.75</v>
      </c>
      <c r="F441" s="143">
        <f t="shared" si="24"/>
        <v>33960.397499999999</v>
      </c>
      <c r="G441" s="144">
        <f t="shared" si="25"/>
        <v>1.1577945584404867E-3</v>
      </c>
      <c r="H441" s="145">
        <v>2.3703703703703706E-2</v>
      </c>
      <c r="I441" s="144">
        <f t="shared" si="26"/>
        <v>2.7444019163033763E-5</v>
      </c>
      <c r="J441" s="145">
        <v>0.16</v>
      </c>
      <c r="K441" s="144">
        <f t="shared" si="27"/>
        <v>1.8524712935047788E-4</v>
      </c>
      <c r="M441" s="146"/>
    </row>
    <row r="442" spans="2:13" x14ac:dyDescent="0.25">
      <c r="B442" s="134" t="s">
        <v>1036</v>
      </c>
      <c r="C442" s="142" t="s">
        <v>1037</v>
      </c>
      <c r="D442" s="143">
        <v>133.32499999999999</v>
      </c>
      <c r="E442" s="143">
        <v>136.18</v>
      </c>
      <c r="F442" s="143">
        <f t="shared" si="24"/>
        <v>18156.198499999999</v>
      </c>
      <c r="G442" s="144">
        <f t="shared" si="25"/>
        <v>6.1899004053958225E-4</v>
      </c>
      <c r="H442" s="145" t="s">
        <v>210</v>
      </c>
      <c r="I442" s="144" t="str">
        <f t="shared" si="26"/>
        <v/>
      </c>
      <c r="J442" s="145">
        <v>0.17499999999999999</v>
      </c>
      <c r="K442" s="144">
        <f t="shared" si="27"/>
        <v>1.0832325709442688E-4</v>
      </c>
      <c r="M442" s="146"/>
    </row>
    <row r="443" spans="2:13" x14ac:dyDescent="0.25">
      <c r="B443" s="134" t="s">
        <v>1038</v>
      </c>
      <c r="C443" s="142" t="s">
        <v>1039</v>
      </c>
      <c r="D443" s="143">
        <v>191.05699999999999</v>
      </c>
      <c r="E443" s="143">
        <v>75.150000000000006</v>
      </c>
      <c r="F443" s="143">
        <f t="shared" si="24"/>
        <v>14357.93355</v>
      </c>
      <c r="G443" s="144" t="str">
        <f t="shared" si="25"/>
        <v/>
      </c>
      <c r="H443" s="145">
        <v>2.1290751829673986E-2</v>
      </c>
      <c r="I443" s="144" t="str">
        <f t="shared" si="26"/>
        <v/>
      </c>
      <c r="J443" s="145">
        <v>0.46</v>
      </c>
      <c r="K443" s="144" t="str">
        <f t="shared" si="27"/>
        <v/>
      </c>
      <c r="M443" s="146"/>
    </row>
    <row r="444" spans="2:13" x14ac:dyDescent="0.25">
      <c r="B444" s="134" t="s">
        <v>1040</v>
      </c>
      <c r="C444" s="142" t="s">
        <v>1041</v>
      </c>
      <c r="D444" s="143">
        <v>137.506</v>
      </c>
      <c r="E444" s="143">
        <v>107.32</v>
      </c>
      <c r="F444" s="143">
        <f t="shared" si="24"/>
        <v>14757.143919999999</v>
      </c>
      <c r="G444" s="144">
        <f t="shared" si="25"/>
        <v>5.0310780162979871E-4</v>
      </c>
      <c r="H444" s="145">
        <v>1.4163250093179277E-2</v>
      </c>
      <c r="I444" s="144">
        <f t="shared" si="26"/>
        <v>7.1256416183124679E-6</v>
      </c>
      <c r="J444" s="145">
        <v>8.1199999999999994E-2</v>
      </c>
      <c r="K444" s="144">
        <f t="shared" si="27"/>
        <v>4.0852353492339649E-5</v>
      </c>
      <c r="M444" s="146"/>
    </row>
    <row r="445" spans="2:13" x14ac:dyDescent="0.25">
      <c r="B445" s="134" t="s">
        <v>950</v>
      </c>
      <c r="C445" s="142" t="s">
        <v>1042</v>
      </c>
      <c r="D445" s="143">
        <v>306.71899999999999</v>
      </c>
      <c r="E445" s="143">
        <v>36</v>
      </c>
      <c r="F445" s="143">
        <f t="shared" si="24"/>
        <v>11041.884</v>
      </c>
      <c r="G445" s="144">
        <f t="shared" si="25"/>
        <v>3.7644533489724545E-4</v>
      </c>
      <c r="H445" s="145">
        <v>2.7777777777777776E-2</v>
      </c>
      <c r="I445" s="144">
        <f t="shared" si="26"/>
        <v>1.0456814858256818E-5</v>
      </c>
      <c r="J445" s="145">
        <v>7.1999999999999998E-3</v>
      </c>
      <c r="K445" s="144">
        <f t="shared" si="27"/>
        <v>2.710406411260167E-6</v>
      </c>
      <c r="M445" s="146"/>
    </row>
    <row r="446" spans="2:13" x14ac:dyDescent="0.25">
      <c r="B446" s="134" t="s">
        <v>1043</v>
      </c>
      <c r="C446" s="142" t="s">
        <v>1044</v>
      </c>
      <c r="D446" s="143">
        <v>5725</v>
      </c>
      <c r="E446" s="143">
        <v>133.91999999999999</v>
      </c>
      <c r="F446" s="143">
        <f t="shared" si="24"/>
        <v>766691.99999999988</v>
      </c>
      <c r="G446" s="144">
        <f t="shared" si="25"/>
        <v>2.6138440387803281E-2</v>
      </c>
      <c r="H446" s="145" t="s">
        <v>210</v>
      </c>
      <c r="I446" s="144" t="str">
        <f t="shared" si="26"/>
        <v/>
      </c>
      <c r="J446" s="145">
        <v>0.16649999999999998</v>
      </c>
      <c r="K446" s="144">
        <f t="shared" si="27"/>
        <v>4.3520503245692461E-3</v>
      </c>
      <c r="M446" s="146"/>
    </row>
    <row r="447" spans="2:13" x14ac:dyDescent="0.25">
      <c r="B447" s="134" t="s">
        <v>1045</v>
      </c>
      <c r="C447" s="142" t="s">
        <v>1046</v>
      </c>
      <c r="D447" s="143">
        <v>106.84399999999999</v>
      </c>
      <c r="E447" s="143">
        <v>157.78</v>
      </c>
      <c r="F447" s="143">
        <f t="shared" si="24"/>
        <v>16857.846320000001</v>
      </c>
      <c r="G447" s="144" t="str">
        <f t="shared" si="25"/>
        <v/>
      </c>
      <c r="H447" s="145" t="s">
        <v>210</v>
      </c>
      <c r="I447" s="144" t="str">
        <f t="shared" si="26"/>
        <v/>
      </c>
      <c r="J447" s="145">
        <v>0.43219999999999997</v>
      </c>
      <c r="K447" s="144" t="str">
        <f t="shared" si="27"/>
        <v/>
      </c>
      <c r="M447" s="146"/>
    </row>
    <row r="448" spans="2:13" x14ac:dyDescent="0.25">
      <c r="B448" s="134" t="s">
        <v>1047</v>
      </c>
      <c r="C448" s="142" t="s">
        <v>1048</v>
      </c>
      <c r="D448" s="143">
        <v>310.779</v>
      </c>
      <c r="E448" s="143">
        <v>131</v>
      </c>
      <c r="F448" s="143">
        <f t="shared" si="24"/>
        <v>40712.048999999999</v>
      </c>
      <c r="G448" s="144" t="str">
        <f t="shared" si="25"/>
        <v/>
      </c>
      <c r="H448" s="145">
        <v>1.801526717557252E-2</v>
      </c>
      <c r="I448" s="144" t="str">
        <f t="shared" si="26"/>
        <v/>
      </c>
      <c r="J448" s="145" t="s">
        <v>210</v>
      </c>
      <c r="K448" s="144" t="str">
        <f t="shared" si="27"/>
        <v/>
      </c>
      <c r="M448" s="146"/>
    </row>
    <row r="449" spans="2:13" x14ac:dyDescent="0.25">
      <c r="B449" s="134" t="s">
        <v>1049</v>
      </c>
      <c r="C449" s="142" t="s">
        <v>1050</v>
      </c>
      <c r="D449" s="143">
        <v>250.05799999999999</v>
      </c>
      <c r="E449" s="143">
        <v>93</v>
      </c>
      <c r="F449" s="143">
        <f t="shared" si="24"/>
        <v>23255.394</v>
      </c>
      <c r="G449" s="144" t="str">
        <f t="shared" si="25"/>
        <v/>
      </c>
      <c r="H449" s="145">
        <v>3.0107526881720428E-2</v>
      </c>
      <c r="I449" s="144" t="str">
        <f t="shared" si="26"/>
        <v/>
      </c>
      <c r="J449" s="145">
        <v>0.56159999999999999</v>
      </c>
      <c r="K449" s="144" t="str">
        <f t="shared" si="27"/>
        <v/>
      </c>
      <c r="M449" s="146"/>
    </row>
    <row r="450" spans="2:13" x14ac:dyDescent="0.25">
      <c r="B450" s="134" t="s">
        <v>1051</v>
      </c>
      <c r="C450" s="142" t="s">
        <v>1052</v>
      </c>
      <c r="D450" s="143">
        <v>1580.68</v>
      </c>
      <c r="E450" s="143">
        <v>256.68</v>
      </c>
      <c r="F450" s="143">
        <f t="shared" si="24"/>
        <v>405728.9424</v>
      </c>
      <c r="G450" s="144">
        <f t="shared" si="25"/>
        <v>1.3832310464344055E-2</v>
      </c>
      <c r="H450" s="145">
        <v>8.1034751441483553E-3</v>
      </c>
      <c r="I450" s="144">
        <f t="shared" si="26"/>
        <v>1.1208978403395525E-4</v>
      </c>
      <c r="J450" s="145">
        <v>0.14319999999999999</v>
      </c>
      <c r="K450" s="144">
        <f t="shared" si="27"/>
        <v>1.9807868584940684E-3</v>
      </c>
      <c r="M450" s="146"/>
    </row>
    <row r="451" spans="2:13" x14ac:dyDescent="0.25">
      <c r="B451" s="134" t="s">
        <v>1053</v>
      </c>
      <c r="C451" s="142" t="s">
        <v>1054</v>
      </c>
      <c r="D451" s="143">
        <v>116.688</v>
      </c>
      <c r="E451" s="143">
        <v>124.48</v>
      </c>
      <c r="F451" s="143">
        <f t="shared" si="24"/>
        <v>14525.322240000001</v>
      </c>
      <c r="G451" s="144">
        <f t="shared" si="25"/>
        <v>4.9520442300672672E-4</v>
      </c>
      <c r="H451" s="145">
        <v>4.4987146529562975E-2</v>
      </c>
      <c r="I451" s="144">
        <f t="shared" si="26"/>
        <v>2.2277833939891301E-5</v>
      </c>
      <c r="J451" s="145">
        <v>1.77E-2</v>
      </c>
      <c r="K451" s="144">
        <f t="shared" si="27"/>
        <v>8.7651182872190632E-6</v>
      </c>
      <c r="M451" s="146"/>
    </row>
    <row r="452" spans="2:13" x14ac:dyDescent="0.25">
      <c r="B452" s="134" t="s">
        <v>1055</v>
      </c>
      <c r="C452" s="142" t="s">
        <v>1056</v>
      </c>
      <c r="D452" s="143">
        <v>241.078</v>
      </c>
      <c r="E452" s="143">
        <v>105.13</v>
      </c>
      <c r="F452" s="143">
        <f t="shared" si="24"/>
        <v>25344.530139999999</v>
      </c>
      <c r="G452" s="144" t="str">
        <f t="shared" si="25"/>
        <v/>
      </c>
      <c r="H452" s="145">
        <v>1.2555883192238182E-2</v>
      </c>
      <c r="I452" s="144" t="str">
        <f t="shared" si="26"/>
        <v/>
      </c>
      <c r="J452" s="145" t="s">
        <v>210</v>
      </c>
      <c r="K452" s="144" t="str">
        <f t="shared" si="27"/>
        <v/>
      </c>
      <c r="M452" s="146"/>
    </row>
    <row r="453" spans="2:13" x14ac:dyDescent="0.25">
      <c r="B453" s="134" t="s">
        <v>1057</v>
      </c>
      <c r="C453" s="142" t="s">
        <v>1058</v>
      </c>
      <c r="D453" s="143">
        <v>379.697</v>
      </c>
      <c r="E453" s="143">
        <v>149.19</v>
      </c>
      <c r="F453" s="143">
        <f t="shared" si="24"/>
        <v>56646.995430000003</v>
      </c>
      <c r="G453" s="144" t="str">
        <f t="shared" si="25"/>
        <v/>
      </c>
      <c r="H453" s="145">
        <v>2.2119445003016287E-2</v>
      </c>
      <c r="I453" s="144" t="str">
        <f t="shared" si="26"/>
        <v/>
      </c>
      <c r="J453" s="145" t="s">
        <v>210</v>
      </c>
      <c r="K453" s="144" t="str">
        <f t="shared" si="27"/>
        <v/>
      </c>
      <c r="M453" s="146"/>
    </row>
    <row r="454" spans="2:13" x14ac:dyDescent="0.25">
      <c r="B454" s="134" t="s">
        <v>1059</v>
      </c>
      <c r="C454" s="142" t="s">
        <v>1060</v>
      </c>
      <c r="D454" s="143">
        <v>1615.499</v>
      </c>
      <c r="E454" s="143">
        <v>121.16</v>
      </c>
      <c r="F454" s="143">
        <f t="shared" si="24"/>
        <v>195733.85884</v>
      </c>
      <c r="G454" s="144" t="str">
        <f t="shared" si="25"/>
        <v/>
      </c>
      <c r="H454" s="145" t="s">
        <v>210</v>
      </c>
      <c r="I454" s="144" t="str">
        <f t="shared" si="26"/>
        <v/>
      </c>
      <c r="J454" s="145">
        <v>0.30649999999999999</v>
      </c>
      <c r="K454" s="144" t="str">
        <f t="shared" si="27"/>
        <v/>
      </c>
      <c r="M454" s="146"/>
    </row>
    <row r="455" spans="2:13" x14ac:dyDescent="0.25">
      <c r="B455" s="134" t="s">
        <v>1061</v>
      </c>
      <c r="C455" s="142" t="s">
        <v>1062</v>
      </c>
      <c r="D455" s="143">
        <v>108.114</v>
      </c>
      <c r="E455" s="143">
        <v>203.01</v>
      </c>
      <c r="F455" s="143">
        <f t="shared" si="24"/>
        <v>21948.223139999998</v>
      </c>
      <c r="G455" s="144">
        <f t="shared" si="25"/>
        <v>7.482696078256909E-4</v>
      </c>
      <c r="H455" s="145">
        <v>2.0294566770109847E-2</v>
      </c>
      <c r="I455" s="144">
        <f t="shared" si="26"/>
        <v>1.5185807518062395E-5</v>
      </c>
      <c r="J455" s="145">
        <v>3.805E-2</v>
      </c>
      <c r="K455" s="144">
        <f t="shared" si="27"/>
        <v>2.8471658577767539E-5</v>
      </c>
      <c r="M455" s="146"/>
    </row>
    <row r="456" spans="2:13" x14ac:dyDescent="0.25">
      <c r="B456" s="134" t="s">
        <v>1063</v>
      </c>
      <c r="C456" s="142" t="s">
        <v>1064</v>
      </c>
      <c r="D456" s="143">
        <v>147.09200000000001</v>
      </c>
      <c r="E456" s="143">
        <v>157.72999999999999</v>
      </c>
      <c r="F456" s="143">
        <f t="shared" si="24"/>
        <v>23200.82116</v>
      </c>
      <c r="G456" s="144" t="str">
        <f t="shared" si="25"/>
        <v/>
      </c>
      <c r="H456" s="145">
        <v>1.2172700183858493E-2</v>
      </c>
      <c r="I456" s="144" t="str">
        <f t="shared" si="26"/>
        <v/>
      </c>
      <c r="J456" s="145" t="s">
        <v>210</v>
      </c>
      <c r="K456" s="144" t="str">
        <f t="shared" si="27"/>
        <v/>
      </c>
      <c r="M456" s="146"/>
    </row>
    <row r="457" spans="2:13" x14ac:dyDescent="0.25">
      <c r="B457" s="134" t="s">
        <v>1065</v>
      </c>
      <c r="C457" s="142" t="s">
        <v>1066</v>
      </c>
      <c r="D457" s="143">
        <v>21.684000000000001</v>
      </c>
      <c r="E457" s="143">
        <v>1091.93</v>
      </c>
      <c r="F457" s="143">
        <f t="shared" si="24"/>
        <v>23677.410120000004</v>
      </c>
      <c r="G457" s="144">
        <f t="shared" si="25"/>
        <v>8.0722190000572631E-4</v>
      </c>
      <c r="H457" s="145" t="s">
        <v>210</v>
      </c>
      <c r="I457" s="144" t="str">
        <f t="shared" si="26"/>
        <v/>
      </c>
      <c r="J457" s="145">
        <v>5.0099999999999999E-2</v>
      </c>
      <c r="K457" s="144">
        <f t="shared" si="27"/>
        <v>4.044181719028689E-5</v>
      </c>
      <c r="M457" s="146"/>
    </row>
    <row r="458" spans="2:13" x14ac:dyDescent="0.25">
      <c r="B458" s="134" t="s">
        <v>1067</v>
      </c>
      <c r="C458" s="142" t="s">
        <v>1068</v>
      </c>
      <c r="D458" s="143">
        <v>126.024</v>
      </c>
      <c r="E458" s="143">
        <v>127.18</v>
      </c>
      <c r="F458" s="143">
        <f t="shared" si="24"/>
        <v>16027.732320000001</v>
      </c>
      <c r="G458" s="144">
        <f t="shared" si="25"/>
        <v>5.4642532568226622E-4</v>
      </c>
      <c r="H458" s="145">
        <v>8.1773863815065261E-3</v>
      </c>
      <c r="I458" s="144">
        <f t="shared" si="26"/>
        <v>4.4683310167444318E-6</v>
      </c>
      <c r="J458" s="145">
        <v>0.1231</v>
      </c>
      <c r="K458" s="144">
        <f t="shared" si="27"/>
        <v>6.7264957591486966E-5</v>
      </c>
      <c r="M458" s="146"/>
    </row>
    <row r="459" spans="2:13" x14ac:dyDescent="0.25">
      <c r="B459" s="134" t="s">
        <v>1069</v>
      </c>
      <c r="C459" s="142" t="s">
        <v>1070</v>
      </c>
      <c r="D459" s="143">
        <v>960.23099999999999</v>
      </c>
      <c r="E459" s="143">
        <v>50.22</v>
      </c>
      <c r="F459" s="143">
        <f t="shared" si="24"/>
        <v>48222.800819999997</v>
      </c>
      <c r="G459" s="144" t="str">
        <f t="shared" si="25"/>
        <v/>
      </c>
      <c r="H459" s="145" t="s">
        <v>210</v>
      </c>
      <c r="I459" s="144" t="str">
        <f t="shared" si="26"/>
        <v/>
      </c>
      <c r="J459" s="145" t="s">
        <v>210</v>
      </c>
      <c r="K459" s="144" t="str">
        <f t="shared" si="27"/>
        <v/>
      </c>
      <c r="M459" s="146"/>
    </row>
    <row r="460" spans="2:13" x14ac:dyDescent="0.25">
      <c r="B460" s="134" t="s">
        <v>1071</v>
      </c>
      <c r="C460" s="142" t="s">
        <v>1072</v>
      </c>
      <c r="D460" s="143">
        <v>1034.5319999999999</v>
      </c>
      <c r="E460" s="143">
        <v>29.89</v>
      </c>
      <c r="F460" s="143">
        <f t="shared" si="24"/>
        <v>30922.161479999999</v>
      </c>
      <c r="G460" s="144">
        <f t="shared" si="25"/>
        <v>1.0542135231709827E-3</v>
      </c>
      <c r="H460" s="145">
        <v>5.5536968885915021E-2</v>
      </c>
      <c r="I460" s="144">
        <f t="shared" si="26"/>
        <v>5.8547823635457722E-5</v>
      </c>
      <c r="J460" s="145">
        <v>7.0900000000000005E-2</v>
      </c>
      <c r="K460" s="144">
        <f t="shared" si="27"/>
        <v>7.4743738792822681E-5</v>
      </c>
      <c r="M460" s="146"/>
    </row>
    <row r="461" spans="2:13" x14ac:dyDescent="0.25">
      <c r="B461" s="134" t="s">
        <v>1073</v>
      </c>
      <c r="C461" s="142" t="s">
        <v>1074</v>
      </c>
      <c r="D461" s="143">
        <v>767.91</v>
      </c>
      <c r="E461" s="143">
        <v>52.56</v>
      </c>
      <c r="F461" s="143">
        <f t="shared" si="24"/>
        <v>40361.349600000001</v>
      </c>
      <c r="G461" s="144">
        <f t="shared" si="25"/>
        <v>1.3760189626223934E-3</v>
      </c>
      <c r="H461" s="145" t="s">
        <v>210</v>
      </c>
      <c r="I461" s="144" t="str">
        <f t="shared" si="26"/>
        <v/>
      </c>
      <c r="J461" s="145">
        <v>0.15032999999999999</v>
      </c>
      <c r="K461" s="144">
        <f t="shared" si="27"/>
        <v>2.068569306510244E-4</v>
      </c>
      <c r="M461" s="146"/>
    </row>
    <row r="462" spans="2:13" x14ac:dyDescent="0.25">
      <c r="B462" s="134" t="s">
        <v>1075</v>
      </c>
      <c r="C462" s="142" t="s">
        <v>1076</v>
      </c>
      <c r="D462" s="143">
        <v>117.35299999999999</v>
      </c>
      <c r="E462" s="143">
        <v>121.27</v>
      </c>
      <c r="F462" s="143">
        <f t="shared" si="24"/>
        <v>14231.398309999999</v>
      </c>
      <c r="G462" s="144">
        <f t="shared" si="25"/>
        <v>4.8518382396192916E-4</v>
      </c>
      <c r="H462" s="145">
        <v>1.3193700008246064E-2</v>
      </c>
      <c r="I462" s="144">
        <f t="shared" si="26"/>
        <v>6.4013698222073615E-6</v>
      </c>
      <c r="J462" s="145">
        <v>0.18792999999999999</v>
      </c>
      <c r="K462" s="144">
        <f t="shared" si="27"/>
        <v>9.1180596037165334E-5</v>
      </c>
      <c r="M462" s="146"/>
    </row>
    <row r="463" spans="2:13" x14ac:dyDescent="0.25">
      <c r="B463" s="134" t="s">
        <v>1077</v>
      </c>
      <c r="C463" s="142" t="s">
        <v>1078</v>
      </c>
      <c r="D463" s="143">
        <v>381.28399999999999</v>
      </c>
      <c r="E463" s="143">
        <v>77.7</v>
      </c>
      <c r="F463" s="143">
        <f t="shared" si="24"/>
        <v>29625.766800000001</v>
      </c>
      <c r="G463" s="144" t="str">
        <f t="shared" si="25"/>
        <v/>
      </c>
      <c r="H463" s="145" t="s">
        <v>210</v>
      </c>
      <c r="I463" s="144" t="str">
        <f t="shared" si="26"/>
        <v/>
      </c>
      <c r="J463" s="145">
        <v>-0.29330000000000001</v>
      </c>
      <c r="K463" s="144" t="str">
        <f t="shared" si="27"/>
        <v/>
      </c>
      <c r="M463" s="146"/>
    </row>
    <row r="464" spans="2:13" x14ac:dyDescent="0.25">
      <c r="B464" s="134" t="s">
        <v>1079</v>
      </c>
      <c r="C464" s="142" t="s">
        <v>1080</v>
      </c>
      <c r="D464" s="143">
        <v>64.183000000000007</v>
      </c>
      <c r="E464" s="143">
        <v>213.46</v>
      </c>
      <c r="F464" s="143">
        <f t="shared" si="24"/>
        <v>13700.503180000002</v>
      </c>
      <c r="G464" s="144">
        <f t="shared" si="25"/>
        <v>4.6708428632793791E-4</v>
      </c>
      <c r="H464" s="145">
        <v>4.3286798463412351E-2</v>
      </c>
      <c r="I464" s="144">
        <f t="shared" si="26"/>
        <v>2.0218583367704236E-5</v>
      </c>
      <c r="J464" s="145">
        <v>5.7099999999999998E-2</v>
      </c>
      <c r="K464" s="144">
        <f t="shared" si="27"/>
        <v>2.6670512749325255E-5</v>
      </c>
      <c r="M464" s="146"/>
    </row>
    <row r="465" spans="2:13" x14ac:dyDescent="0.25">
      <c r="B465" s="134" t="s">
        <v>1081</v>
      </c>
      <c r="C465" s="142" t="s">
        <v>1082</v>
      </c>
      <c r="D465" s="143">
        <v>408.363</v>
      </c>
      <c r="E465" s="143">
        <v>83.04</v>
      </c>
      <c r="F465" s="143">
        <f t="shared" si="24"/>
        <v>33910.463520000005</v>
      </c>
      <c r="G465" s="144">
        <f t="shared" si="25"/>
        <v>1.1560921846586348E-3</v>
      </c>
      <c r="H465" s="145" t="s">
        <v>210</v>
      </c>
      <c r="I465" s="144" t="str">
        <f t="shared" si="26"/>
        <v/>
      </c>
      <c r="J465" s="145">
        <v>0.2</v>
      </c>
      <c r="K465" s="144">
        <f t="shared" si="27"/>
        <v>2.3121843693172696E-4</v>
      </c>
      <c r="M465" s="146"/>
    </row>
    <row r="466" spans="2:13" x14ac:dyDescent="0.25">
      <c r="B466" s="134" t="s">
        <v>1083</v>
      </c>
      <c r="C466" s="142" t="s">
        <v>1084</v>
      </c>
      <c r="D466" s="143">
        <v>723.92399999999998</v>
      </c>
      <c r="E466" s="143">
        <v>53.96</v>
      </c>
      <c r="F466" s="143">
        <f t="shared" si="24"/>
        <v>39062.939039999997</v>
      </c>
      <c r="G466" s="144">
        <f t="shared" si="25"/>
        <v>1.3317529118204358E-3</v>
      </c>
      <c r="H466" s="145">
        <v>5.6931060044477393E-2</v>
      </c>
      <c r="I466" s="144">
        <f t="shared" si="26"/>
        <v>7.5818104987256842E-5</v>
      </c>
      <c r="J466" s="145">
        <v>6.8000000000000005E-3</v>
      </c>
      <c r="K466" s="144">
        <f t="shared" si="27"/>
        <v>9.0559198003789649E-6</v>
      </c>
      <c r="M466" s="146"/>
    </row>
    <row r="467" spans="2:13" x14ac:dyDescent="0.25">
      <c r="B467" s="134" t="s">
        <v>1085</v>
      </c>
      <c r="C467" s="142" t="s">
        <v>1086</v>
      </c>
      <c r="D467" s="143">
        <v>256.46899999999999</v>
      </c>
      <c r="E467" s="143">
        <v>41.17</v>
      </c>
      <c r="F467" s="143">
        <f t="shared" si="24"/>
        <v>10558.828730000001</v>
      </c>
      <c r="G467" s="144">
        <f t="shared" si="25"/>
        <v>3.5997677727709395E-4</v>
      </c>
      <c r="H467" s="145">
        <v>2.9390332766577602E-2</v>
      </c>
      <c r="I467" s="144">
        <f t="shared" si="26"/>
        <v>1.0579837272413981E-5</v>
      </c>
      <c r="J467" s="145">
        <v>4.2000000000000003E-2</v>
      </c>
      <c r="K467" s="144">
        <f t="shared" si="27"/>
        <v>1.5119024645637946E-5</v>
      </c>
      <c r="M467" s="146"/>
    </row>
    <row r="468" spans="2:13" x14ac:dyDescent="0.25">
      <c r="B468" s="134" t="s">
        <v>1087</v>
      </c>
      <c r="C468" s="142" t="s">
        <v>1088</v>
      </c>
      <c r="D468" s="143">
        <v>179.15899999999999</v>
      </c>
      <c r="E468" s="143">
        <v>116.56</v>
      </c>
      <c r="F468" s="143">
        <f t="shared" si="24"/>
        <v>20882.77304</v>
      </c>
      <c r="G468" s="144">
        <f t="shared" si="25"/>
        <v>7.1194575949411968E-4</v>
      </c>
      <c r="H468" s="145">
        <v>5.8339052848318468E-3</v>
      </c>
      <c r="I468" s="144">
        <f t="shared" si="26"/>
        <v>4.1534241288263681E-6</v>
      </c>
      <c r="J468" s="145">
        <v>0.12855</v>
      </c>
      <c r="K468" s="144">
        <f t="shared" si="27"/>
        <v>9.1520627382969081E-5</v>
      </c>
      <c r="M468" s="146"/>
    </row>
    <row r="469" spans="2:13" x14ac:dyDescent="0.25">
      <c r="B469" s="134" t="s">
        <v>1089</v>
      </c>
      <c r="C469" s="142" t="s">
        <v>1090</v>
      </c>
      <c r="D469" s="143">
        <v>38.679000000000002</v>
      </c>
      <c r="E469" s="143">
        <v>347.32</v>
      </c>
      <c r="F469" s="143">
        <f t="shared" ref="F469:F521" si="28">IFERROR(D469*E469,"")</f>
        <v>13433.99028</v>
      </c>
      <c r="G469" s="144" t="str">
        <f t="shared" ref="G469:G521" si="29">IF(AND(ISNUMBER($J469)), IF(AND($J469&lt;=20%,$J469&gt;0%), $F469/SUMIFS($F$20:$F$521,$J$20:$J$521, "&gt;"&amp;0%,$J$20:$J$521, "&lt;="&amp;20%),""),"")</f>
        <v/>
      </c>
      <c r="H469" s="145">
        <v>1.2668432569388462E-2</v>
      </c>
      <c r="I469" s="144" t="str">
        <f t="shared" ref="I469:I521" si="30">IFERROR($H469*$G469,"")</f>
        <v/>
      </c>
      <c r="J469" s="145">
        <v>-5.4900000000000004E-2</v>
      </c>
      <c r="K469" s="144" t="str">
        <f t="shared" ref="K469:K521" si="31">IFERROR($J469*$G469,"")</f>
        <v/>
      </c>
      <c r="M469" s="146"/>
    </row>
    <row r="470" spans="2:13" x14ac:dyDescent="0.25">
      <c r="B470" s="134" t="s">
        <v>1091</v>
      </c>
      <c r="C470" s="142" t="s">
        <v>1092</v>
      </c>
      <c r="D470" s="143">
        <v>324.24299999999999</v>
      </c>
      <c r="E470" s="143">
        <v>48.31</v>
      </c>
      <c r="F470" s="143">
        <f t="shared" si="28"/>
        <v>15664.179330000001</v>
      </c>
      <c r="G470" s="144" t="str">
        <f t="shared" si="29"/>
        <v/>
      </c>
      <c r="H470" s="145" t="s">
        <v>210</v>
      </c>
      <c r="I470" s="144" t="str">
        <f t="shared" si="30"/>
        <v/>
      </c>
      <c r="J470" s="145">
        <v>-0.11955</v>
      </c>
      <c r="K470" s="144" t="str">
        <f t="shared" si="31"/>
        <v/>
      </c>
      <c r="M470" s="146"/>
    </row>
    <row r="471" spans="2:13" x14ac:dyDescent="0.25">
      <c r="B471" s="134" t="s">
        <v>1093</v>
      </c>
      <c r="C471" s="142" t="s">
        <v>1094</v>
      </c>
      <c r="D471" s="143">
        <v>1374.864</v>
      </c>
      <c r="E471" s="143">
        <v>168.29</v>
      </c>
      <c r="F471" s="143">
        <f t="shared" si="28"/>
        <v>231375.86256000001</v>
      </c>
      <c r="G471" s="144">
        <f t="shared" si="29"/>
        <v>7.8881795958496061E-3</v>
      </c>
      <c r="H471" s="145">
        <v>3.0067145997979678E-2</v>
      </c>
      <c r="I471" s="144">
        <f t="shared" si="30"/>
        <v>2.3717504756669443E-4</v>
      </c>
      <c r="J471" s="145">
        <v>8.6999999999999994E-2</v>
      </c>
      <c r="K471" s="144">
        <f t="shared" si="31"/>
        <v>6.8627162483891565E-4</v>
      </c>
      <c r="M471" s="146"/>
    </row>
    <row r="472" spans="2:13" x14ac:dyDescent="0.25">
      <c r="B472" s="134" t="s">
        <v>1095</v>
      </c>
      <c r="C472" s="142" t="s">
        <v>1096</v>
      </c>
      <c r="D472" s="143">
        <v>178.98500000000001</v>
      </c>
      <c r="E472" s="143">
        <v>154.41</v>
      </c>
      <c r="F472" s="143">
        <f t="shared" si="28"/>
        <v>27637.073850000001</v>
      </c>
      <c r="G472" s="144" t="str">
        <f t="shared" si="29"/>
        <v/>
      </c>
      <c r="H472" s="145">
        <v>8.7300045333851439E-2</v>
      </c>
      <c r="I472" s="144" t="str">
        <f t="shared" si="30"/>
        <v/>
      </c>
      <c r="J472" s="145">
        <v>0.21940000000000001</v>
      </c>
      <c r="K472" s="144" t="str">
        <f t="shared" si="31"/>
        <v/>
      </c>
      <c r="M472" s="146"/>
    </row>
    <row r="473" spans="2:13" x14ac:dyDescent="0.25">
      <c r="B473" s="134" t="s">
        <v>1097</v>
      </c>
      <c r="C473" s="142" t="s">
        <v>1098</v>
      </c>
      <c r="D473" s="143">
        <v>315.3</v>
      </c>
      <c r="E473" s="143">
        <v>295.08999999999997</v>
      </c>
      <c r="F473" s="143">
        <f t="shared" si="28"/>
        <v>93041.876999999993</v>
      </c>
      <c r="G473" s="144" t="str">
        <f t="shared" si="29"/>
        <v/>
      </c>
      <c r="H473" s="145" t="s">
        <v>210</v>
      </c>
      <c r="I473" s="144" t="str">
        <f t="shared" si="30"/>
        <v/>
      </c>
      <c r="J473" s="145">
        <v>0.3</v>
      </c>
      <c r="K473" s="144" t="str">
        <f t="shared" si="31"/>
        <v/>
      </c>
      <c r="M473" s="146"/>
    </row>
    <row r="474" spans="2:13" x14ac:dyDescent="0.25">
      <c r="B474" s="134" t="s">
        <v>1099</v>
      </c>
      <c r="C474" s="142" t="s">
        <v>1100</v>
      </c>
      <c r="D474" s="143">
        <v>205</v>
      </c>
      <c r="E474" s="143">
        <v>685.74</v>
      </c>
      <c r="F474" s="143">
        <f t="shared" si="28"/>
        <v>140576.70000000001</v>
      </c>
      <c r="G474" s="144" t="str">
        <f t="shared" si="29"/>
        <v/>
      </c>
      <c r="H474" s="145" t="s">
        <v>210</v>
      </c>
      <c r="I474" s="144" t="str">
        <f t="shared" si="30"/>
        <v/>
      </c>
      <c r="J474" s="145" t="s">
        <v>210</v>
      </c>
      <c r="K474" s="144" t="str">
        <f t="shared" si="31"/>
        <v/>
      </c>
      <c r="M474" s="146"/>
    </row>
    <row r="475" spans="2:13" x14ac:dyDescent="0.25">
      <c r="B475" s="134" t="s">
        <v>1101</v>
      </c>
      <c r="C475" s="142" t="s">
        <v>1102</v>
      </c>
      <c r="D475" s="143">
        <v>246.38200000000001</v>
      </c>
      <c r="E475" s="143">
        <v>96.63</v>
      </c>
      <c r="F475" s="143">
        <f t="shared" si="28"/>
        <v>23807.892659999998</v>
      </c>
      <c r="G475" s="144">
        <f t="shared" si="29"/>
        <v>8.1167037487365112E-4</v>
      </c>
      <c r="H475" s="145">
        <v>1.1280140743040465E-2</v>
      </c>
      <c r="I475" s="144">
        <f t="shared" si="30"/>
        <v>9.1557560655311996E-6</v>
      </c>
      <c r="J475" s="145">
        <v>5.9450000000000003E-2</v>
      </c>
      <c r="K475" s="144">
        <f t="shared" si="31"/>
        <v>4.8253803786238564E-5</v>
      </c>
      <c r="M475" s="146"/>
    </row>
    <row r="476" spans="2:13" x14ac:dyDescent="0.25">
      <c r="B476" s="134" t="s">
        <v>1103</v>
      </c>
      <c r="C476" s="142" t="s">
        <v>1104</v>
      </c>
      <c r="D476" s="143">
        <v>81.617999999999995</v>
      </c>
      <c r="E476" s="143">
        <v>95.59</v>
      </c>
      <c r="F476" s="143">
        <f t="shared" si="28"/>
        <v>7801.8646199999994</v>
      </c>
      <c r="G476" s="144">
        <f t="shared" si="29"/>
        <v>2.6598500216981722E-4</v>
      </c>
      <c r="H476" s="145">
        <v>4.5611465634480597E-2</v>
      </c>
      <c r="I476" s="144">
        <f t="shared" si="30"/>
        <v>1.2131965785755866E-5</v>
      </c>
      <c r="J476" s="145">
        <v>5.7699999999999994E-2</v>
      </c>
      <c r="K476" s="144">
        <f t="shared" si="31"/>
        <v>1.5347334625198451E-5</v>
      </c>
      <c r="M476" s="146"/>
    </row>
    <row r="477" spans="2:13" x14ac:dyDescent="0.25">
      <c r="B477" s="134" t="s">
        <v>1105</v>
      </c>
      <c r="C477" s="142" t="s">
        <v>1106</v>
      </c>
      <c r="D477" s="143">
        <v>341.58300000000003</v>
      </c>
      <c r="E477" s="143">
        <v>39.44</v>
      </c>
      <c r="F477" s="143">
        <f t="shared" si="28"/>
        <v>13472.033520000001</v>
      </c>
      <c r="G477" s="144" t="str">
        <f t="shared" si="29"/>
        <v/>
      </c>
      <c r="H477" s="145" t="s">
        <v>210</v>
      </c>
      <c r="I477" s="144" t="str">
        <f t="shared" si="30"/>
        <v/>
      </c>
      <c r="J477" s="145" t="s">
        <v>210</v>
      </c>
      <c r="K477" s="144" t="str">
        <f t="shared" si="31"/>
        <v/>
      </c>
      <c r="M477" s="146"/>
    </row>
    <row r="478" spans="2:13" x14ac:dyDescent="0.25">
      <c r="B478" s="134" t="s">
        <v>1107</v>
      </c>
      <c r="C478" s="142" t="s">
        <v>1108</v>
      </c>
      <c r="D478" s="143">
        <v>515.17600000000004</v>
      </c>
      <c r="E478" s="143">
        <v>79.55</v>
      </c>
      <c r="F478" s="143">
        <f t="shared" si="28"/>
        <v>40982.250800000002</v>
      </c>
      <c r="G478" s="144">
        <f t="shared" si="29"/>
        <v>1.3971870314204446E-3</v>
      </c>
      <c r="H478" s="145">
        <v>4.4248900062853556E-2</v>
      </c>
      <c r="I478" s="144">
        <f t="shared" si="30"/>
        <v>6.1823989322438283E-5</v>
      </c>
      <c r="J478" s="145">
        <v>4.8300000000000003E-2</v>
      </c>
      <c r="K478" s="144">
        <f t="shared" si="31"/>
        <v>6.7484133617607477E-5</v>
      </c>
      <c r="M478" s="146"/>
    </row>
    <row r="479" spans="2:13" x14ac:dyDescent="0.25">
      <c r="B479" s="134" t="s">
        <v>1109</v>
      </c>
      <c r="C479" s="142" t="s">
        <v>70</v>
      </c>
      <c r="D479" s="143">
        <v>56.811</v>
      </c>
      <c r="E479" s="143">
        <v>79.38</v>
      </c>
      <c r="F479" s="143">
        <f t="shared" si="28"/>
        <v>4509.6571800000002</v>
      </c>
      <c r="G479" s="144" t="str">
        <f t="shared" si="29"/>
        <v/>
      </c>
      <c r="H479" s="145" t="s">
        <v>210</v>
      </c>
      <c r="I479" s="144" t="str">
        <f t="shared" si="30"/>
        <v/>
      </c>
      <c r="J479" s="145">
        <v>0.27</v>
      </c>
      <c r="K479" s="144" t="str">
        <f t="shared" si="31"/>
        <v/>
      </c>
      <c r="M479" s="146"/>
    </row>
    <row r="480" spans="2:13" x14ac:dyDescent="0.25">
      <c r="B480" s="134" t="s">
        <v>1110</v>
      </c>
      <c r="C480" s="142" t="s">
        <v>1111</v>
      </c>
      <c r="D480" s="143">
        <v>611.95799999999997</v>
      </c>
      <c r="E480" s="143">
        <v>33.36</v>
      </c>
      <c r="F480" s="143">
        <f t="shared" si="28"/>
        <v>20414.918879999997</v>
      </c>
      <c r="G480" s="144">
        <f t="shared" si="29"/>
        <v>6.9599544558534556E-4</v>
      </c>
      <c r="H480" s="145">
        <v>3.117505995203837E-2</v>
      </c>
      <c r="I480" s="144">
        <f t="shared" si="30"/>
        <v>2.1697699742468808E-5</v>
      </c>
      <c r="J480" s="145">
        <v>3.15E-2</v>
      </c>
      <c r="K480" s="144">
        <f t="shared" si="31"/>
        <v>2.1923856535938384E-5</v>
      </c>
      <c r="M480" s="146"/>
    </row>
    <row r="481" spans="2:13" x14ac:dyDescent="0.25">
      <c r="B481" s="134" t="s">
        <v>1112</v>
      </c>
      <c r="C481" s="142" t="s">
        <v>1113</v>
      </c>
      <c r="D481" s="143">
        <v>119.245</v>
      </c>
      <c r="E481" s="143">
        <v>157.36000000000001</v>
      </c>
      <c r="F481" s="143">
        <f t="shared" si="28"/>
        <v>18764.393200000002</v>
      </c>
      <c r="G481" s="144">
        <f t="shared" si="29"/>
        <v>6.3972491309613434E-4</v>
      </c>
      <c r="H481" s="145" t="s">
        <v>210</v>
      </c>
      <c r="I481" s="144" t="str">
        <f t="shared" si="30"/>
        <v/>
      </c>
      <c r="J481" s="145">
        <v>0.19305</v>
      </c>
      <c r="K481" s="144">
        <f t="shared" si="31"/>
        <v>1.2349889447320873E-4</v>
      </c>
      <c r="M481" s="146"/>
    </row>
    <row r="482" spans="2:13" x14ac:dyDescent="0.25">
      <c r="B482" s="134" t="s">
        <v>1114</v>
      </c>
      <c r="C482" s="142" t="s">
        <v>1115</v>
      </c>
      <c r="D482" s="143">
        <v>103.143</v>
      </c>
      <c r="E482" s="143">
        <v>185.27</v>
      </c>
      <c r="F482" s="143">
        <f t="shared" si="28"/>
        <v>19109.303610000003</v>
      </c>
      <c r="G482" s="144" t="str">
        <f t="shared" si="29"/>
        <v/>
      </c>
      <c r="H482" s="145">
        <v>9.0678469261078424E-3</v>
      </c>
      <c r="I482" s="144" t="str">
        <f t="shared" si="30"/>
        <v/>
      </c>
      <c r="J482" s="145">
        <v>0.27</v>
      </c>
      <c r="K482" s="144" t="str">
        <f t="shared" si="31"/>
        <v/>
      </c>
      <c r="M482" s="146"/>
    </row>
    <row r="483" spans="2:13" x14ac:dyDescent="0.25">
      <c r="B483" s="134" t="s">
        <v>1116</v>
      </c>
      <c r="C483" s="142" t="s">
        <v>1117</v>
      </c>
      <c r="D483" s="143">
        <v>131.792</v>
      </c>
      <c r="E483" s="143">
        <v>715.92</v>
      </c>
      <c r="F483" s="143">
        <f t="shared" si="28"/>
        <v>94352.52863999999</v>
      </c>
      <c r="G483" s="144">
        <f t="shared" si="29"/>
        <v>3.2167127677022087E-3</v>
      </c>
      <c r="H483" s="145">
        <v>1.1174432897530451E-2</v>
      </c>
      <c r="I483" s="144">
        <f t="shared" si="30"/>
        <v>3.5944940973317785E-5</v>
      </c>
      <c r="J483" s="145">
        <v>5.4400000000000004E-2</v>
      </c>
      <c r="K483" s="144">
        <f t="shared" si="31"/>
        <v>1.7498917456300016E-4</v>
      </c>
      <c r="M483" s="146"/>
    </row>
    <row r="484" spans="2:13" x14ac:dyDescent="0.25">
      <c r="B484" s="134" t="s">
        <v>1118</v>
      </c>
      <c r="C484" s="142" t="s">
        <v>1119</v>
      </c>
      <c r="D484" s="143">
        <v>63.682000000000002</v>
      </c>
      <c r="E484" s="143">
        <v>88.31</v>
      </c>
      <c r="F484" s="143">
        <f t="shared" si="28"/>
        <v>5623.7574199999999</v>
      </c>
      <c r="G484" s="144" t="str">
        <f t="shared" si="29"/>
        <v/>
      </c>
      <c r="H484" s="145" t="s">
        <v>210</v>
      </c>
      <c r="I484" s="144" t="str">
        <f t="shared" si="30"/>
        <v/>
      </c>
      <c r="J484" s="145">
        <v>-3.0800000000000001E-2</v>
      </c>
      <c r="K484" s="144" t="str">
        <f t="shared" si="31"/>
        <v/>
      </c>
      <c r="M484" s="146"/>
    </row>
    <row r="485" spans="2:13" x14ac:dyDescent="0.25">
      <c r="B485" s="134" t="s">
        <v>1120</v>
      </c>
      <c r="C485" s="142" t="s">
        <v>1121</v>
      </c>
      <c r="D485" s="143">
        <v>165.29900000000001</v>
      </c>
      <c r="E485" s="143">
        <v>64.540000000000006</v>
      </c>
      <c r="F485" s="143">
        <f t="shared" si="28"/>
        <v>10668.397460000002</v>
      </c>
      <c r="G485" s="144">
        <f t="shared" si="29"/>
        <v>3.637122482582341E-4</v>
      </c>
      <c r="H485" s="145">
        <v>1.3634955066625347E-2</v>
      </c>
      <c r="I485" s="144">
        <f t="shared" si="30"/>
        <v>4.9592001621823046E-6</v>
      </c>
      <c r="J485" s="145">
        <v>6.2199999999999998E-2</v>
      </c>
      <c r="K485" s="144">
        <f t="shared" si="31"/>
        <v>2.2622901841662161E-5</v>
      </c>
      <c r="M485" s="146"/>
    </row>
    <row r="486" spans="2:13" x14ac:dyDescent="0.25">
      <c r="B486" s="134" t="s">
        <v>1122</v>
      </c>
      <c r="C486" s="142" t="s">
        <v>1123</v>
      </c>
      <c r="D486" s="143">
        <v>455.24299999999999</v>
      </c>
      <c r="E486" s="143">
        <v>68.459999999999994</v>
      </c>
      <c r="F486" s="143">
        <f t="shared" si="28"/>
        <v>31165.935779999996</v>
      </c>
      <c r="G486" s="144">
        <f t="shared" si="29"/>
        <v>1.0625243963881656E-3</v>
      </c>
      <c r="H486" s="145">
        <v>1.7528483786152498E-3</v>
      </c>
      <c r="I486" s="144">
        <f t="shared" si="30"/>
        <v>1.8624441654481431E-6</v>
      </c>
      <c r="J486" s="145">
        <v>0.127</v>
      </c>
      <c r="K486" s="144">
        <f t="shared" si="31"/>
        <v>1.3494059834129703E-4</v>
      </c>
      <c r="M486" s="146"/>
    </row>
    <row r="487" spans="2:13" x14ac:dyDescent="0.25">
      <c r="B487" s="134" t="s">
        <v>1124</v>
      </c>
      <c r="C487" s="142" t="s">
        <v>1125</v>
      </c>
      <c r="D487" s="143">
        <v>257.68299999999999</v>
      </c>
      <c r="E487" s="143">
        <v>354.81</v>
      </c>
      <c r="F487" s="143">
        <f t="shared" si="28"/>
        <v>91428.505229999995</v>
      </c>
      <c r="G487" s="144">
        <f t="shared" si="29"/>
        <v>3.1170255248526343E-3</v>
      </c>
      <c r="H487" s="145" t="s">
        <v>210</v>
      </c>
      <c r="I487" s="144" t="str">
        <f t="shared" si="30"/>
        <v/>
      </c>
      <c r="J487" s="145">
        <v>0.13383</v>
      </c>
      <c r="K487" s="144">
        <f t="shared" si="31"/>
        <v>4.1715152599102807E-4</v>
      </c>
      <c r="M487" s="146"/>
    </row>
    <row r="488" spans="2:13" x14ac:dyDescent="0.25">
      <c r="B488" s="134" t="s">
        <v>1126</v>
      </c>
      <c r="C488" s="142" t="s">
        <v>1127</v>
      </c>
      <c r="D488" s="143">
        <v>1445.3430000000001</v>
      </c>
      <c r="E488" s="143">
        <v>9.48</v>
      </c>
      <c r="F488" s="143">
        <f t="shared" si="28"/>
        <v>13701.851640000001</v>
      </c>
      <c r="G488" s="144">
        <f t="shared" si="29"/>
        <v>4.6713025868884076E-4</v>
      </c>
      <c r="H488" s="145">
        <v>5.2742616033755269E-2</v>
      </c>
      <c r="I488" s="144">
        <f t="shared" si="30"/>
        <v>2.4637671871774299E-5</v>
      </c>
      <c r="J488" s="145">
        <v>1.3300000000000001E-2</v>
      </c>
      <c r="K488" s="144">
        <f t="shared" si="31"/>
        <v>6.2128324405615828E-6</v>
      </c>
      <c r="M488" s="146"/>
    </row>
    <row r="489" spans="2:13" x14ac:dyDescent="0.25">
      <c r="B489" s="134" t="s">
        <v>1128</v>
      </c>
      <c r="C489" s="142" t="s">
        <v>1129</v>
      </c>
      <c r="D489" s="143">
        <v>2219.607</v>
      </c>
      <c r="E489" s="143">
        <v>327.14999999999998</v>
      </c>
      <c r="F489" s="143">
        <f t="shared" si="28"/>
        <v>726144.43004999997</v>
      </c>
      <c r="G489" s="144" t="str">
        <f t="shared" si="29"/>
        <v/>
      </c>
      <c r="H489" s="145" t="s">
        <v>210</v>
      </c>
      <c r="I489" s="144" t="str">
        <f t="shared" si="30"/>
        <v/>
      </c>
      <c r="J489" s="145">
        <v>0.24053000000000002</v>
      </c>
      <c r="K489" s="144" t="str">
        <f t="shared" si="31"/>
        <v/>
      </c>
      <c r="M489" s="146"/>
    </row>
    <row r="490" spans="2:13" x14ac:dyDescent="0.25">
      <c r="B490" s="134" t="s">
        <v>1130</v>
      </c>
      <c r="C490" s="142" t="s">
        <v>1131</v>
      </c>
      <c r="D490" s="143">
        <v>1156.4749999999999</v>
      </c>
      <c r="E490" s="143">
        <v>150.44999999999999</v>
      </c>
      <c r="F490" s="143">
        <f t="shared" si="28"/>
        <v>173991.66374999998</v>
      </c>
      <c r="G490" s="144" t="str">
        <f t="shared" si="29"/>
        <v/>
      </c>
      <c r="H490" s="145">
        <v>1.7281488866733134E-2</v>
      </c>
      <c r="I490" s="144" t="str">
        <f t="shared" si="30"/>
        <v/>
      </c>
      <c r="J490" s="145">
        <v>0.3846</v>
      </c>
      <c r="K490" s="144" t="str">
        <f t="shared" si="31"/>
        <v/>
      </c>
      <c r="M490" s="146"/>
    </row>
    <row r="491" spans="2:13" x14ac:dyDescent="0.25">
      <c r="B491" s="134" t="s">
        <v>1132</v>
      </c>
      <c r="C491" s="142" t="s">
        <v>1133</v>
      </c>
      <c r="D491" s="143">
        <v>67.781000000000006</v>
      </c>
      <c r="E491" s="143">
        <v>476.02</v>
      </c>
      <c r="F491" s="143">
        <f t="shared" si="28"/>
        <v>32265.111620000003</v>
      </c>
      <c r="G491" s="144">
        <f t="shared" si="29"/>
        <v>1.0999980392193856E-3</v>
      </c>
      <c r="H491" s="145">
        <v>1.2436452249905467E-2</v>
      </c>
      <c r="I491" s="144">
        <f t="shared" si="30"/>
        <v>1.3680073089741531E-5</v>
      </c>
      <c r="J491" s="145">
        <v>0.1787</v>
      </c>
      <c r="K491" s="144">
        <f t="shared" si="31"/>
        <v>1.965696496085042E-4</v>
      </c>
      <c r="M491" s="146"/>
    </row>
    <row r="492" spans="2:13" x14ac:dyDescent="0.25">
      <c r="B492" s="134" t="s">
        <v>1134</v>
      </c>
      <c r="C492" s="142" t="s">
        <v>1135</v>
      </c>
      <c r="D492" s="143">
        <v>659.25099999999998</v>
      </c>
      <c r="E492" s="143">
        <v>195.92</v>
      </c>
      <c r="F492" s="143">
        <f t="shared" si="28"/>
        <v>129160.45591999999</v>
      </c>
      <c r="G492" s="144">
        <f t="shared" si="29"/>
        <v>4.4034017278469237E-3</v>
      </c>
      <c r="H492" s="145">
        <v>2.204981625153124E-2</v>
      </c>
      <c r="I492" s="144">
        <f t="shared" si="30"/>
        <v>9.7094198980699839E-5</v>
      </c>
      <c r="J492" s="145">
        <v>7.6850000000000002E-2</v>
      </c>
      <c r="K492" s="144">
        <f t="shared" si="31"/>
        <v>3.3840142278503609E-4</v>
      </c>
      <c r="M492" s="146"/>
    </row>
    <row r="493" spans="2:13" x14ac:dyDescent="0.25">
      <c r="B493" s="134" t="s">
        <v>1136</v>
      </c>
      <c r="C493" s="142" t="s">
        <v>1137</v>
      </c>
      <c r="D493" s="143">
        <v>173.77500000000001</v>
      </c>
      <c r="E493" s="143">
        <v>109.4</v>
      </c>
      <c r="F493" s="143">
        <f t="shared" si="28"/>
        <v>19010.985000000001</v>
      </c>
      <c r="G493" s="144">
        <f t="shared" si="29"/>
        <v>6.481318419077315E-4</v>
      </c>
      <c r="H493" s="145">
        <v>4.5338208409506399E-2</v>
      </c>
      <c r="I493" s="144">
        <f t="shared" si="30"/>
        <v>2.9385136525249985E-5</v>
      </c>
      <c r="J493" s="145">
        <v>5.28E-2</v>
      </c>
      <c r="K493" s="144">
        <f t="shared" si="31"/>
        <v>3.4221361252728222E-5</v>
      </c>
      <c r="M493" s="146"/>
    </row>
    <row r="494" spans="2:13" x14ac:dyDescent="0.25">
      <c r="B494" s="134" t="s">
        <v>1138</v>
      </c>
      <c r="C494" s="142" t="s">
        <v>1139</v>
      </c>
      <c r="D494" s="143">
        <v>643.46299999999997</v>
      </c>
      <c r="E494" s="143">
        <v>36.93</v>
      </c>
      <c r="F494" s="143">
        <f t="shared" si="28"/>
        <v>23763.088589999999</v>
      </c>
      <c r="G494" s="144" t="str">
        <f t="shared" si="29"/>
        <v/>
      </c>
      <c r="H494" s="145">
        <v>1.0831302464121312E-2</v>
      </c>
      <c r="I494" s="144" t="str">
        <f t="shared" si="30"/>
        <v/>
      </c>
      <c r="J494" s="145">
        <v>0.3085</v>
      </c>
      <c r="K494" s="144" t="str">
        <f t="shared" si="31"/>
        <v/>
      </c>
      <c r="M494" s="146"/>
    </row>
    <row r="495" spans="2:13" x14ac:dyDescent="0.25">
      <c r="B495" s="134" t="s">
        <v>1140</v>
      </c>
      <c r="C495" s="142" t="s">
        <v>1141</v>
      </c>
      <c r="D495" s="143">
        <v>209.184</v>
      </c>
      <c r="E495" s="143">
        <v>79.099999999999994</v>
      </c>
      <c r="F495" s="143">
        <f t="shared" si="28"/>
        <v>16546.454399999999</v>
      </c>
      <c r="G495" s="144">
        <f t="shared" si="29"/>
        <v>5.6410985371427552E-4</v>
      </c>
      <c r="H495" s="145">
        <v>3.5398230088495575E-2</v>
      </c>
      <c r="I495" s="144">
        <f t="shared" si="30"/>
        <v>1.9968490396965504E-5</v>
      </c>
      <c r="J495" s="145">
        <v>6.1050000000000007E-2</v>
      </c>
      <c r="K495" s="144">
        <f t="shared" si="31"/>
        <v>3.4438906569256525E-5</v>
      </c>
      <c r="M495" s="146"/>
    </row>
    <row r="496" spans="2:13" x14ac:dyDescent="0.25">
      <c r="B496" s="134" t="s">
        <v>1142</v>
      </c>
      <c r="C496" s="142" t="s">
        <v>1143</v>
      </c>
      <c r="D496" s="143">
        <v>328.017</v>
      </c>
      <c r="E496" s="143">
        <v>39.4</v>
      </c>
      <c r="F496" s="143">
        <f t="shared" si="28"/>
        <v>12923.869799999999</v>
      </c>
      <c r="G496" s="144" t="str">
        <f t="shared" si="29"/>
        <v/>
      </c>
      <c r="H496" s="145" t="s">
        <v>210</v>
      </c>
      <c r="I496" s="144" t="str">
        <f t="shared" si="30"/>
        <v/>
      </c>
      <c r="J496" s="145">
        <v>0.46539999999999998</v>
      </c>
      <c r="K496" s="144" t="str">
        <f t="shared" si="31"/>
        <v/>
      </c>
      <c r="M496" s="146"/>
    </row>
    <row r="497" spans="2:13" x14ac:dyDescent="0.25">
      <c r="B497" s="134" t="s">
        <v>1144</v>
      </c>
      <c r="C497" s="142" t="s">
        <v>1145</v>
      </c>
      <c r="D497" s="143">
        <v>191.38499999999999</v>
      </c>
      <c r="E497" s="143">
        <v>23.04</v>
      </c>
      <c r="F497" s="143">
        <f t="shared" si="28"/>
        <v>4409.5103999999992</v>
      </c>
      <c r="G497" s="144" t="str">
        <f t="shared" si="29"/>
        <v/>
      </c>
      <c r="H497" s="145">
        <v>8.6805555555555559E-3</v>
      </c>
      <c r="I497" s="144" t="str">
        <f t="shared" si="30"/>
        <v/>
      </c>
      <c r="J497" s="145" t="s">
        <v>210</v>
      </c>
      <c r="K497" s="144" t="str">
        <f t="shared" si="31"/>
        <v/>
      </c>
      <c r="M497" s="146"/>
    </row>
    <row r="498" spans="2:13" x14ac:dyDescent="0.25">
      <c r="B498" s="134" t="s">
        <v>1146</v>
      </c>
      <c r="C498" s="142" t="s">
        <v>1147</v>
      </c>
      <c r="D498" s="143">
        <v>534.20100000000002</v>
      </c>
      <c r="E498" s="143">
        <v>73.680000000000007</v>
      </c>
      <c r="F498" s="143">
        <f t="shared" si="28"/>
        <v>39359.929680000008</v>
      </c>
      <c r="G498" s="144">
        <f t="shared" si="29"/>
        <v>1.3418780626494205E-3</v>
      </c>
      <c r="H498" s="145" t="s">
        <v>210</v>
      </c>
      <c r="I498" s="144" t="str">
        <f t="shared" si="30"/>
        <v/>
      </c>
      <c r="J498" s="145">
        <v>8.43E-2</v>
      </c>
      <c r="K498" s="144">
        <f t="shared" si="31"/>
        <v>1.1312032068134614E-4</v>
      </c>
      <c r="M498" s="146"/>
    </row>
    <row r="499" spans="2:13" x14ac:dyDescent="0.25">
      <c r="B499" s="134" t="s">
        <v>1148</v>
      </c>
      <c r="C499" s="142" t="s">
        <v>1149</v>
      </c>
      <c r="D499" s="143">
        <v>61.807000000000002</v>
      </c>
      <c r="E499" s="143">
        <v>464.59</v>
      </c>
      <c r="F499" s="143">
        <f t="shared" si="28"/>
        <v>28714.914130000001</v>
      </c>
      <c r="G499" s="144" t="str">
        <f t="shared" si="29"/>
        <v/>
      </c>
      <c r="H499" s="145">
        <v>6.3712090230095353E-3</v>
      </c>
      <c r="I499" s="144" t="str">
        <f t="shared" si="30"/>
        <v/>
      </c>
      <c r="J499" s="145">
        <v>0.21600000000000003</v>
      </c>
      <c r="K499" s="144" t="str">
        <f t="shared" si="31"/>
        <v/>
      </c>
      <c r="M499" s="146"/>
    </row>
    <row r="500" spans="2:13" x14ac:dyDescent="0.25">
      <c r="B500" s="134" t="s">
        <v>1150</v>
      </c>
      <c r="C500" s="142" t="s">
        <v>1151</v>
      </c>
      <c r="D500" s="143">
        <v>152.87899999999999</v>
      </c>
      <c r="E500" s="143">
        <v>92.23</v>
      </c>
      <c r="F500" s="143">
        <f t="shared" si="28"/>
        <v>14100.03017</v>
      </c>
      <c r="G500" s="144">
        <f t="shared" si="29"/>
        <v>4.8070515678365344E-4</v>
      </c>
      <c r="H500" s="145">
        <v>4.7706819906754849E-3</v>
      </c>
      <c r="I500" s="144">
        <f t="shared" si="30"/>
        <v>2.2932914342926107E-6</v>
      </c>
      <c r="J500" s="145">
        <v>7.8149999999999997E-2</v>
      </c>
      <c r="K500" s="144">
        <f t="shared" si="31"/>
        <v>3.7567108002642516E-5</v>
      </c>
      <c r="M500" s="146"/>
    </row>
    <row r="501" spans="2:13" x14ac:dyDescent="0.25">
      <c r="B501" s="134" t="s">
        <v>1152</v>
      </c>
      <c r="C501" s="142" t="s">
        <v>1153</v>
      </c>
      <c r="D501" s="143">
        <v>1078.1400000000001</v>
      </c>
      <c r="E501" s="143">
        <v>57.61</v>
      </c>
      <c r="F501" s="143">
        <f t="shared" si="28"/>
        <v>62111.645400000009</v>
      </c>
      <c r="G501" s="144">
        <f t="shared" si="29"/>
        <v>2.1175407343187046E-3</v>
      </c>
      <c r="H501" s="145" t="s">
        <v>210</v>
      </c>
      <c r="I501" s="144" t="str">
        <f t="shared" si="30"/>
        <v/>
      </c>
      <c r="J501" s="145">
        <v>6.2549999999999994E-2</v>
      </c>
      <c r="K501" s="144">
        <f t="shared" si="31"/>
        <v>1.3245217293163497E-4</v>
      </c>
      <c r="M501" s="146"/>
    </row>
    <row r="502" spans="2:13" x14ac:dyDescent="0.25">
      <c r="B502" s="134" t="s">
        <v>1154</v>
      </c>
      <c r="C502" s="142" t="s">
        <v>1155</v>
      </c>
      <c r="D502" s="143">
        <v>3178.9209999999998</v>
      </c>
      <c r="E502" s="143">
        <v>240.08</v>
      </c>
      <c r="F502" s="143">
        <f t="shared" si="28"/>
        <v>763195.35367999994</v>
      </c>
      <c r="G502" s="144">
        <f t="shared" si="29"/>
        <v>2.6019231003340484E-2</v>
      </c>
      <c r="H502" s="145" t="s">
        <v>210</v>
      </c>
      <c r="I502" s="144" t="str">
        <f t="shared" si="30"/>
        <v/>
      </c>
      <c r="J502" s="145">
        <v>0.11</v>
      </c>
      <c r="K502" s="144">
        <f t="shared" si="31"/>
        <v>2.8621154103674533E-3</v>
      </c>
      <c r="M502" s="146"/>
    </row>
    <row r="503" spans="2:13" x14ac:dyDescent="0.25">
      <c r="B503" s="134" t="s">
        <v>1156</v>
      </c>
      <c r="C503" s="142" t="s">
        <v>1157</v>
      </c>
      <c r="D503" s="143">
        <v>373.17200000000003</v>
      </c>
      <c r="E503" s="143">
        <v>83.69</v>
      </c>
      <c r="F503" s="143">
        <f t="shared" si="28"/>
        <v>31230.76468</v>
      </c>
      <c r="G503" s="144">
        <f t="shared" si="29"/>
        <v>1.0647345751014648E-3</v>
      </c>
      <c r="H503" s="145" t="s">
        <v>210</v>
      </c>
      <c r="I503" s="144" t="str">
        <f t="shared" si="30"/>
        <v/>
      </c>
      <c r="J503" s="145">
        <v>0.1</v>
      </c>
      <c r="K503" s="144">
        <f t="shared" si="31"/>
        <v>1.0647345751014649E-4</v>
      </c>
      <c r="M503" s="146"/>
    </row>
    <row r="504" spans="2:13" x14ac:dyDescent="0.25">
      <c r="B504" s="134" t="s">
        <v>1158</v>
      </c>
      <c r="C504" s="142" t="s">
        <v>1159</v>
      </c>
      <c r="D504" s="143">
        <v>701.39700000000005</v>
      </c>
      <c r="E504" s="143">
        <v>51.75</v>
      </c>
      <c r="F504" s="143">
        <f t="shared" si="28"/>
        <v>36297.294750000001</v>
      </c>
      <c r="G504" s="144" t="str">
        <f t="shared" si="29"/>
        <v/>
      </c>
      <c r="H504" s="145">
        <v>5.4106280193236711E-2</v>
      </c>
      <c r="I504" s="144" t="str">
        <f t="shared" si="30"/>
        <v/>
      </c>
      <c r="J504" s="145">
        <v>-4.7199999999999999E-2</v>
      </c>
      <c r="K504" s="144" t="str">
        <f t="shared" si="31"/>
        <v/>
      </c>
      <c r="M504" s="146"/>
    </row>
    <row r="505" spans="2:13" x14ac:dyDescent="0.25">
      <c r="B505" s="134" t="s">
        <v>1160</v>
      </c>
      <c r="C505" s="142" t="s">
        <v>1161</v>
      </c>
      <c r="D505" s="143">
        <v>43.39</v>
      </c>
      <c r="E505" s="143">
        <v>410.55</v>
      </c>
      <c r="F505" s="143">
        <f t="shared" si="28"/>
        <v>17813.764500000001</v>
      </c>
      <c r="G505" s="144" t="str">
        <f t="shared" si="29"/>
        <v/>
      </c>
      <c r="H505" s="145">
        <v>1.7050298380221655E-2</v>
      </c>
      <c r="I505" s="144" t="str">
        <f t="shared" si="30"/>
        <v/>
      </c>
      <c r="J505" s="145">
        <v>0.37655</v>
      </c>
      <c r="K505" s="144" t="str">
        <f t="shared" si="31"/>
        <v/>
      </c>
      <c r="M505" s="146"/>
    </row>
    <row r="506" spans="2:13" x14ac:dyDescent="0.25">
      <c r="B506" s="134" t="s">
        <v>1162</v>
      </c>
      <c r="C506" s="142" t="s">
        <v>1163</v>
      </c>
      <c r="D506" s="143">
        <v>47.185000000000002</v>
      </c>
      <c r="E506" s="143">
        <v>402.96</v>
      </c>
      <c r="F506" s="143">
        <f t="shared" si="28"/>
        <v>19013.667600000001</v>
      </c>
      <c r="G506" s="144">
        <f t="shared" si="29"/>
        <v>6.4822329842506088E-4</v>
      </c>
      <c r="H506" s="145" t="s">
        <v>210</v>
      </c>
      <c r="I506" s="144" t="str">
        <f t="shared" si="30"/>
        <v/>
      </c>
      <c r="J506" s="145">
        <v>8.0299999999999996E-2</v>
      </c>
      <c r="K506" s="144">
        <f t="shared" si="31"/>
        <v>5.2052330863532389E-5</v>
      </c>
      <c r="M506" s="146"/>
    </row>
    <row r="507" spans="2:13" x14ac:dyDescent="0.25">
      <c r="B507" s="134" t="s">
        <v>1164</v>
      </c>
      <c r="C507" s="142" t="s">
        <v>1165</v>
      </c>
      <c r="D507" s="143">
        <v>380.67</v>
      </c>
      <c r="E507" s="143">
        <v>22.04</v>
      </c>
      <c r="F507" s="143">
        <f t="shared" si="28"/>
        <v>8389.9668000000001</v>
      </c>
      <c r="G507" s="144" t="str">
        <f t="shared" si="29"/>
        <v/>
      </c>
      <c r="H507" s="145">
        <v>9.0744101633393835E-3</v>
      </c>
      <c r="I507" s="144" t="str">
        <f t="shared" si="30"/>
        <v/>
      </c>
      <c r="J507" s="145" t="s">
        <v>210</v>
      </c>
      <c r="K507" s="144" t="str">
        <f t="shared" si="31"/>
        <v/>
      </c>
      <c r="M507" s="146"/>
    </row>
    <row r="508" spans="2:13" x14ac:dyDescent="0.25">
      <c r="B508" s="134" t="s">
        <v>1146</v>
      </c>
      <c r="C508" s="142" t="s">
        <v>1166</v>
      </c>
      <c r="D508" s="143">
        <v>994.29899999999998</v>
      </c>
      <c r="E508" s="143">
        <v>38.51</v>
      </c>
      <c r="F508" s="143">
        <f t="shared" si="28"/>
        <v>38290.454489999996</v>
      </c>
      <c r="G508" s="144">
        <f t="shared" si="29"/>
        <v>1.3054169889717899E-3</v>
      </c>
      <c r="H508" s="145">
        <v>3.7392884964944167E-2</v>
      </c>
      <c r="I508" s="144">
        <f t="shared" si="30"/>
        <v>4.8813307299905928E-5</v>
      </c>
      <c r="J508" s="145">
        <v>0.04</v>
      </c>
      <c r="K508" s="144">
        <f t="shared" si="31"/>
        <v>5.2216679558871593E-5</v>
      </c>
      <c r="M508" s="146"/>
    </row>
    <row r="509" spans="2:13" x14ac:dyDescent="0.25">
      <c r="B509" s="134" t="s">
        <v>1167</v>
      </c>
      <c r="C509" s="142" t="s">
        <v>1168</v>
      </c>
      <c r="D509" s="143">
        <v>260.38900000000001</v>
      </c>
      <c r="E509" s="143">
        <v>116.44</v>
      </c>
      <c r="F509" s="143">
        <f t="shared" si="28"/>
        <v>30319.695159999999</v>
      </c>
      <c r="G509" s="144">
        <f t="shared" si="29"/>
        <v>1.0336739453601026E-3</v>
      </c>
      <c r="H509" s="145">
        <v>8.5881140501545862E-3</v>
      </c>
      <c r="I509" s="144">
        <f t="shared" si="30"/>
        <v>8.8773097334258206E-6</v>
      </c>
      <c r="J509" s="145">
        <v>0.1333</v>
      </c>
      <c r="K509" s="144">
        <f t="shared" si="31"/>
        <v>1.3778873691650169E-4</v>
      </c>
      <c r="M509" s="146"/>
    </row>
    <row r="510" spans="2:13" x14ac:dyDescent="0.25">
      <c r="B510" s="134" t="s">
        <v>1169</v>
      </c>
      <c r="C510" s="142" t="s">
        <v>1170</v>
      </c>
      <c r="D510" s="143">
        <v>433.68900000000002</v>
      </c>
      <c r="E510" s="143">
        <v>117.28</v>
      </c>
      <c r="F510" s="143">
        <f t="shared" si="28"/>
        <v>50863.045920000004</v>
      </c>
      <c r="G510" s="144">
        <f t="shared" si="29"/>
        <v>1.7340479537050356E-3</v>
      </c>
      <c r="H510" s="145">
        <v>5.3376534788540243E-2</v>
      </c>
      <c r="I510" s="144">
        <f t="shared" si="30"/>
        <v>9.2557470925933857E-5</v>
      </c>
      <c r="J510" s="145">
        <v>7.0000000000000007E-2</v>
      </c>
      <c r="K510" s="144">
        <f t="shared" si="31"/>
        <v>1.213833567593525E-4</v>
      </c>
      <c r="M510" s="146"/>
    </row>
    <row r="511" spans="2:13" x14ac:dyDescent="0.25">
      <c r="B511" s="134" t="s">
        <v>1171</v>
      </c>
      <c r="C511" s="142" t="s">
        <v>1172</v>
      </c>
      <c r="D511" s="143">
        <v>282.86200000000002</v>
      </c>
      <c r="E511" s="143">
        <v>82.84</v>
      </c>
      <c r="F511" s="143">
        <f t="shared" si="28"/>
        <v>23432.288080000002</v>
      </c>
      <c r="G511" s="144">
        <f t="shared" si="29"/>
        <v>7.9886507897423422E-4</v>
      </c>
      <c r="H511" s="145" t="s">
        <v>210</v>
      </c>
      <c r="I511" s="144" t="str">
        <f t="shared" si="30"/>
        <v/>
      </c>
      <c r="J511" s="145">
        <v>0.1144</v>
      </c>
      <c r="K511" s="144">
        <f t="shared" si="31"/>
        <v>9.1390165034652398E-5</v>
      </c>
      <c r="M511" s="146"/>
    </row>
    <row r="512" spans="2:13" x14ac:dyDescent="0.25">
      <c r="B512" s="134" t="s">
        <v>1173</v>
      </c>
      <c r="C512" s="142" t="s">
        <v>1174</v>
      </c>
      <c r="D512" s="143">
        <v>76.588999999999999</v>
      </c>
      <c r="E512" s="143">
        <v>213.8</v>
      </c>
      <c r="F512" s="143">
        <f t="shared" si="28"/>
        <v>16374.728200000001</v>
      </c>
      <c r="G512" s="144" t="str">
        <f t="shared" si="29"/>
        <v/>
      </c>
      <c r="H512" s="145" t="s">
        <v>210</v>
      </c>
      <c r="I512" s="144" t="str">
        <f t="shared" si="30"/>
        <v/>
      </c>
      <c r="J512" s="145" t="s">
        <v>210</v>
      </c>
      <c r="K512" s="144" t="str">
        <f t="shared" si="31"/>
        <v/>
      </c>
      <c r="M512" s="146"/>
    </row>
    <row r="513" spans="2:13" x14ac:dyDescent="0.25">
      <c r="B513" s="134" t="s">
        <v>1175</v>
      </c>
      <c r="C513" s="142" t="s">
        <v>1176</v>
      </c>
      <c r="D513" s="143">
        <v>158.80000000000001</v>
      </c>
      <c r="E513" s="143">
        <v>101.95</v>
      </c>
      <c r="F513" s="143">
        <f t="shared" si="28"/>
        <v>16189.660000000002</v>
      </c>
      <c r="G513" s="144" t="str">
        <f t="shared" si="29"/>
        <v/>
      </c>
      <c r="H513" s="145" t="s">
        <v>210</v>
      </c>
      <c r="I513" s="144" t="str">
        <f t="shared" si="30"/>
        <v/>
      </c>
      <c r="J513" s="145">
        <v>-0.51</v>
      </c>
      <c r="K513" s="144" t="str">
        <f t="shared" si="31"/>
        <v/>
      </c>
      <c r="M513" s="146"/>
    </row>
    <row r="514" spans="2:13" x14ac:dyDescent="0.25">
      <c r="B514" s="134" t="s">
        <v>1177</v>
      </c>
      <c r="C514" s="142" t="s">
        <v>1178</v>
      </c>
      <c r="D514" s="143">
        <v>1914.9949999999999</v>
      </c>
      <c r="E514" s="143">
        <v>20.440000000000001</v>
      </c>
      <c r="F514" s="143">
        <f t="shared" si="28"/>
        <v>39142.497799999997</v>
      </c>
      <c r="G514" s="144" t="str">
        <f t="shared" si="29"/>
        <v/>
      </c>
      <c r="H514" s="145">
        <v>3.9138943248532287E-2</v>
      </c>
      <c r="I514" s="144" t="str">
        <f t="shared" si="30"/>
        <v/>
      </c>
      <c r="J514" s="145" t="s">
        <v>210</v>
      </c>
      <c r="K514" s="144" t="str">
        <f t="shared" si="31"/>
        <v/>
      </c>
      <c r="M514" s="146"/>
    </row>
    <row r="515" spans="2:13" x14ac:dyDescent="0.25">
      <c r="B515" s="134" t="s">
        <v>1179</v>
      </c>
      <c r="C515" s="142" t="s">
        <v>1180</v>
      </c>
      <c r="D515" s="143">
        <v>222.976</v>
      </c>
      <c r="E515" s="143">
        <v>90.45</v>
      </c>
      <c r="F515" s="143">
        <f t="shared" si="28"/>
        <v>20168.179200000002</v>
      </c>
      <c r="G515" s="144">
        <f t="shared" si="29"/>
        <v>6.8758347517612574E-4</v>
      </c>
      <c r="H515" s="145">
        <v>2.2111663902708679E-2</v>
      </c>
      <c r="I515" s="144">
        <f t="shared" si="30"/>
        <v>1.5203614708150928E-5</v>
      </c>
      <c r="J515" s="145">
        <v>0.15</v>
      </c>
      <c r="K515" s="144">
        <f t="shared" si="31"/>
        <v>1.0313752127641885E-4</v>
      </c>
      <c r="M515" s="146"/>
    </row>
    <row r="516" spans="2:13" x14ac:dyDescent="0.25">
      <c r="B516" s="134" t="s">
        <v>1181</v>
      </c>
      <c r="C516" s="142" t="s">
        <v>1182</v>
      </c>
      <c r="D516" s="143">
        <v>161.429</v>
      </c>
      <c r="E516" s="143">
        <v>109.87</v>
      </c>
      <c r="F516" s="143">
        <f t="shared" si="28"/>
        <v>17736.204229999999</v>
      </c>
      <c r="G516" s="144" t="str">
        <f t="shared" si="29"/>
        <v/>
      </c>
      <c r="H516" s="145">
        <v>2.4119413852735049E-2</v>
      </c>
      <c r="I516" s="144" t="str">
        <f t="shared" si="30"/>
        <v/>
      </c>
      <c r="J516" s="145">
        <v>-0.05</v>
      </c>
      <c r="K516" s="144" t="str">
        <f t="shared" si="31"/>
        <v/>
      </c>
      <c r="M516" s="146"/>
    </row>
    <row r="517" spans="2:13" x14ac:dyDescent="0.25">
      <c r="B517" s="134" t="s">
        <v>1183</v>
      </c>
      <c r="C517" s="142" t="s">
        <v>1184</v>
      </c>
      <c r="D517" s="143">
        <v>267.59800000000001</v>
      </c>
      <c r="E517" s="143">
        <v>44.53</v>
      </c>
      <c r="F517" s="143">
        <f t="shared" si="28"/>
        <v>11916.138940000001</v>
      </c>
      <c r="G517" s="144" t="str">
        <f t="shared" si="29"/>
        <v/>
      </c>
      <c r="H517" s="145">
        <v>2.6948124859645182E-2</v>
      </c>
      <c r="I517" s="144" t="str">
        <f t="shared" si="30"/>
        <v/>
      </c>
      <c r="J517" s="145" t="s">
        <v>210</v>
      </c>
      <c r="K517" s="144" t="str">
        <f t="shared" si="31"/>
        <v/>
      </c>
      <c r="M517" s="146"/>
    </row>
    <row r="518" spans="2:13" x14ac:dyDescent="0.25">
      <c r="B518" s="134" t="s">
        <v>1185</v>
      </c>
      <c r="C518" s="142" t="s">
        <v>1186</v>
      </c>
      <c r="D518" s="143">
        <v>459.11399999999998</v>
      </c>
      <c r="E518" s="143">
        <v>176.67</v>
      </c>
      <c r="F518" s="143">
        <f t="shared" si="28"/>
        <v>81111.670379999996</v>
      </c>
      <c r="G518" s="144">
        <f t="shared" si="29"/>
        <v>2.7652989218392514E-3</v>
      </c>
      <c r="H518" s="145">
        <v>8.4904058413992189E-3</v>
      </c>
      <c r="I518" s="144">
        <f t="shared" si="30"/>
        <v>2.3478510119198942E-5</v>
      </c>
      <c r="J518" s="145">
        <v>0.1091</v>
      </c>
      <c r="K518" s="144">
        <f t="shared" si="31"/>
        <v>3.0169411237266237E-4</v>
      </c>
      <c r="M518" s="146"/>
    </row>
    <row r="519" spans="2:13" x14ac:dyDescent="0.25">
      <c r="B519" s="134" t="s">
        <v>1187</v>
      </c>
      <c r="C519" s="142" t="s">
        <v>1188</v>
      </c>
      <c r="D519" s="143">
        <v>302.846</v>
      </c>
      <c r="E519" s="143">
        <v>138.78</v>
      </c>
      <c r="F519" s="143">
        <f t="shared" si="28"/>
        <v>42028.967880000004</v>
      </c>
      <c r="G519" s="144">
        <f t="shared" si="29"/>
        <v>1.43287222442947E-3</v>
      </c>
      <c r="H519" s="145">
        <v>3.5163568237498201E-2</v>
      </c>
      <c r="I519" s="144">
        <f t="shared" si="30"/>
        <v>5.0384900239341505E-5</v>
      </c>
      <c r="J519" s="145">
        <v>6.7949999999999997E-2</v>
      </c>
      <c r="K519" s="144">
        <f t="shared" si="31"/>
        <v>9.7363667649982483E-5</v>
      </c>
      <c r="M519" s="146"/>
    </row>
    <row r="520" spans="2:13" x14ac:dyDescent="0.25">
      <c r="B520" s="134" t="s">
        <v>1189</v>
      </c>
      <c r="C520" s="142" t="s">
        <v>1190</v>
      </c>
      <c r="D520" s="143">
        <v>93.882999999999996</v>
      </c>
      <c r="E520" s="143">
        <v>815.01</v>
      </c>
      <c r="F520" s="143">
        <f t="shared" si="28"/>
        <v>76515.583829999989</v>
      </c>
      <c r="G520" s="144">
        <f t="shared" si="29"/>
        <v>2.6086068808314415E-3</v>
      </c>
      <c r="H520" s="147">
        <v>2.0907718923694186E-2</v>
      </c>
      <c r="I520" s="144">
        <f t="shared" si="30"/>
        <v>5.4540019446838396E-5</v>
      </c>
      <c r="J520" s="147">
        <v>0.16670000000000001</v>
      </c>
      <c r="K520" s="144">
        <f t="shared" si="31"/>
        <v>4.3485476703460134E-4</v>
      </c>
      <c r="M520" s="146"/>
    </row>
    <row r="521" spans="2:13" x14ac:dyDescent="0.25">
      <c r="B521" s="134" t="s">
        <v>1191</v>
      </c>
      <c r="C521" s="142" t="s">
        <v>1192</v>
      </c>
      <c r="D521" s="143">
        <v>764.49099999999999</v>
      </c>
      <c r="E521" s="143">
        <v>46.12</v>
      </c>
      <c r="F521" s="143">
        <f t="shared" si="28"/>
        <v>35258.324919999999</v>
      </c>
      <c r="G521" s="144" t="str">
        <f t="shared" si="29"/>
        <v/>
      </c>
      <c r="H521" s="147">
        <v>1.7346053772766698E-2</v>
      </c>
      <c r="I521" s="144" t="str">
        <f t="shared" si="30"/>
        <v/>
      </c>
      <c r="J521" s="147" t="s">
        <v>210</v>
      </c>
      <c r="K521" s="144" t="str">
        <f t="shared" si="31"/>
        <v/>
      </c>
      <c r="M521" s="146"/>
    </row>
    <row r="522" spans="2:13" x14ac:dyDescent="0.25">
      <c r="B522" s="134" t="s">
        <v>1193</v>
      </c>
      <c r="C522" s="142" t="s">
        <v>1194</v>
      </c>
      <c r="D522" s="143">
        <v>58.3</v>
      </c>
      <c r="E522" s="143">
        <v>365.56</v>
      </c>
      <c r="F522" s="143">
        <f>IFERROR(D522*E522,"")</f>
        <v>21312.147999999997</v>
      </c>
      <c r="G522" s="144">
        <f>IF(AND(ISNUMBER($J522)), IF(AND($J522&lt;=20%,$J522&gt;0%), $F522/SUMIFS($F$20:$F$521,$J$20:$J$521, "&gt;"&amp;0%,$J$20:$J$521, "&lt;="&amp;20%),""),"")</f>
        <v>7.2658422160925239E-4</v>
      </c>
      <c r="H522" s="147" t="s">
        <v>210</v>
      </c>
      <c r="I522" s="144" t="str">
        <f>IFERROR($H522*$G522,"")</f>
        <v/>
      </c>
      <c r="J522" s="147">
        <v>0.1124</v>
      </c>
      <c r="K522" s="144">
        <f>IFERROR($J522*$G522,"")</f>
        <v>8.1668066508879965E-5</v>
      </c>
      <c r="M522" s="146"/>
    </row>
    <row r="523" spans="2:13" s="2" customFormat="1" ht="13.8" x14ac:dyDescent="0.25"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spans="2:13" x14ac:dyDescent="0.25">
      <c r="B524" s="134"/>
      <c r="C524" s="142"/>
      <c r="D524" s="144"/>
      <c r="E524" s="144"/>
      <c r="F524" s="144"/>
      <c r="G524" s="144"/>
      <c r="H524" s="144"/>
    </row>
    <row r="525" spans="2:13" x14ac:dyDescent="0.25">
      <c r="B525" s="134"/>
      <c r="C525" s="142"/>
      <c r="D525" s="144"/>
      <c r="E525" s="144"/>
      <c r="F525" s="144"/>
      <c r="G525" s="144"/>
      <c r="H525" s="144"/>
    </row>
    <row r="526" spans="2:13" x14ac:dyDescent="0.25">
      <c r="B526" s="148" t="s">
        <v>104</v>
      </c>
      <c r="C526" s="142"/>
      <c r="D526" s="144"/>
      <c r="E526" s="144"/>
      <c r="F526" s="144"/>
      <c r="G526" s="144"/>
      <c r="H526" s="144"/>
    </row>
    <row r="527" spans="2:13" x14ac:dyDescent="0.25">
      <c r="B527" s="133" t="s">
        <v>1195</v>
      </c>
      <c r="F527" s="134"/>
    </row>
    <row r="528" spans="2:13" x14ac:dyDescent="0.25">
      <c r="B528" s="133" t="s">
        <v>1196</v>
      </c>
    </row>
    <row r="529" spans="2:2" x14ac:dyDescent="0.25">
      <c r="B529" s="133" t="s">
        <v>1197</v>
      </c>
    </row>
    <row r="530" spans="2:2" x14ac:dyDescent="0.25">
      <c r="B530" s="133" t="s">
        <v>1198</v>
      </c>
    </row>
    <row r="531" spans="2:2" x14ac:dyDescent="0.25">
      <c r="B531" s="133" t="s">
        <v>1199</v>
      </c>
    </row>
    <row r="532" spans="2:2" x14ac:dyDescent="0.25">
      <c r="B532" s="133" t="s">
        <v>1200</v>
      </c>
    </row>
    <row r="533" spans="2:2" x14ac:dyDescent="0.25">
      <c r="B533" s="133" t="s">
        <v>1201</v>
      </c>
    </row>
    <row r="534" spans="2:2" x14ac:dyDescent="0.25">
      <c r="B534" s="133" t="s">
        <v>1202</v>
      </c>
    </row>
    <row r="535" spans="2:2" x14ac:dyDescent="0.25">
      <c r="B535" s="133" t="s">
        <v>1203</v>
      </c>
    </row>
    <row r="536" spans="2:2" x14ac:dyDescent="0.25">
      <c r="B536" s="133" t="s">
        <v>1204</v>
      </c>
    </row>
    <row r="537" spans="2:2" x14ac:dyDescent="0.25">
      <c r="B537" s="133" t="s">
        <v>1205</v>
      </c>
    </row>
  </sheetData>
  <mergeCells count="4">
    <mergeCell ref="C5:D5"/>
    <mergeCell ref="C7:D7"/>
    <mergeCell ref="C9:D9"/>
    <mergeCell ref="B2:K2"/>
  </mergeCells>
  <printOptions horizontalCentered="1"/>
  <pageMargins left="0.7" right="0.7" top="1.25" bottom="0.75" header="0.3" footer="0.3"/>
  <pageSetup scale="57" fitToHeight="6" orientation="portrait" useFirstPageNumber="1" r:id="rId1"/>
  <headerFooter scaleWithDoc="0">
    <oddHeader>&amp;L&amp;"Times New Roman,Bold"&amp;12&amp;KC00000Draft- Privileged and Confidential&amp;R&amp;"Times New Roman,Regular"&amp;12Exhibit AEB-8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autoPageBreaks="0"/>
  </sheetPr>
  <dimension ref="A2:BT135"/>
  <sheetViews>
    <sheetView view="pageBreakPreview" zoomScale="60" zoomScaleNormal="80" zoomScalePageLayoutView="90" workbookViewId="0"/>
  </sheetViews>
  <sheetFormatPr defaultColWidth="8.5546875" defaultRowHeight="15" customHeight="1" x14ac:dyDescent="0.25"/>
  <cols>
    <col min="1" max="1" width="10.44140625" style="150" customWidth="1"/>
    <col min="2" max="2" width="13.5546875" style="150" customWidth="1"/>
    <col min="3" max="3" width="12.5546875" style="150" customWidth="1"/>
    <col min="4" max="4" width="10.5546875" style="150" customWidth="1"/>
    <col min="5" max="5" width="8.5546875" style="150"/>
    <col min="6" max="6" width="30" style="150" customWidth="1"/>
    <col min="7" max="7" width="13" style="150" bestFit="1" customWidth="1"/>
    <col min="8" max="8" width="13.5546875" style="150" bestFit="1" customWidth="1"/>
    <col min="9" max="9" width="14" style="150" bestFit="1" customWidth="1"/>
    <col min="10" max="10" width="12.5546875" style="150" bestFit="1" customWidth="1"/>
    <col min="11" max="11" width="13.109375" style="150" bestFit="1" customWidth="1"/>
    <col min="12" max="14" width="13" style="150" bestFit="1" customWidth="1"/>
    <col min="15" max="15" width="8.5546875" style="150"/>
    <col min="16" max="31" width="8.5546875" style="2"/>
    <col min="32" max="16384" width="8.5546875" style="150"/>
  </cols>
  <sheetData>
    <row r="2" spans="1:4" ht="15" customHeight="1" x14ac:dyDescent="0.25">
      <c r="A2" s="392" t="s">
        <v>1206</v>
      </c>
      <c r="B2" s="392"/>
      <c r="C2" s="392"/>
      <c r="D2" s="392"/>
    </row>
    <row r="4" spans="1:4" ht="15" customHeight="1" thickBot="1" x14ac:dyDescent="0.3">
      <c r="A4" s="151"/>
      <c r="B4" s="152" t="s">
        <v>38</v>
      </c>
      <c r="C4" s="152" t="s">
        <v>39</v>
      </c>
      <c r="D4" s="152" t="s">
        <v>40</v>
      </c>
    </row>
    <row r="5" spans="1:4" ht="39.6" x14ac:dyDescent="0.25">
      <c r="A5" s="153" t="s">
        <v>1207</v>
      </c>
      <c r="B5" s="154" t="s">
        <v>1208</v>
      </c>
      <c r="C5" s="154" t="s">
        <v>1209</v>
      </c>
      <c r="D5" s="154" t="s">
        <v>1210</v>
      </c>
    </row>
    <row r="6" spans="1:4" ht="15" customHeight="1" x14ac:dyDescent="0.25">
      <c r="A6" s="155" t="s">
        <v>1211</v>
      </c>
      <c r="B6" s="156">
        <v>0.12381000000000002</v>
      </c>
      <c r="C6" s="156">
        <v>7.8050793650793662E-2</v>
      </c>
      <c r="D6" s="157">
        <f>B6-C6</f>
        <v>4.5759206349206355E-2</v>
      </c>
    </row>
    <row r="7" spans="1:4" ht="15" customHeight="1" x14ac:dyDescent="0.25">
      <c r="A7" s="155" t="s">
        <v>1212</v>
      </c>
      <c r="B7" s="156">
        <v>0.11827500000000001</v>
      </c>
      <c r="C7" s="156">
        <v>7.8976190476190478E-2</v>
      </c>
      <c r="D7" s="158">
        <f t="shared" ref="D7:D70" si="0">B7-C7</f>
        <v>3.9298809523809528E-2</v>
      </c>
    </row>
    <row r="8" spans="1:4" ht="15" customHeight="1" x14ac:dyDescent="0.25">
      <c r="A8" s="155" t="s">
        <v>1213</v>
      </c>
      <c r="B8" s="156">
        <v>0.12031249999999999</v>
      </c>
      <c r="C8" s="156">
        <v>7.4456250000000002E-2</v>
      </c>
      <c r="D8" s="158">
        <f t="shared" si="0"/>
        <v>4.5856249999999987E-2</v>
      </c>
    </row>
    <row r="9" spans="1:4" ht="15" customHeight="1" x14ac:dyDescent="0.25">
      <c r="A9" s="155" t="s">
        <v>1214</v>
      </c>
      <c r="B9" s="156">
        <v>0.12140666666666668</v>
      </c>
      <c r="C9" s="156">
        <v>7.5235937499999989E-2</v>
      </c>
      <c r="D9" s="158">
        <f t="shared" si="0"/>
        <v>4.6170729166666688E-2</v>
      </c>
    </row>
    <row r="10" spans="1:4" ht="15" customHeight="1" x14ac:dyDescent="0.25">
      <c r="A10" s="155" t="s">
        <v>1215</v>
      </c>
      <c r="B10" s="156">
        <v>0.11835714285714286</v>
      </c>
      <c r="C10" s="156">
        <v>7.0716129032258074E-2</v>
      </c>
      <c r="D10" s="158">
        <f t="shared" si="0"/>
        <v>4.7641013824884781E-2</v>
      </c>
    </row>
    <row r="11" spans="1:4" ht="15" customHeight="1" x14ac:dyDescent="0.25">
      <c r="A11" s="152" t="s">
        <v>1216</v>
      </c>
      <c r="B11" s="156">
        <v>0.11641111111111109</v>
      </c>
      <c r="C11" s="156">
        <v>6.8584126984127011E-2</v>
      </c>
      <c r="D11" s="158">
        <f t="shared" si="0"/>
        <v>4.7826984126984079E-2</v>
      </c>
    </row>
    <row r="12" spans="1:4" ht="15" customHeight="1" x14ac:dyDescent="0.25">
      <c r="A12" s="152" t="s">
        <v>1217</v>
      </c>
      <c r="B12" s="156">
        <v>0.11151666666666667</v>
      </c>
      <c r="C12" s="156">
        <v>6.3154687500000015E-2</v>
      </c>
      <c r="D12" s="158">
        <f t="shared" si="0"/>
        <v>4.8361979166666652E-2</v>
      </c>
    </row>
    <row r="13" spans="1:4" ht="15" customHeight="1" x14ac:dyDescent="0.25">
      <c r="A13" s="152" t="s">
        <v>1218</v>
      </c>
      <c r="B13" s="156">
        <v>0.11041666666666666</v>
      </c>
      <c r="C13" s="156">
        <v>6.1351562500000012E-2</v>
      </c>
      <c r="D13" s="158">
        <f t="shared" si="0"/>
        <v>4.9065104166666651E-2</v>
      </c>
    </row>
    <row r="14" spans="1:4" ht="15" customHeight="1" x14ac:dyDescent="0.25">
      <c r="A14" s="152" t="s">
        <v>1219</v>
      </c>
      <c r="B14" s="156">
        <v>0.11067</v>
      </c>
      <c r="C14" s="156">
        <v>6.5758730158730155E-2</v>
      </c>
      <c r="D14" s="158">
        <f t="shared" si="0"/>
        <v>4.4911269841269849E-2</v>
      </c>
    </row>
    <row r="15" spans="1:4" ht="15" customHeight="1" x14ac:dyDescent="0.25">
      <c r="A15" s="152" t="s">
        <v>1220</v>
      </c>
      <c r="B15" s="156">
        <v>0.1113</v>
      </c>
      <c r="C15" s="156">
        <v>7.3622580645161306E-2</v>
      </c>
      <c r="D15" s="158">
        <f t="shared" si="0"/>
        <v>3.767741935483869E-2</v>
      </c>
    </row>
    <row r="16" spans="1:4" ht="15" customHeight="1" x14ac:dyDescent="0.25">
      <c r="A16" s="152" t="s">
        <v>1221</v>
      </c>
      <c r="B16" s="156">
        <v>0.1275</v>
      </c>
      <c r="C16" s="156">
        <v>7.5893750000000024E-2</v>
      </c>
      <c r="D16" s="158">
        <f t="shared" si="0"/>
        <v>5.1606249999999979E-2</v>
      </c>
    </row>
    <row r="17" spans="1:14" ht="15" customHeight="1" x14ac:dyDescent="0.25">
      <c r="A17" s="152" t="s">
        <v>1222</v>
      </c>
      <c r="B17" s="156">
        <v>0.11238333333333334</v>
      </c>
      <c r="C17" s="156">
        <v>7.9633333333333334E-2</v>
      </c>
      <c r="D17" s="158">
        <f t="shared" si="0"/>
        <v>3.2750000000000001E-2</v>
      </c>
    </row>
    <row r="18" spans="1:14" ht="15" customHeight="1" x14ac:dyDescent="0.25">
      <c r="A18" s="152">
        <v>1995.1</v>
      </c>
      <c r="B18" s="156">
        <v>0.1196125</v>
      </c>
      <c r="C18" s="156">
        <v>7.6334374999999996E-2</v>
      </c>
      <c r="D18" s="158">
        <f t="shared" si="0"/>
        <v>4.3278125000000001E-2</v>
      </c>
    </row>
    <row r="19" spans="1:14" ht="15" customHeight="1" x14ac:dyDescent="0.25">
      <c r="A19" s="152" t="s">
        <v>1223</v>
      </c>
      <c r="B19" s="156">
        <v>0.1131625</v>
      </c>
      <c r="C19" s="156">
        <v>6.9422222222222191E-2</v>
      </c>
      <c r="D19" s="158">
        <f t="shared" si="0"/>
        <v>4.3740277777777808E-2</v>
      </c>
    </row>
    <row r="20" spans="1:14" ht="15" customHeight="1" x14ac:dyDescent="0.25">
      <c r="A20" s="152" t="s">
        <v>1224</v>
      </c>
      <c r="B20" s="156">
        <v>0.1137</v>
      </c>
      <c r="C20" s="156">
        <v>6.7173015873015857E-2</v>
      </c>
      <c r="D20" s="158">
        <f t="shared" si="0"/>
        <v>4.6526984126984139E-2</v>
      </c>
    </row>
    <row r="21" spans="1:14" ht="15" customHeight="1" x14ac:dyDescent="0.25">
      <c r="A21" s="152" t="s">
        <v>1225</v>
      </c>
      <c r="B21" s="156">
        <v>0.11584285714285714</v>
      </c>
      <c r="C21" s="156">
        <v>6.2390476190476205E-2</v>
      </c>
      <c r="D21" s="158">
        <f t="shared" si="0"/>
        <v>5.3452380952380932E-2</v>
      </c>
    </row>
    <row r="22" spans="1:14" ht="15" customHeight="1" x14ac:dyDescent="0.25">
      <c r="A22" s="152" t="s">
        <v>1226</v>
      </c>
      <c r="B22" s="156">
        <v>0.11460000000000001</v>
      </c>
      <c r="C22" s="156">
        <v>6.2916923076923065E-2</v>
      </c>
      <c r="D22" s="158">
        <f t="shared" si="0"/>
        <v>5.1683076923076943E-2</v>
      </c>
      <c r="F22" s="151" t="s">
        <v>1227</v>
      </c>
      <c r="G22" s="151"/>
      <c r="H22" s="151"/>
      <c r="I22" s="151"/>
      <c r="J22" s="151"/>
      <c r="K22" s="151"/>
      <c r="L22" s="151"/>
      <c r="M22" s="151"/>
      <c r="N22" s="151"/>
    </row>
    <row r="23" spans="1:14" ht="15" customHeight="1" thickBot="1" x14ac:dyDescent="0.3">
      <c r="A23" s="152" t="s">
        <v>1228</v>
      </c>
      <c r="B23" s="156">
        <v>0.11458888888888891</v>
      </c>
      <c r="C23" s="156">
        <v>6.9215384615384609E-2</v>
      </c>
      <c r="D23" s="158">
        <f t="shared" si="0"/>
        <v>4.5373504273504298E-2</v>
      </c>
      <c r="F23" s="151"/>
      <c r="G23" s="151"/>
      <c r="H23" s="151"/>
      <c r="I23" s="151"/>
      <c r="J23" s="151"/>
      <c r="K23" s="151"/>
      <c r="L23" s="151"/>
      <c r="M23" s="151"/>
      <c r="N23" s="151"/>
    </row>
    <row r="24" spans="1:14" ht="15" customHeight="1" x14ac:dyDescent="0.25">
      <c r="A24" s="152" t="s">
        <v>1229</v>
      </c>
      <c r="B24" s="156">
        <v>0.10700000000000001</v>
      </c>
      <c r="C24" s="156">
        <v>6.9672727272727275E-2</v>
      </c>
      <c r="D24" s="158">
        <f t="shared" si="0"/>
        <v>3.7327272727272737E-2</v>
      </c>
      <c r="F24" s="159" t="s">
        <v>1230</v>
      </c>
      <c r="G24" s="159"/>
      <c r="H24" s="151"/>
      <c r="I24" s="151"/>
      <c r="J24" s="151"/>
      <c r="K24" s="151"/>
      <c r="L24" s="151"/>
      <c r="M24" s="151"/>
      <c r="N24" s="151"/>
    </row>
    <row r="25" spans="1:14" ht="15" customHeight="1" x14ac:dyDescent="0.25">
      <c r="A25" s="152" t="s">
        <v>1231</v>
      </c>
      <c r="B25" s="156">
        <v>0.11559999999999999</v>
      </c>
      <c r="C25" s="156">
        <v>6.6199999999999995E-2</v>
      </c>
      <c r="D25" s="158">
        <f t="shared" si="0"/>
        <v>4.9399999999999999E-2</v>
      </c>
      <c r="F25" s="151" t="s">
        <v>1232</v>
      </c>
      <c r="G25" s="160">
        <v>0.90291786873297286</v>
      </c>
      <c r="H25" s="151"/>
      <c r="I25" s="151"/>
      <c r="J25" s="151"/>
      <c r="K25" s="151"/>
      <c r="L25" s="151"/>
      <c r="M25" s="151"/>
      <c r="N25" s="151"/>
    </row>
    <row r="26" spans="1:14" ht="15" customHeight="1" x14ac:dyDescent="0.25">
      <c r="A26" s="152" t="s">
        <v>1233</v>
      </c>
      <c r="B26" s="156">
        <v>0.1108</v>
      </c>
      <c r="C26" s="156">
        <v>6.8153124999999995E-2</v>
      </c>
      <c r="D26" s="158">
        <f t="shared" si="0"/>
        <v>4.2646875000000001E-2</v>
      </c>
      <c r="F26" s="151" t="s">
        <v>1234</v>
      </c>
      <c r="G26" s="160">
        <v>0.81526067767729404</v>
      </c>
      <c r="H26" s="151"/>
      <c r="I26" s="151"/>
      <c r="J26" s="151"/>
      <c r="K26" s="151"/>
      <c r="L26" s="151"/>
      <c r="M26" s="151"/>
      <c r="N26" s="151"/>
    </row>
    <row r="27" spans="1:14" ht="15" customHeight="1" x14ac:dyDescent="0.25">
      <c r="A27" s="152" t="s">
        <v>1235</v>
      </c>
      <c r="B27" s="156">
        <v>0.11616666666666668</v>
      </c>
      <c r="C27" s="156">
        <v>6.9369230769230752E-2</v>
      </c>
      <c r="D27" s="158">
        <f t="shared" si="0"/>
        <v>4.6797435897435929E-2</v>
      </c>
      <c r="F27" s="151" t="s">
        <v>1236</v>
      </c>
      <c r="G27" s="160">
        <v>0.81379449257949488</v>
      </c>
      <c r="H27" s="151"/>
      <c r="I27" s="151"/>
      <c r="J27" s="151"/>
      <c r="K27" s="151"/>
      <c r="L27" s="151"/>
      <c r="M27" s="151"/>
      <c r="N27" s="151"/>
    </row>
    <row r="28" spans="1:14" ht="15" customHeight="1" x14ac:dyDescent="0.25">
      <c r="A28" s="152" t="s">
        <v>1237</v>
      </c>
      <c r="B28" s="156">
        <v>0.12</v>
      </c>
      <c r="C28" s="156">
        <v>6.5304545454545448E-2</v>
      </c>
      <c r="D28" s="158">
        <f t="shared" si="0"/>
        <v>5.4695454545454547E-2</v>
      </c>
      <c r="F28" s="151" t="s">
        <v>1238</v>
      </c>
      <c r="G28" s="160">
        <v>4.3922694287759859E-3</v>
      </c>
      <c r="H28" s="151"/>
      <c r="I28" s="151"/>
      <c r="J28" s="151"/>
      <c r="K28" s="151"/>
      <c r="L28" s="151"/>
      <c r="M28" s="151"/>
      <c r="N28" s="151"/>
    </row>
    <row r="29" spans="1:14" ht="15" customHeight="1" thickBot="1" x14ac:dyDescent="0.3">
      <c r="A29" s="155" t="s">
        <v>1239</v>
      </c>
      <c r="B29" s="156">
        <v>0.1106</v>
      </c>
      <c r="C29" s="156">
        <v>6.1478125000000015E-2</v>
      </c>
      <c r="D29" s="158">
        <f t="shared" si="0"/>
        <v>4.9121874999999988E-2</v>
      </c>
      <c r="F29" s="161" t="s">
        <v>1240</v>
      </c>
      <c r="G29" s="161">
        <v>128</v>
      </c>
      <c r="H29" s="151"/>
      <c r="I29" s="151"/>
      <c r="J29" s="151"/>
      <c r="K29" s="151"/>
      <c r="L29" s="151"/>
      <c r="M29" s="151"/>
      <c r="N29" s="151"/>
    </row>
    <row r="30" spans="1:14" ht="15" customHeight="1" x14ac:dyDescent="0.25">
      <c r="A30" s="155">
        <v>1998.1</v>
      </c>
      <c r="B30" s="156">
        <v>0.11312499999999999</v>
      </c>
      <c r="C30" s="156">
        <v>5.884375E-2</v>
      </c>
      <c r="D30" s="158">
        <f t="shared" si="0"/>
        <v>5.4281249999999989E-2</v>
      </c>
      <c r="F30" s="151"/>
      <c r="G30" s="151"/>
      <c r="H30" s="151"/>
      <c r="I30" s="151"/>
      <c r="J30" s="151"/>
      <c r="K30" s="151"/>
      <c r="L30" s="151"/>
      <c r="M30" s="151"/>
      <c r="N30" s="151"/>
    </row>
    <row r="31" spans="1:14" ht="15" customHeight="1" thickBot="1" x14ac:dyDescent="0.3">
      <c r="A31" s="152" t="s">
        <v>1241</v>
      </c>
      <c r="B31" s="156">
        <v>0.122</v>
      </c>
      <c r="C31" s="156">
        <v>5.8490769230769207E-2</v>
      </c>
      <c r="D31" s="158">
        <f t="shared" si="0"/>
        <v>6.350923076923079E-2</v>
      </c>
      <c r="F31" s="151" t="s">
        <v>1242</v>
      </c>
      <c r="G31" s="151"/>
      <c r="H31" s="151"/>
      <c r="I31" s="151"/>
      <c r="J31" s="151"/>
      <c r="K31" s="151"/>
      <c r="L31" s="151"/>
      <c r="M31" s="151"/>
      <c r="N31" s="151"/>
    </row>
    <row r="32" spans="1:14" ht="15" customHeight="1" x14ac:dyDescent="0.25">
      <c r="A32" s="152" t="s">
        <v>1243</v>
      </c>
      <c r="B32" s="156">
        <v>0.11650000000000001</v>
      </c>
      <c r="C32" s="156">
        <v>5.4762121212121241E-2</v>
      </c>
      <c r="D32" s="158">
        <f t="shared" si="0"/>
        <v>6.1737878787878765E-2</v>
      </c>
      <c r="F32" s="162"/>
      <c r="G32" s="162" t="s">
        <v>1244</v>
      </c>
      <c r="H32" s="162" t="s">
        <v>1245</v>
      </c>
      <c r="I32" s="162" t="s">
        <v>773</v>
      </c>
      <c r="J32" s="162" t="s">
        <v>426</v>
      </c>
      <c r="K32" s="162" t="s">
        <v>1246</v>
      </c>
      <c r="L32" s="151"/>
      <c r="M32" s="151"/>
      <c r="N32" s="151"/>
    </row>
    <row r="33" spans="1:14" ht="15" customHeight="1" x14ac:dyDescent="0.25">
      <c r="A33" s="152" t="s">
        <v>1247</v>
      </c>
      <c r="B33" s="156">
        <v>0.123</v>
      </c>
      <c r="C33" s="156">
        <v>5.1071212121212115E-2</v>
      </c>
      <c r="D33" s="158">
        <f t="shared" si="0"/>
        <v>7.1928787878787884E-2</v>
      </c>
      <c r="F33" s="151" t="s">
        <v>1248</v>
      </c>
      <c r="G33" s="151">
        <v>1</v>
      </c>
      <c r="H33" s="163">
        <v>1.0727181768770248E-2</v>
      </c>
      <c r="I33" s="163">
        <v>1.0727181768770248E-2</v>
      </c>
      <c r="J33" s="163">
        <v>556.04212517300959</v>
      </c>
      <c r="K33" s="163">
        <v>4.8721217626154657E-48</v>
      </c>
      <c r="L33" s="151"/>
      <c r="M33" s="151"/>
      <c r="N33" s="151"/>
    </row>
    <row r="34" spans="1:14" ht="15" customHeight="1" x14ac:dyDescent="0.25">
      <c r="A34" s="155" t="s">
        <v>1249</v>
      </c>
      <c r="B34" s="156">
        <v>0.10400000000000001</v>
      </c>
      <c r="C34" s="156">
        <v>5.3734374999999994E-2</v>
      </c>
      <c r="D34" s="158">
        <f t="shared" si="0"/>
        <v>5.0265625000000015E-2</v>
      </c>
      <c r="F34" s="151" t="s">
        <v>1250</v>
      </c>
      <c r="G34" s="151">
        <v>126</v>
      </c>
      <c r="H34" s="163">
        <v>2.430795872604976E-3</v>
      </c>
      <c r="I34" s="163">
        <v>1.9292030734960127E-5</v>
      </c>
      <c r="J34" s="163"/>
      <c r="K34" s="163"/>
      <c r="L34" s="151"/>
      <c r="M34" s="151"/>
      <c r="N34" s="151"/>
    </row>
    <row r="35" spans="1:14" ht="15" customHeight="1" thickBot="1" x14ac:dyDescent="0.3">
      <c r="A35" s="155" t="s">
        <v>1251</v>
      </c>
      <c r="B35" s="156">
        <v>0.1094</v>
      </c>
      <c r="C35" s="156">
        <v>5.7987692307692289E-2</v>
      </c>
      <c r="D35" s="158">
        <f t="shared" si="0"/>
        <v>5.1412307692307709E-2</v>
      </c>
      <c r="F35" s="161" t="s">
        <v>1252</v>
      </c>
      <c r="G35" s="161">
        <v>127</v>
      </c>
      <c r="H35" s="164">
        <v>1.3157977641375223E-2</v>
      </c>
      <c r="I35" s="164"/>
      <c r="J35" s="164"/>
      <c r="K35" s="164"/>
      <c r="L35" s="151"/>
      <c r="M35" s="151"/>
      <c r="N35" s="151"/>
    </row>
    <row r="36" spans="1:14" ht="15" customHeight="1" thickBot="1" x14ac:dyDescent="0.3">
      <c r="A36" s="155">
        <v>1999.3</v>
      </c>
      <c r="B36" s="156">
        <v>0.1075</v>
      </c>
      <c r="C36" s="156">
        <v>6.040757575757575E-2</v>
      </c>
      <c r="D36" s="158">
        <f t="shared" si="0"/>
        <v>4.7092424242424248E-2</v>
      </c>
      <c r="F36" s="151"/>
      <c r="G36" s="151"/>
      <c r="H36" s="151"/>
      <c r="I36" s="151"/>
      <c r="J36" s="151"/>
      <c r="K36" s="151"/>
      <c r="L36" s="151"/>
      <c r="M36" s="151"/>
      <c r="N36" s="151"/>
    </row>
    <row r="37" spans="1:14" ht="15" customHeight="1" x14ac:dyDescent="0.25">
      <c r="A37" s="155" t="s">
        <v>1253</v>
      </c>
      <c r="B37" s="156">
        <v>0.111</v>
      </c>
      <c r="C37" s="156">
        <v>6.2559090909090911E-2</v>
      </c>
      <c r="D37" s="158">
        <f t="shared" si="0"/>
        <v>4.844090909090909E-2</v>
      </c>
      <c r="F37" s="162"/>
      <c r="G37" s="162" t="s">
        <v>1254</v>
      </c>
      <c r="H37" s="162" t="s">
        <v>1238</v>
      </c>
      <c r="I37" s="162" t="s">
        <v>1255</v>
      </c>
      <c r="J37" s="162" t="s">
        <v>1256</v>
      </c>
      <c r="K37" s="162" t="s">
        <v>1257</v>
      </c>
      <c r="L37" s="162" t="s">
        <v>1258</v>
      </c>
      <c r="M37" s="162" t="s">
        <v>1259</v>
      </c>
      <c r="N37" s="162" t="s">
        <v>1260</v>
      </c>
    </row>
    <row r="38" spans="1:14" ht="15" customHeight="1" x14ac:dyDescent="0.25">
      <c r="A38" s="152" t="s">
        <v>1261</v>
      </c>
      <c r="B38" s="156">
        <v>0.112125</v>
      </c>
      <c r="C38" s="156">
        <v>6.2958461538461505E-2</v>
      </c>
      <c r="D38" s="158">
        <f t="shared" si="0"/>
        <v>4.9166538461538498E-2</v>
      </c>
      <c r="F38" s="151" t="s">
        <v>1262</v>
      </c>
      <c r="G38" s="165">
        <v>8.5880500018515618E-2</v>
      </c>
      <c r="H38" s="166">
        <v>1.1502833226958848E-3</v>
      </c>
      <c r="I38" s="166">
        <v>74.660301791770792</v>
      </c>
      <c r="J38" s="165">
        <v>3.6151597515022267E-106</v>
      </c>
      <c r="K38" s="165">
        <v>8.3604123138940362E-2</v>
      </c>
      <c r="L38" s="165">
        <v>8.8156876898090875E-2</v>
      </c>
      <c r="M38" s="165">
        <v>8.3604123138940362E-2</v>
      </c>
      <c r="N38" s="165">
        <v>8.8156876898090875E-2</v>
      </c>
    </row>
    <row r="39" spans="1:14" ht="15" customHeight="1" thickBot="1" x14ac:dyDescent="0.3">
      <c r="A39" s="155" t="s">
        <v>1263</v>
      </c>
      <c r="B39" s="156">
        <v>0.11</v>
      </c>
      <c r="C39" s="156">
        <v>5.9787692307692299E-2</v>
      </c>
      <c r="D39" s="158">
        <f t="shared" si="0"/>
        <v>5.0212307692307702E-2</v>
      </c>
      <c r="F39" s="161" t="s">
        <v>1264</v>
      </c>
      <c r="G39" s="167">
        <v>-0.56205351613733645</v>
      </c>
      <c r="H39" s="168">
        <v>2.3835475587047232E-2</v>
      </c>
      <c r="I39" s="168">
        <v>-23.580545480819765</v>
      </c>
      <c r="J39" s="167">
        <v>4.872121762615535E-48</v>
      </c>
      <c r="K39" s="167">
        <v>-0.60922322160856823</v>
      </c>
      <c r="L39" s="167">
        <v>-0.51488381066610467</v>
      </c>
      <c r="M39" s="167">
        <v>-0.60922322160856823</v>
      </c>
      <c r="N39" s="167">
        <v>-0.51488381066610467</v>
      </c>
    </row>
    <row r="40" spans="1:14" ht="15" customHeight="1" x14ac:dyDescent="0.25">
      <c r="A40" s="152" t="s">
        <v>1265</v>
      </c>
      <c r="B40" s="156">
        <v>0.1168</v>
      </c>
      <c r="C40" s="156">
        <v>5.7932307692307693E-2</v>
      </c>
      <c r="D40" s="158">
        <f t="shared" si="0"/>
        <v>5.8867692307692308E-2</v>
      </c>
      <c r="F40" s="151"/>
      <c r="G40" s="151"/>
      <c r="H40" s="151"/>
      <c r="I40" s="151"/>
      <c r="J40" s="151"/>
      <c r="K40" s="151"/>
      <c r="L40" s="151"/>
      <c r="M40" s="151"/>
      <c r="N40" s="151"/>
    </row>
    <row r="41" spans="1:14" ht="15" customHeight="1" x14ac:dyDescent="0.25">
      <c r="A41" s="152" t="s">
        <v>1266</v>
      </c>
      <c r="B41" s="156">
        <v>0.125</v>
      </c>
      <c r="C41" s="156">
        <v>5.6907692307692305E-2</v>
      </c>
      <c r="D41" s="158">
        <f t="shared" si="0"/>
        <v>6.8092307692307702E-2</v>
      </c>
      <c r="F41" s="151"/>
      <c r="G41" s="151"/>
      <c r="H41" s="151"/>
      <c r="I41" s="151"/>
      <c r="J41" s="151"/>
      <c r="K41" s="151"/>
      <c r="L41" s="151"/>
      <c r="M41" s="151"/>
      <c r="N41" s="151"/>
    </row>
    <row r="42" spans="1:14" ht="15" customHeight="1" thickBot="1" x14ac:dyDescent="0.3">
      <c r="A42" s="155" t="s">
        <v>1267</v>
      </c>
      <c r="B42" s="156">
        <v>0.11375</v>
      </c>
      <c r="C42" s="156">
        <v>5.4464615384615396E-2</v>
      </c>
      <c r="D42" s="158">
        <f t="shared" si="0"/>
        <v>5.9285384615384608E-2</v>
      </c>
      <c r="F42" s="151"/>
      <c r="G42" s="151"/>
      <c r="H42" s="151"/>
      <c r="I42" s="151"/>
      <c r="J42" s="151"/>
      <c r="K42" s="151"/>
      <c r="L42" s="151"/>
      <c r="M42" s="151"/>
      <c r="N42" s="151"/>
    </row>
    <row r="43" spans="1:14" ht="15" customHeight="1" x14ac:dyDescent="0.25">
      <c r="A43" s="152" t="s">
        <v>1268</v>
      </c>
      <c r="B43" s="156">
        <v>0.11</v>
      </c>
      <c r="C43" s="156">
        <v>5.7016923076923069E-2</v>
      </c>
      <c r="D43" s="158">
        <f t="shared" si="0"/>
        <v>5.2983076923076931E-2</v>
      </c>
      <c r="F43" s="169"/>
      <c r="G43" s="169"/>
      <c r="H43" s="169"/>
      <c r="I43" s="170" t="s">
        <v>1269</v>
      </c>
      <c r="J43" s="170"/>
      <c r="K43" s="170"/>
    </row>
    <row r="44" spans="1:14" ht="15" customHeight="1" x14ac:dyDescent="0.25">
      <c r="A44" s="152">
        <v>2001.3</v>
      </c>
      <c r="B44" s="156">
        <v>0.10755714285714287</v>
      </c>
      <c r="C44" s="156">
        <v>5.5250769230769207E-2</v>
      </c>
      <c r="D44" s="158">
        <f t="shared" si="0"/>
        <v>5.2306373626373658E-2</v>
      </c>
      <c r="F44" s="151"/>
      <c r="G44" s="151"/>
      <c r="H44" s="151"/>
      <c r="I44" s="152" t="s">
        <v>1270</v>
      </c>
      <c r="J44" s="152" t="s">
        <v>1271</v>
      </c>
      <c r="K44" s="152"/>
    </row>
    <row r="45" spans="1:14" ht="15" customHeight="1" x14ac:dyDescent="0.25">
      <c r="A45" s="152" t="s">
        <v>1272</v>
      </c>
      <c r="B45" s="156">
        <v>0.11993333333333334</v>
      </c>
      <c r="C45" s="156">
        <v>5.3019696969696967E-2</v>
      </c>
      <c r="D45" s="158">
        <f t="shared" si="0"/>
        <v>6.691363636363637E-2</v>
      </c>
      <c r="F45" s="171"/>
      <c r="G45" s="171"/>
      <c r="H45" s="171"/>
      <c r="I45" s="172" t="s">
        <v>1273</v>
      </c>
      <c r="J45" s="172" t="s">
        <v>1274</v>
      </c>
      <c r="K45" s="172" t="s">
        <v>1275</v>
      </c>
    </row>
    <row r="46" spans="1:14" ht="15" customHeight="1" x14ac:dyDescent="0.25">
      <c r="A46" s="155" t="s">
        <v>1276</v>
      </c>
      <c r="B46" s="156">
        <v>0.10050000000000001</v>
      </c>
      <c r="C46" s="156">
        <v>5.51578125E-2</v>
      </c>
      <c r="D46" s="158">
        <f t="shared" si="0"/>
        <v>4.5342187500000006E-2</v>
      </c>
      <c r="F46" s="151"/>
      <c r="G46" s="151"/>
      <c r="H46" s="151"/>
      <c r="I46" s="151"/>
      <c r="J46" s="151"/>
      <c r="K46" s="151"/>
    </row>
    <row r="47" spans="1:14" ht="15" customHeight="1" x14ac:dyDescent="0.25">
      <c r="A47" s="152" t="s">
        <v>1277</v>
      </c>
      <c r="B47" s="156">
        <v>0.11405</v>
      </c>
      <c r="C47" s="156">
        <v>5.6164615384615389E-2</v>
      </c>
      <c r="D47" s="158">
        <f t="shared" si="0"/>
        <v>5.7885384615384609E-2</v>
      </c>
      <c r="F47" s="151" t="s">
        <v>1278</v>
      </c>
      <c r="G47" s="151"/>
      <c r="H47" s="151"/>
      <c r="I47" s="173">
        <v>4.7746666666666673E-2</v>
      </c>
      <c r="J47" s="158">
        <f>$G$38+$G$39*I47</f>
        <v>5.9044318134678253E-2</v>
      </c>
      <c r="K47" s="156">
        <f>I47+J47</f>
        <v>0.10679098480134493</v>
      </c>
    </row>
    <row r="48" spans="1:14" ht="15" customHeight="1" x14ac:dyDescent="0.25">
      <c r="A48" s="152" t="s">
        <v>1279</v>
      </c>
      <c r="B48" s="156">
        <v>0.11650000000000001</v>
      </c>
      <c r="C48" s="156">
        <v>5.0868181818181826E-2</v>
      </c>
      <c r="D48" s="158">
        <f t="shared" si="0"/>
        <v>6.563181818181818E-2</v>
      </c>
      <c r="F48" s="151" t="s">
        <v>1280</v>
      </c>
      <c r="G48" s="151"/>
      <c r="H48" s="151"/>
      <c r="I48" s="173">
        <v>4.4800000000000006E-2</v>
      </c>
      <c r="J48" s="158">
        <f t="shared" ref="J48:J49" si="1">$G$38+$G$39*I48</f>
        <v>6.0700502495562941E-2</v>
      </c>
      <c r="K48" s="156">
        <f t="shared" ref="K48:K49" si="2">I48+J48</f>
        <v>0.10550050249556295</v>
      </c>
    </row>
    <row r="49" spans="1:11" ht="15" customHeight="1" x14ac:dyDescent="0.25">
      <c r="A49" s="155" t="s">
        <v>1281</v>
      </c>
      <c r="B49" s="156">
        <v>0.11566666666666665</v>
      </c>
      <c r="C49" s="156">
        <v>4.9322727272727268E-2</v>
      </c>
      <c r="D49" s="158">
        <f t="shared" si="0"/>
        <v>6.6343939393939386E-2</v>
      </c>
      <c r="F49" s="171" t="s">
        <v>1282</v>
      </c>
      <c r="G49" s="171"/>
      <c r="H49" s="171"/>
      <c r="I49" s="174">
        <v>4.1000000000000002E-2</v>
      </c>
      <c r="J49" s="158">
        <f t="shared" si="1"/>
        <v>6.2836305856884822E-2</v>
      </c>
      <c r="K49" s="175">
        <f t="shared" si="2"/>
        <v>0.10383630585688483</v>
      </c>
    </row>
    <row r="50" spans="1:11" ht="15" customHeight="1" thickBot="1" x14ac:dyDescent="0.3">
      <c r="A50" s="152" t="s">
        <v>1283</v>
      </c>
      <c r="B50" s="156">
        <v>0.1172</v>
      </c>
      <c r="C50" s="156">
        <v>4.8518749999999999E-2</v>
      </c>
      <c r="D50" s="158">
        <f t="shared" si="0"/>
        <v>6.8681249999999999E-2</v>
      </c>
      <c r="F50" s="176" t="s">
        <v>1284</v>
      </c>
      <c r="G50" s="176"/>
      <c r="H50" s="176"/>
      <c r="I50" s="177"/>
      <c r="J50" s="177"/>
      <c r="K50" s="177">
        <f>AVERAGE(K47:K49)</f>
        <v>0.10537593105126423</v>
      </c>
    </row>
    <row r="51" spans="1:11" ht="15" customHeight="1" x14ac:dyDescent="0.25">
      <c r="A51" s="152" t="s">
        <v>1285</v>
      </c>
      <c r="B51" s="156">
        <v>0.111625</v>
      </c>
      <c r="C51" s="156">
        <v>4.6032307692307678E-2</v>
      </c>
      <c r="D51" s="158">
        <f t="shared" si="0"/>
        <v>6.5592692307692324E-2</v>
      </c>
    </row>
    <row r="52" spans="1:11" ht="15" customHeight="1" x14ac:dyDescent="0.25">
      <c r="A52" s="152" t="s">
        <v>1286</v>
      </c>
      <c r="B52" s="156">
        <v>0.105</v>
      </c>
      <c r="C52" s="156">
        <v>5.113939393939395E-2</v>
      </c>
      <c r="D52" s="158">
        <f t="shared" si="0"/>
        <v>5.3860606060606046E-2</v>
      </c>
      <c r="F52" s="150" t="s">
        <v>104</v>
      </c>
    </row>
    <row r="53" spans="1:11" ht="15" customHeight="1" x14ac:dyDescent="0.25">
      <c r="A53" s="152" t="s">
        <v>1287</v>
      </c>
      <c r="B53" s="156">
        <v>0.11339999999999999</v>
      </c>
      <c r="C53" s="156">
        <v>5.1146969696969691E-2</v>
      </c>
      <c r="D53" s="158">
        <f t="shared" si="0"/>
        <v>6.2253030303030296E-2</v>
      </c>
      <c r="F53" s="150" t="s">
        <v>1288</v>
      </c>
    </row>
    <row r="54" spans="1:11" ht="15" customHeight="1" x14ac:dyDescent="0.25">
      <c r="A54" s="152" t="s">
        <v>1289</v>
      </c>
      <c r="B54" s="156">
        <v>0.10999999999999999</v>
      </c>
      <c r="C54" s="156">
        <v>4.8776923076923072E-2</v>
      </c>
      <c r="D54" s="158">
        <f t="shared" si="0"/>
        <v>6.1223076923076915E-2</v>
      </c>
      <c r="F54" s="150" t="s">
        <v>1290</v>
      </c>
    </row>
    <row r="55" spans="1:11" ht="15" customHeight="1" x14ac:dyDescent="0.25">
      <c r="A55" s="152" t="s">
        <v>1291</v>
      </c>
      <c r="B55" s="156">
        <v>0.10638571428571429</v>
      </c>
      <c r="C55" s="156">
        <v>5.3353846153846154E-2</v>
      </c>
      <c r="D55" s="158">
        <f t="shared" si="0"/>
        <v>5.3031868131868137E-2</v>
      </c>
      <c r="F55" s="150" t="s">
        <v>1292</v>
      </c>
    </row>
    <row r="56" spans="1:11" ht="15" customHeight="1" x14ac:dyDescent="0.25">
      <c r="A56" s="152" t="s">
        <v>1293</v>
      </c>
      <c r="B56" s="156">
        <v>0.1075</v>
      </c>
      <c r="C56" s="156">
        <v>5.1074242424242439E-2</v>
      </c>
      <c r="D56" s="158">
        <f t="shared" si="0"/>
        <v>5.642575757575756E-2</v>
      </c>
      <c r="F56" s="150" t="s">
        <v>1294</v>
      </c>
    </row>
    <row r="57" spans="1:11" ht="15" customHeight="1" x14ac:dyDescent="0.25">
      <c r="A57" s="152" t="s">
        <v>1295</v>
      </c>
      <c r="B57" s="156">
        <v>0.11244000000000001</v>
      </c>
      <c r="C57" s="156">
        <v>4.9322727272727296E-2</v>
      </c>
      <c r="D57" s="158">
        <f t="shared" si="0"/>
        <v>6.3117272727272716E-2</v>
      </c>
      <c r="F57" s="150" t="s">
        <v>1296</v>
      </c>
    </row>
    <row r="58" spans="1:11" ht="15" customHeight="1" x14ac:dyDescent="0.25">
      <c r="A58" s="152" t="s">
        <v>1297</v>
      </c>
      <c r="B58" s="156">
        <v>0.10625000000000001</v>
      </c>
      <c r="C58" s="156">
        <v>4.7070312500000003E-2</v>
      </c>
      <c r="D58" s="158">
        <f t="shared" si="0"/>
        <v>5.9179687500000008E-2</v>
      </c>
      <c r="F58" s="150" t="s">
        <v>1298</v>
      </c>
    </row>
    <row r="59" spans="1:11" ht="15" customHeight="1" x14ac:dyDescent="0.25">
      <c r="A59" s="155" t="s">
        <v>1299</v>
      </c>
      <c r="B59" s="156">
        <v>0.10312499999999999</v>
      </c>
      <c r="C59" s="156">
        <v>4.4709230769230765E-2</v>
      </c>
      <c r="D59" s="158">
        <f t="shared" si="0"/>
        <v>5.8415769230769229E-2</v>
      </c>
      <c r="F59" s="150" t="s">
        <v>1300</v>
      </c>
    </row>
    <row r="60" spans="1:11" ht="15" customHeight="1" x14ac:dyDescent="0.25">
      <c r="A60" s="152" t="s">
        <v>1301</v>
      </c>
      <c r="B60" s="156">
        <v>0.11083333333333334</v>
      </c>
      <c r="C60" s="156">
        <v>4.4228787878787867E-2</v>
      </c>
      <c r="D60" s="158">
        <f t="shared" si="0"/>
        <v>6.6604545454545472E-2</v>
      </c>
      <c r="F60" s="150" t="str">
        <f>"[8] Equals "&amp;TEXT(G38,"0.000000")&amp;" + ("&amp;TEXT(G39,"0.000000")&amp;" x Column [7])"</f>
        <v>[8] Equals 0.085881 + (-0.562054 x Column [7])</v>
      </c>
    </row>
    <row r="61" spans="1:11" ht="15" customHeight="1" x14ac:dyDescent="0.25">
      <c r="A61" s="152" t="s">
        <v>1302</v>
      </c>
      <c r="B61" s="156">
        <v>0.1063125</v>
      </c>
      <c r="C61" s="156">
        <v>4.6523076923076924E-2</v>
      </c>
      <c r="D61" s="158">
        <f t="shared" si="0"/>
        <v>5.978942307692308E-2</v>
      </c>
      <c r="F61" s="150" t="s">
        <v>1303</v>
      </c>
    </row>
    <row r="62" spans="1:11" ht="15" customHeight="1" x14ac:dyDescent="0.25">
      <c r="A62" s="152" t="s">
        <v>1304</v>
      </c>
      <c r="B62" s="156">
        <v>0.10695</v>
      </c>
      <c r="C62" s="156">
        <v>4.6270769230769213E-2</v>
      </c>
      <c r="D62" s="158">
        <f t="shared" si="0"/>
        <v>6.0679230769230791E-2</v>
      </c>
    </row>
    <row r="63" spans="1:11" ht="15" customHeight="1" x14ac:dyDescent="0.25">
      <c r="A63" s="152" t="s">
        <v>1305</v>
      </c>
      <c r="B63" s="156">
        <v>0.10787499999999998</v>
      </c>
      <c r="C63" s="156">
        <v>5.1427692307692299E-2</v>
      </c>
      <c r="D63" s="158">
        <f t="shared" si="0"/>
        <v>5.6447307692307686E-2</v>
      </c>
    </row>
    <row r="64" spans="1:11" ht="15" customHeight="1" x14ac:dyDescent="0.25">
      <c r="A64" s="152" t="s">
        <v>1306</v>
      </c>
      <c r="B64" s="156">
        <v>0.10346666666666667</v>
      </c>
      <c r="C64" s="156">
        <v>4.9955384615384631E-2</v>
      </c>
      <c r="D64" s="158">
        <f t="shared" si="0"/>
        <v>5.3511282051282034E-2</v>
      </c>
    </row>
    <row r="65" spans="1:72" ht="15" customHeight="1" x14ac:dyDescent="0.25">
      <c r="A65" s="152" t="s">
        <v>1307</v>
      </c>
      <c r="B65" s="156">
        <v>0.1065</v>
      </c>
      <c r="C65" s="156">
        <v>4.7423076923076908E-2</v>
      </c>
      <c r="D65" s="158">
        <f t="shared" si="0"/>
        <v>5.9076923076923089E-2</v>
      </c>
    </row>
    <row r="66" spans="1:72" ht="15" customHeight="1" x14ac:dyDescent="0.25">
      <c r="A66" s="152" t="s">
        <v>1308</v>
      </c>
      <c r="B66" s="156">
        <v>0.10591666666666666</v>
      </c>
      <c r="C66" s="156">
        <v>4.7975384615384635E-2</v>
      </c>
      <c r="D66" s="158">
        <f t="shared" si="0"/>
        <v>5.7941282051282024E-2</v>
      </c>
    </row>
    <row r="67" spans="1:72" ht="15" customHeight="1" x14ac:dyDescent="0.25">
      <c r="A67" s="152" t="s">
        <v>1309</v>
      </c>
      <c r="B67" s="156">
        <v>0.10324999999999999</v>
      </c>
      <c r="C67" s="156">
        <v>4.9892307692307715E-2</v>
      </c>
      <c r="D67" s="158">
        <f t="shared" si="0"/>
        <v>5.335769230769228E-2</v>
      </c>
      <c r="F67" s="2"/>
      <c r="G67" s="2"/>
      <c r="H67" s="2"/>
      <c r="I67" s="2"/>
      <c r="J67" s="2"/>
      <c r="K67" s="2"/>
      <c r="L67" s="2"/>
      <c r="M67" s="2"/>
      <c r="N67" s="2"/>
      <c r="O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5" customHeight="1" x14ac:dyDescent="0.25">
      <c r="A68" s="152" t="s">
        <v>1310</v>
      </c>
      <c r="B68" s="156">
        <v>0.10400000000000001</v>
      </c>
      <c r="C68" s="156">
        <v>4.9499999999999982E-2</v>
      </c>
      <c r="D68" s="158">
        <f t="shared" si="0"/>
        <v>5.4500000000000028E-2</v>
      </c>
      <c r="F68" s="2"/>
      <c r="G68" s="2"/>
      <c r="H68" s="2"/>
      <c r="I68" s="2"/>
      <c r="J68" s="2"/>
      <c r="K68" s="2"/>
      <c r="L68" s="2"/>
      <c r="M68" s="2"/>
      <c r="N68" s="2"/>
      <c r="O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5" customHeight="1" x14ac:dyDescent="0.25">
      <c r="A69" s="152" t="s">
        <v>1311</v>
      </c>
      <c r="B69" s="156">
        <v>0.10649999999999998</v>
      </c>
      <c r="C69" s="156">
        <v>4.6140000000000014E-2</v>
      </c>
      <c r="D69" s="158">
        <f t="shared" si="0"/>
        <v>6.0359999999999969E-2</v>
      </c>
      <c r="F69" s="2"/>
      <c r="G69" s="2"/>
      <c r="H69" s="2"/>
      <c r="I69" s="2"/>
      <c r="J69" s="2"/>
      <c r="K69" s="2"/>
      <c r="L69" s="2"/>
      <c r="M69" s="2"/>
      <c r="N69" s="2"/>
      <c r="O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5" customHeight="1" x14ac:dyDescent="0.25">
      <c r="A70" s="152" t="s">
        <v>1312</v>
      </c>
      <c r="B70" s="156">
        <v>0.10614999999999999</v>
      </c>
      <c r="C70" s="156">
        <v>4.409538461538462E-2</v>
      </c>
      <c r="D70" s="158">
        <f t="shared" si="0"/>
        <v>6.2054615384615375E-2</v>
      </c>
      <c r="F70" s="2"/>
      <c r="G70" s="2"/>
      <c r="H70" s="2"/>
      <c r="I70" s="2"/>
      <c r="J70" s="2"/>
      <c r="K70" s="2"/>
      <c r="L70" s="2"/>
      <c r="M70" s="2"/>
      <c r="N70" s="2"/>
      <c r="O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5" customHeight="1" x14ac:dyDescent="0.25">
      <c r="A71" s="152" t="s">
        <v>1313</v>
      </c>
      <c r="B71" s="156">
        <v>0.1053625</v>
      </c>
      <c r="C71" s="156">
        <v>4.5739999999999996E-2</v>
      </c>
      <c r="D71" s="158">
        <f t="shared" ref="D71:D133" si="3">B71-C71</f>
        <v>5.9622500000000002E-2</v>
      </c>
      <c r="F71" s="2"/>
      <c r="G71" s="2"/>
      <c r="H71" s="2"/>
      <c r="I71" s="2"/>
      <c r="J71" s="2"/>
      <c r="K71" s="2"/>
      <c r="L71" s="2"/>
      <c r="M71" s="2"/>
      <c r="N71" s="2"/>
      <c r="O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5" customHeight="1" x14ac:dyDescent="0.25">
      <c r="A72" s="152" t="s">
        <v>1314</v>
      </c>
      <c r="B72" s="156">
        <v>0.10426666666666667</v>
      </c>
      <c r="C72" s="156">
        <v>4.4501515151515146E-2</v>
      </c>
      <c r="D72" s="158">
        <f t="shared" si="3"/>
        <v>5.9765151515151528E-2</v>
      </c>
      <c r="F72" s="2"/>
      <c r="G72" s="2"/>
      <c r="H72" s="2"/>
      <c r="I72" s="2"/>
      <c r="J72" s="2"/>
      <c r="K72" s="2"/>
      <c r="L72" s="2"/>
      <c r="M72" s="2"/>
      <c r="N72" s="2"/>
      <c r="O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5" customHeight="1" x14ac:dyDescent="0.25">
      <c r="A73" s="152" t="s">
        <v>1315</v>
      </c>
      <c r="B73" s="156">
        <v>0.103875</v>
      </c>
      <c r="C73" s="156">
        <v>3.6437500000000005E-2</v>
      </c>
      <c r="D73" s="158">
        <f t="shared" si="3"/>
        <v>6.7437499999999984E-2</v>
      </c>
      <c r="F73" s="2"/>
      <c r="G73" s="2"/>
      <c r="H73" s="2"/>
      <c r="I73" s="2"/>
      <c r="J73" s="2"/>
      <c r="K73" s="2"/>
      <c r="L73" s="2"/>
      <c r="M73" s="2"/>
      <c r="N73" s="2"/>
      <c r="O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5" customHeight="1" x14ac:dyDescent="0.25">
      <c r="A74" s="152" t="s">
        <v>1316</v>
      </c>
      <c r="B74" s="156">
        <v>0.10751999999999999</v>
      </c>
      <c r="C74" s="156">
        <v>3.4393749999999994E-2</v>
      </c>
      <c r="D74" s="158">
        <f t="shared" si="3"/>
        <v>7.3126250000000004E-2</v>
      </c>
      <c r="F74" s="2"/>
      <c r="G74" s="2"/>
      <c r="H74" s="2"/>
      <c r="I74" s="2"/>
      <c r="J74" s="2"/>
      <c r="K74" s="2"/>
      <c r="L74" s="2"/>
      <c r="M74" s="2"/>
      <c r="N74" s="2"/>
      <c r="O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5" customHeight="1" x14ac:dyDescent="0.25">
      <c r="A75" s="152" t="s">
        <v>1317</v>
      </c>
      <c r="B75" s="156">
        <v>0.1075</v>
      </c>
      <c r="C75" s="156">
        <v>4.1692307692307695E-2</v>
      </c>
      <c r="D75" s="158">
        <f t="shared" si="3"/>
        <v>6.5807692307692303E-2</v>
      </c>
      <c r="F75" s="2"/>
      <c r="G75" s="2"/>
      <c r="H75" s="2"/>
      <c r="I75" s="2"/>
      <c r="J75" s="2"/>
      <c r="K75" s="2"/>
      <c r="L75" s="2"/>
      <c r="M75" s="2"/>
      <c r="N75" s="2"/>
      <c r="O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5" customHeight="1" x14ac:dyDescent="0.25">
      <c r="A76" s="152" t="s">
        <v>1318</v>
      </c>
      <c r="B76" s="156">
        <v>0.105</v>
      </c>
      <c r="C76" s="156">
        <v>4.321666666666666E-2</v>
      </c>
      <c r="D76" s="158">
        <f t="shared" si="3"/>
        <v>6.1783333333333336E-2</v>
      </c>
      <c r="F76" s="2"/>
      <c r="G76" s="2"/>
      <c r="H76" s="2"/>
      <c r="I76" s="2"/>
      <c r="J76" s="2"/>
      <c r="K76" s="2"/>
      <c r="L76" s="2"/>
      <c r="M76" s="2"/>
      <c r="N76" s="2"/>
      <c r="O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5" customHeight="1" x14ac:dyDescent="0.25">
      <c r="A77" s="152" t="s">
        <v>1319</v>
      </c>
      <c r="B77" s="156">
        <v>0.10592000000000003</v>
      </c>
      <c r="C77" s="156">
        <v>4.3392187499999998E-2</v>
      </c>
      <c r="D77" s="158">
        <f t="shared" si="3"/>
        <v>6.252781250000003E-2</v>
      </c>
      <c r="F77" s="2"/>
      <c r="G77" s="2"/>
      <c r="H77" s="2"/>
      <c r="I77" s="2"/>
      <c r="J77" s="2"/>
      <c r="K77" s="2"/>
      <c r="L77" s="2"/>
      <c r="M77" s="2"/>
      <c r="N77" s="2"/>
      <c r="O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5" customHeight="1" x14ac:dyDescent="0.25">
      <c r="A78" s="152" t="s">
        <v>1320</v>
      </c>
      <c r="B78" s="156">
        <v>0.10592500000000001</v>
      </c>
      <c r="C78" s="156">
        <v>4.6243749999999986E-2</v>
      </c>
      <c r="D78" s="158">
        <f t="shared" si="3"/>
        <v>5.9681250000000019E-2</v>
      </c>
      <c r="F78" s="2"/>
      <c r="G78" s="2"/>
      <c r="H78" s="2"/>
      <c r="I78" s="2"/>
      <c r="J78" s="2"/>
      <c r="K78" s="2"/>
      <c r="L78" s="2"/>
      <c r="M78" s="2"/>
      <c r="N78" s="2"/>
      <c r="O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5" customHeight="1" x14ac:dyDescent="0.25">
      <c r="A79" s="152" t="s">
        <v>1321</v>
      </c>
      <c r="B79" s="156">
        <v>0.1018</v>
      </c>
      <c r="C79" s="156">
        <v>4.3692307692307676E-2</v>
      </c>
      <c r="D79" s="158">
        <f t="shared" si="3"/>
        <v>5.8107692307692325E-2</v>
      </c>
      <c r="F79" s="2"/>
      <c r="G79" s="2"/>
      <c r="H79" s="2"/>
      <c r="I79" s="2"/>
      <c r="J79" s="2"/>
      <c r="K79" s="2"/>
      <c r="L79" s="2"/>
      <c r="M79" s="2"/>
      <c r="N79" s="2"/>
      <c r="O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5" customHeight="1" x14ac:dyDescent="0.25">
      <c r="A80" s="152" t="s">
        <v>1322</v>
      </c>
      <c r="B80" s="156">
        <v>0.10403333333333332</v>
      </c>
      <c r="C80" s="156">
        <v>3.8563636363636355E-2</v>
      </c>
      <c r="D80" s="158">
        <f t="shared" si="3"/>
        <v>6.5469696969696969E-2</v>
      </c>
    </row>
    <row r="81" spans="1:4" ht="15" customHeight="1" x14ac:dyDescent="0.25">
      <c r="A81" s="152" t="s">
        <v>1323</v>
      </c>
      <c r="B81" s="156">
        <v>0.10378666666666668</v>
      </c>
      <c r="C81" s="156">
        <v>4.1749230769230768E-2</v>
      </c>
      <c r="D81" s="158">
        <f t="shared" si="3"/>
        <v>6.2037435897435912E-2</v>
      </c>
    </row>
    <row r="82" spans="1:4" ht="15" customHeight="1" x14ac:dyDescent="0.25">
      <c r="A82" s="152" t="s">
        <v>1324</v>
      </c>
      <c r="B82" s="156">
        <v>0.10091666666666665</v>
      </c>
      <c r="C82" s="156">
        <v>4.5609374999999994E-2</v>
      </c>
      <c r="D82" s="158">
        <f t="shared" si="3"/>
        <v>5.5307291666666661E-2</v>
      </c>
    </row>
    <row r="83" spans="1:4" ht="15" customHeight="1" x14ac:dyDescent="0.25">
      <c r="A83" s="155" t="s">
        <v>1325</v>
      </c>
      <c r="B83" s="156">
        <v>0.10262857142857143</v>
      </c>
      <c r="C83" s="156">
        <v>4.3387692307692308E-2</v>
      </c>
      <c r="D83" s="158">
        <f t="shared" si="3"/>
        <v>5.9240879120879122E-2</v>
      </c>
    </row>
    <row r="84" spans="1:4" ht="15" customHeight="1" x14ac:dyDescent="0.25">
      <c r="A84" s="155" t="s">
        <v>1326</v>
      </c>
      <c r="B84" s="156">
        <v>0.10571666666666667</v>
      </c>
      <c r="C84" s="156">
        <v>3.6960606060606048E-2</v>
      </c>
      <c r="D84" s="158">
        <f t="shared" si="3"/>
        <v>6.8756060606060626E-2</v>
      </c>
    </row>
    <row r="85" spans="1:4" ht="15" customHeight="1" x14ac:dyDescent="0.25">
      <c r="A85" s="155" t="s">
        <v>1327</v>
      </c>
      <c r="B85" s="156">
        <v>0.10387777777777778</v>
      </c>
      <c r="C85" s="156">
        <v>3.0376190476190473E-2</v>
      </c>
      <c r="D85" s="158">
        <f t="shared" si="3"/>
        <v>7.3501587301587304E-2</v>
      </c>
    </row>
    <row r="86" spans="1:4" ht="15" customHeight="1" x14ac:dyDescent="0.25">
      <c r="A86" s="155" t="s">
        <v>1328</v>
      </c>
      <c r="B86" s="156">
        <v>0.10302857142857143</v>
      </c>
      <c r="C86" s="156">
        <v>3.1361538461538462E-2</v>
      </c>
      <c r="D86" s="158">
        <f t="shared" si="3"/>
        <v>7.1667032967032973E-2</v>
      </c>
    </row>
    <row r="87" spans="1:4" ht="15" customHeight="1" x14ac:dyDescent="0.25">
      <c r="A87" s="155" t="s">
        <v>1329</v>
      </c>
      <c r="B87" s="156">
        <v>9.9500000000000005E-2</v>
      </c>
      <c r="C87" s="156">
        <v>2.9363076923076922E-2</v>
      </c>
      <c r="D87" s="158">
        <f t="shared" si="3"/>
        <v>7.0136923076923083E-2</v>
      </c>
    </row>
    <row r="88" spans="1:4" ht="15" customHeight="1" x14ac:dyDescent="0.25">
      <c r="A88" s="155" t="s">
        <v>1330</v>
      </c>
      <c r="B88" s="156">
        <v>9.9000000000000005E-2</v>
      </c>
      <c r="C88" s="156">
        <v>2.7429230769230779E-2</v>
      </c>
      <c r="D88" s="158">
        <f t="shared" si="3"/>
        <v>7.1570769230769229E-2</v>
      </c>
    </row>
    <row r="89" spans="1:4" ht="15" customHeight="1" x14ac:dyDescent="0.25">
      <c r="A89" s="155" t="s">
        <v>1331</v>
      </c>
      <c r="B89" s="156">
        <v>0.10163529411764709</v>
      </c>
      <c r="C89" s="156">
        <v>2.8639062499999993E-2</v>
      </c>
      <c r="D89" s="158">
        <f t="shared" si="3"/>
        <v>7.2996231617647095E-2</v>
      </c>
    </row>
    <row r="90" spans="1:4" ht="15" customHeight="1" x14ac:dyDescent="0.25">
      <c r="A90" s="155" t="s">
        <v>1332</v>
      </c>
      <c r="B90" s="156">
        <v>9.849999999999999E-2</v>
      </c>
      <c r="C90" s="156">
        <v>3.1303125000000008E-2</v>
      </c>
      <c r="D90" s="158">
        <f t="shared" si="3"/>
        <v>6.7196874999999989E-2</v>
      </c>
    </row>
    <row r="91" spans="1:4" ht="15" customHeight="1" x14ac:dyDescent="0.25">
      <c r="A91" s="155" t="s">
        <v>1333</v>
      </c>
      <c r="B91" s="156">
        <v>9.8599999999999993E-2</v>
      </c>
      <c r="C91" s="156">
        <v>3.1412307692307684E-2</v>
      </c>
      <c r="D91" s="158">
        <f t="shared" si="3"/>
        <v>6.7187692307692309E-2</v>
      </c>
    </row>
    <row r="92" spans="1:4" ht="15" customHeight="1" x14ac:dyDescent="0.25">
      <c r="A92" s="155" t="s">
        <v>1334</v>
      </c>
      <c r="B92" s="156">
        <v>0.10119999999999998</v>
      </c>
      <c r="C92" s="156">
        <v>3.7107575757575756E-2</v>
      </c>
      <c r="D92" s="158">
        <f t="shared" si="3"/>
        <v>6.4092424242424229E-2</v>
      </c>
    </row>
    <row r="93" spans="1:4" ht="15" customHeight="1" x14ac:dyDescent="0.25">
      <c r="A93" s="155" t="s">
        <v>1335</v>
      </c>
      <c r="B93" s="156">
        <v>9.9668750000000014E-2</v>
      </c>
      <c r="C93" s="156">
        <v>3.7882812500000008E-2</v>
      </c>
      <c r="D93" s="158">
        <f t="shared" si="3"/>
        <v>6.1785937500000006E-2</v>
      </c>
    </row>
    <row r="94" spans="1:4" ht="15" customHeight="1" x14ac:dyDescent="0.25">
      <c r="A94" s="155" t="s">
        <v>1336</v>
      </c>
      <c r="B94" s="156">
        <v>9.8549999999999999E-2</v>
      </c>
      <c r="C94" s="156">
        <v>3.6903125000000009E-2</v>
      </c>
      <c r="D94" s="158">
        <f t="shared" si="3"/>
        <v>6.164687499999999E-2</v>
      </c>
    </row>
    <row r="95" spans="1:4" ht="15" customHeight="1" x14ac:dyDescent="0.25">
      <c r="A95" s="155" t="s">
        <v>1337</v>
      </c>
      <c r="B95" s="156">
        <v>0.10100000000000001</v>
      </c>
      <c r="C95" s="156">
        <v>3.4430769230769237E-2</v>
      </c>
      <c r="D95" s="158">
        <f t="shared" si="3"/>
        <v>6.6569230769230769E-2</v>
      </c>
    </row>
    <row r="96" spans="1:4" ht="15" customHeight="1" x14ac:dyDescent="0.25">
      <c r="A96" s="155" t="s">
        <v>1338</v>
      </c>
      <c r="B96" s="156">
        <v>9.9000000000000005E-2</v>
      </c>
      <c r="C96" s="156">
        <v>3.2657575757575753E-2</v>
      </c>
      <c r="D96" s="158">
        <f t="shared" si="3"/>
        <v>6.6342424242424258E-2</v>
      </c>
    </row>
    <row r="97" spans="1:4" ht="15" customHeight="1" x14ac:dyDescent="0.25">
      <c r="A97" s="155" t="s">
        <v>1339</v>
      </c>
      <c r="B97" s="156">
        <v>9.9440000000000001E-2</v>
      </c>
      <c r="C97" s="156">
        <v>2.9637499999999997E-2</v>
      </c>
      <c r="D97" s="158">
        <f t="shared" si="3"/>
        <v>6.9802500000000003E-2</v>
      </c>
    </row>
    <row r="98" spans="1:4" ht="15" customHeight="1" x14ac:dyDescent="0.25">
      <c r="A98" s="155" t="s">
        <v>1340</v>
      </c>
      <c r="B98" s="156">
        <v>9.6374999999999988E-2</v>
      </c>
      <c r="C98" s="156">
        <v>2.5540625000000004E-2</v>
      </c>
      <c r="D98" s="158">
        <f t="shared" si="3"/>
        <v>7.0834374999999977E-2</v>
      </c>
    </row>
    <row r="99" spans="1:4" ht="15" customHeight="1" x14ac:dyDescent="0.25">
      <c r="A99" s="155" t="s">
        <v>1341</v>
      </c>
      <c r="B99" s="156">
        <v>9.8266666666666655E-2</v>
      </c>
      <c r="C99" s="156">
        <v>2.8836923076923083E-2</v>
      </c>
      <c r="D99" s="158">
        <f t="shared" si="3"/>
        <v>6.9429743589743576E-2</v>
      </c>
    </row>
    <row r="100" spans="1:4" ht="15" customHeight="1" x14ac:dyDescent="0.25">
      <c r="A100" s="155" t="s">
        <v>1342</v>
      </c>
      <c r="B100" s="156">
        <v>9.4E-2</v>
      </c>
      <c r="C100" s="156">
        <v>2.9624242424242438E-2</v>
      </c>
      <c r="D100" s="158">
        <f t="shared" si="3"/>
        <v>6.4375757575757558E-2</v>
      </c>
    </row>
    <row r="101" spans="1:4" ht="15" customHeight="1" x14ac:dyDescent="0.25">
      <c r="A101" s="155" t="s">
        <v>1343</v>
      </c>
      <c r="B101" s="156">
        <v>9.862499999999999E-2</v>
      </c>
      <c r="C101" s="156">
        <v>2.9630303030303028E-2</v>
      </c>
      <c r="D101" s="158">
        <f t="shared" si="3"/>
        <v>6.8994696969696956E-2</v>
      </c>
    </row>
    <row r="102" spans="1:4" ht="15" customHeight="1" x14ac:dyDescent="0.25">
      <c r="A102" s="155" t="s">
        <v>1344</v>
      </c>
      <c r="B102" s="156">
        <v>9.7000000000000017E-2</v>
      </c>
      <c r="C102" s="156">
        <v>2.7218461538461539E-2</v>
      </c>
      <c r="D102" s="158">
        <f t="shared" si="3"/>
        <v>6.9781538461538478E-2</v>
      </c>
    </row>
    <row r="103" spans="1:4" ht="15" customHeight="1" x14ac:dyDescent="0.25">
      <c r="A103" s="155" t="s">
        <v>1345</v>
      </c>
      <c r="B103" s="156">
        <v>9.4800000000000009E-2</v>
      </c>
      <c r="C103" s="156">
        <v>2.5672307692307696E-2</v>
      </c>
      <c r="D103" s="158">
        <f t="shared" si="3"/>
        <v>6.9127692307692307E-2</v>
      </c>
    </row>
    <row r="104" spans="1:4" ht="15" customHeight="1" x14ac:dyDescent="0.25">
      <c r="A104" s="155" t="s">
        <v>1346</v>
      </c>
      <c r="B104" s="156">
        <v>9.7349999999999992E-2</v>
      </c>
      <c r="C104" s="156">
        <v>2.2793939393939398E-2</v>
      </c>
      <c r="D104" s="158">
        <f t="shared" si="3"/>
        <v>7.4556060606060598E-2</v>
      </c>
    </row>
    <row r="105" spans="1:4" ht="15" customHeight="1" x14ac:dyDescent="0.25">
      <c r="A105" s="155" t="s">
        <v>1347</v>
      </c>
      <c r="B105" s="156">
        <v>9.8319999999999991E-2</v>
      </c>
      <c r="C105" s="156">
        <v>2.8333846153846154E-2</v>
      </c>
      <c r="D105" s="158">
        <f t="shared" si="3"/>
        <v>6.9986153846153837E-2</v>
      </c>
    </row>
    <row r="106" spans="1:4" ht="15" customHeight="1" x14ac:dyDescent="0.25">
      <c r="A106" s="155" t="s">
        <v>1348</v>
      </c>
      <c r="B106" s="156">
        <v>9.7183333333333344E-2</v>
      </c>
      <c r="C106" s="156">
        <v>3.0452307692307709E-2</v>
      </c>
      <c r="D106" s="158">
        <f t="shared" si="3"/>
        <v>6.6731025641025635E-2</v>
      </c>
    </row>
    <row r="107" spans="1:4" ht="15" customHeight="1" x14ac:dyDescent="0.25">
      <c r="A107" s="155" t="s">
        <v>1349</v>
      </c>
      <c r="B107" s="156">
        <v>9.6428571428571419E-2</v>
      </c>
      <c r="C107" s="156">
        <v>2.8972307692307693E-2</v>
      </c>
      <c r="D107" s="158">
        <f t="shared" si="3"/>
        <v>6.7456263736263733E-2</v>
      </c>
    </row>
    <row r="108" spans="1:4" ht="15" customHeight="1" x14ac:dyDescent="0.25">
      <c r="A108" s="155" t="s">
        <v>1350</v>
      </c>
      <c r="B108" s="156">
        <v>0.1</v>
      </c>
      <c r="C108" s="156">
        <v>2.8173846153846157E-2</v>
      </c>
      <c r="D108" s="158">
        <f t="shared" si="3"/>
        <v>7.1826153846153845E-2</v>
      </c>
    </row>
    <row r="109" spans="1:4" ht="15" customHeight="1" x14ac:dyDescent="0.25">
      <c r="A109" s="155" t="s">
        <v>1351</v>
      </c>
      <c r="B109" s="156">
        <v>9.9064285714285716E-2</v>
      </c>
      <c r="C109" s="156">
        <v>2.817384615384615E-2</v>
      </c>
      <c r="D109" s="158">
        <f t="shared" si="3"/>
        <v>7.0890439560439569E-2</v>
      </c>
    </row>
    <row r="110" spans="1:4" ht="15" customHeight="1" x14ac:dyDescent="0.25">
      <c r="A110" s="155" t="s">
        <v>1352</v>
      </c>
      <c r="B110" s="156">
        <v>9.6883333333333321E-2</v>
      </c>
      <c r="C110" s="156">
        <v>3.0235384615384615E-2</v>
      </c>
      <c r="D110" s="158">
        <f t="shared" si="3"/>
        <v>6.6647948717948713E-2</v>
      </c>
    </row>
    <row r="111" spans="1:4" ht="15" customHeight="1" x14ac:dyDescent="0.25">
      <c r="A111" s="155" t="s">
        <v>1353</v>
      </c>
      <c r="B111" s="156">
        <v>9.7474999999999992E-2</v>
      </c>
      <c r="C111" s="156">
        <v>3.0853846153846162E-2</v>
      </c>
      <c r="D111" s="158">
        <f t="shared" si="3"/>
        <v>6.662115384615383E-2</v>
      </c>
    </row>
    <row r="112" spans="1:4" ht="15" customHeight="1" x14ac:dyDescent="0.25">
      <c r="A112" s="155" t="s">
        <v>1354</v>
      </c>
      <c r="B112" s="156">
        <v>9.6859999999999988E-2</v>
      </c>
      <c r="C112" s="156">
        <v>3.0607692307692315E-2</v>
      </c>
      <c r="D112" s="158">
        <f t="shared" si="3"/>
        <v>6.6252307692307666E-2</v>
      </c>
    </row>
    <row r="113" spans="1:4" ht="15" customHeight="1" x14ac:dyDescent="0.25">
      <c r="A113" s="155" t="s">
        <v>1355</v>
      </c>
      <c r="B113" s="156">
        <v>9.5225000000000018E-2</v>
      </c>
      <c r="C113" s="156">
        <v>3.26939393939394E-2</v>
      </c>
      <c r="D113" s="158">
        <f t="shared" si="3"/>
        <v>6.2531060606060618E-2</v>
      </c>
    </row>
    <row r="114" spans="1:4" ht="15" customHeight="1" x14ac:dyDescent="0.25">
      <c r="A114" s="155" t="s">
        <v>1356</v>
      </c>
      <c r="B114" s="156">
        <v>9.7166666666666665E-2</v>
      </c>
      <c r="C114" s="156">
        <v>3.0129687499999998E-2</v>
      </c>
      <c r="D114" s="158">
        <f t="shared" si="3"/>
        <v>6.7036979166666663E-2</v>
      </c>
    </row>
    <row r="115" spans="1:4" ht="15" customHeight="1" x14ac:dyDescent="0.25">
      <c r="A115" s="155" t="s">
        <v>1357</v>
      </c>
      <c r="B115" s="156">
        <v>9.5762499999999987E-2</v>
      </c>
      <c r="C115" s="156">
        <v>2.7836923076923075E-2</v>
      </c>
      <c r="D115" s="158">
        <f t="shared" si="3"/>
        <v>6.7925576923076908E-2</v>
      </c>
    </row>
    <row r="116" spans="1:4" ht="15" customHeight="1" x14ac:dyDescent="0.25">
      <c r="A116" s="155" t="s">
        <v>1358</v>
      </c>
      <c r="B116" s="156">
        <v>9.5299999999999996E-2</v>
      </c>
      <c r="C116" s="156">
        <v>2.2849999999999995E-2</v>
      </c>
      <c r="D116" s="158">
        <f t="shared" si="3"/>
        <v>7.2450000000000001E-2</v>
      </c>
    </row>
    <row r="117" spans="1:4" ht="15" customHeight="1" x14ac:dyDescent="0.25">
      <c r="A117" s="155" t="s">
        <v>1359</v>
      </c>
      <c r="B117" s="156">
        <v>9.8875000000000005E-2</v>
      </c>
      <c r="C117" s="156">
        <v>2.2566666666666676E-2</v>
      </c>
      <c r="D117" s="158">
        <f t="shared" si="3"/>
        <v>7.6308333333333325E-2</v>
      </c>
    </row>
    <row r="118" spans="1:4" ht="15" customHeight="1" x14ac:dyDescent="0.25">
      <c r="A118" s="155" t="s">
        <v>1360</v>
      </c>
      <c r="B118" s="156">
        <v>9.7185714285714292E-2</v>
      </c>
      <c r="C118" s="156">
        <v>1.8878461538461538E-2</v>
      </c>
      <c r="D118" s="158">
        <f t="shared" si="3"/>
        <v>7.8307252747252754E-2</v>
      </c>
    </row>
    <row r="119" spans="1:4" ht="15" customHeight="1" x14ac:dyDescent="0.25">
      <c r="A119" s="155" t="s">
        <v>1361</v>
      </c>
      <c r="B119" s="156">
        <v>9.5749999999999988E-2</v>
      </c>
      <c r="C119" s="156">
        <v>1.3801538461538454E-2</v>
      </c>
      <c r="D119" s="158">
        <f t="shared" si="3"/>
        <v>8.1948461538461539E-2</v>
      </c>
    </row>
    <row r="120" spans="1:4" ht="15" customHeight="1" x14ac:dyDescent="0.25">
      <c r="A120" s="155">
        <v>2020.3</v>
      </c>
      <c r="B120" s="156">
        <v>9.2999999999999985E-2</v>
      </c>
      <c r="C120" s="156">
        <v>1.3654545454545457E-2</v>
      </c>
      <c r="D120" s="158">
        <f t="shared" si="3"/>
        <v>7.9345454545454525E-2</v>
      </c>
    </row>
    <row r="121" spans="1:4" ht="15" customHeight="1" x14ac:dyDescent="0.25">
      <c r="A121" s="155">
        <v>2020.4</v>
      </c>
      <c r="B121" s="156">
        <v>9.5599999999999991E-2</v>
      </c>
      <c r="C121" s="156">
        <v>1.6210606060606054E-2</v>
      </c>
      <c r="D121" s="158">
        <f t="shared" si="3"/>
        <v>7.938939393939394E-2</v>
      </c>
    </row>
    <row r="122" spans="1:4" ht="15" customHeight="1" x14ac:dyDescent="0.25">
      <c r="A122" s="155">
        <v>2021.1</v>
      </c>
      <c r="B122" s="156">
        <v>9.4500000000000001E-2</v>
      </c>
      <c r="C122" s="156">
        <v>2.0748437499999998E-2</v>
      </c>
      <c r="D122" s="158">
        <f t="shared" si="3"/>
        <v>7.3751562500000006E-2</v>
      </c>
    </row>
    <row r="123" spans="1:4" ht="15" customHeight="1" x14ac:dyDescent="0.25">
      <c r="A123" s="155">
        <v>2021.2</v>
      </c>
      <c r="B123" s="156">
        <v>9.4683333333333328E-2</v>
      </c>
      <c r="C123" s="156">
        <v>2.2579999999999996E-2</v>
      </c>
      <c r="D123" s="158">
        <f t="shared" si="3"/>
        <v>7.2103333333333325E-2</v>
      </c>
    </row>
    <row r="124" spans="1:4" ht="15" customHeight="1" x14ac:dyDescent="0.25">
      <c r="A124" s="155">
        <v>2021.3</v>
      </c>
      <c r="B124" s="156">
        <v>9.2740000000000003E-2</v>
      </c>
      <c r="C124" s="156">
        <v>1.9333333333333327E-2</v>
      </c>
      <c r="D124" s="158">
        <f t="shared" si="3"/>
        <v>7.3406666666666676E-2</v>
      </c>
    </row>
    <row r="125" spans="1:4" ht="15" customHeight="1" x14ac:dyDescent="0.25">
      <c r="A125" s="155">
        <v>2021.4</v>
      </c>
      <c r="B125" s="158">
        <v>9.6733333333333338E-2</v>
      </c>
      <c r="C125" s="158">
        <v>1.9479687499999995E-2</v>
      </c>
      <c r="D125" s="158">
        <f t="shared" si="3"/>
        <v>7.7253645833333343E-2</v>
      </c>
    </row>
    <row r="126" spans="1:4" ht="15" customHeight="1" x14ac:dyDescent="0.25">
      <c r="A126" s="155">
        <v>2022.1</v>
      </c>
      <c r="B126" s="158">
        <v>9.4499999999999987E-2</v>
      </c>
      <c r="C126" s="158">
        <v>2.2546031746031748E-2</v>
      </c>
      <c r="D126" s="158">
        <f t="shared" si="3"/>
        <v>7.1953968253968242E-2</v>
      </c>
    </row>
    <row r="127" spans="1:4" ht="15" customHeight="1" x14ac:dyDescent="0.25">
      <c r="A127" s="155">
        <v>2022.2</v>
      </c>
      <c r="B127" s="158">
        <v>9.5000000000000001E-2</v>
      </c>
      <c r="C127" s="158">
        <v>3.0455384615384599E-2</v>
      </c>
      <c r="D127" s="158">
        <f t="shared" si="3"/>
        <v>6.4544615384615395E-2</v>
      </c>
    </row>
    <row r="128" spans="1:4" ht="15" customHeight="1" x14ac:dyDescent="0.25">
      <c r="A128" s="155">
        <v>2022.3</v>
      </c>
      <c r="B128" s="158">
        <v>9.1399999999999995E-2</v>
      </c>
      <c r="C128" s="158">
        <v>3.2607575757575759E-2</v>
      </c>
      <c r="D128" s="158">
        <f t="shared" si="3"/>
        <v>5.8792424242424236E-2</v>
      </c>
    </row>
    <row r="129" spans="1:4" ht="15" customHeight="1" x14ac:dyDescent="0.25">
      <c r="A129" s="155">
        <v>2022.4</v>
      </c>
      <c r="B129" s="158">
        <v>9.8673333333333349E-2</v>
      </c>
      <c r="C129" s="158">
        <v>3.8912500000000003E-2</v>
      </c>
      <c r="D129" s="158">
        <f t="shared" si="3"/>
        <v>5.9760833333333346E-2</v>
      </c>
    </row>
    <row r="130" spans="1:4" ht="15" customHeight="1" x14ac:dyDescent="0.25">
      <c r="A130" s="155">
        <v>2023.1</v>
      </c>
      <c r="B130" s="158">
        <v>9.7166666666666679E-2</v>
      </c>
      <c r="C130" s="158">
        <v>3.7495384615384618E-2</v>
      </c>
      <c r="D130" s="158">
        <f t="shared" si="3"/>
        <v>5.9671282051282061E-2</v>
      </c>
    </row>
    <row r="131" spans="1:4" ht="15" customHeight="1" x14ac:dyDescent="0.25">
      <c r="A131" s="155">
        <v>2023.2</v>
      </c>
      <c r="B131" s="158">
        <v>9.6666666666666679E-2</v>
      </c>
      <c r="C131" s="158">
        <v>3.808461538461537E-2</v>
      </c>
      <c r="D131" s="158">
        <f t="shared" si="3"/>
        <v>5.8582051282051309E-2</v>
      </c>
    </row>
    <row r="132" spans="1:4" ht="15" customHeight="1" x14ac:dyDescent="0.25">
      <c r="A132" s="155">
        <v>2023.3</v>
      </c>
      <c r="B132" s="158">
        <v>9.7888888888888886E-2</v>
      </c>
      <c r="C132" s="158">
        <v>4.234461538461539E-2</v>
      </c>
      <c r="D132" s="158">
        <f t="shared" si="3"/>
        <v>5.5544273504273496E-2</v>
      </c>
    </row>
    <row r="133" spans="1:4" ht="15" customHeight="1" x14ac:dyDescent="0.25">
      <c r="A133" s="155">
        <v>2023.4</v>
      </c>
      <c r="B133" s="158">
        <v>9.6428571428571433E-2</v>
      </c>
      <c r="C133" s="158">
        <v>4.7974418604651167E-2</v>
      </c>
      <c r="D133" s="158">
        <f t="shared" si="3"/>
        <v>4.8454152823920266E-2</v>
      </c>
    </row>
    <row r="134" spans="1:4" ht="15" customHeight="1" x14ac:dyDescent="0.25">
      <c r="A134" s="178" t="s">
        <v>1284</v>
      </c>
      <c r="B134" s="179">
        <f>AVERAGE(B6:B133)</f>
        <v>0.10577537385657385</v>
      </c>
      <c r="C134" s="179">
        <f>AVERAGE(C6:C133)</f>
        <v>4.5427636871488465E-2</v>
      </c>
      <c r="D134" s="179">
        <f>AVERAGE(D6:D133)</f>
        <v>6.0347736985085415E-2</v>
      </c>
    </row>
    <row r="135" spans="1:4" ht="15" customHeight="1" thickBot="1" x14ac:dyDescent="0.3">
      <c r="A135" s="180" t="s">
        <v>1362</v>
      </c>
      <c r="B135" s="181">
        <f>MEDIAN(B6:B133)</f>
        <v>0.10518125</v>
      </c>
      <c r="C135" s="181">
        <f>MEDIAN(C6:C133)</f>
        <v>4.588615384615384E-2</v>
      </c>
      <c r="D135" s="181">
        <f>MEDIAN(D6:D133)</f>
        <v>6.1434975961538449E-2</v>
      </c>
    </row>
  </sheetData>
  <mergeCells count="1">
    <mergeCell ref="A2:D2"/>
  </mergeCells>
  <conditionalFormatting sqref="B6:D133">
    <cfRule type="containsErrors" dxfId="15" priority="1">
      <formula>ISERROR(B6)</formula>
    </cfRule>
  </conditionalFormatting>
  <printOptions horizontalCentered="1"/>
  <pageMargins left="0.7" right="0.7" top="1.25" bottom="0.75" header="0.3" footer="0.3"/>
  <pageSetup scale="64" orientation="landscape" useFirstPageNumber="1" horizontalDpi="1200" verticalDpi="1200" r:id="rId1"/>
  <headerFooter scaleWithDoc="0">
    <oddFooter>&amp;L&amp;"Times New Roman,Bold"&amp;12&amp;KFF0000Draft- Privileged and Confidential&amp;R&amp;"Times New Roman,Regular"&amp;12Exhibit AEB-9
Page &amp;P of &amp;N</oddFooter>
  </headerFooter>
  <rowBreaks count="2" manualBreakCount="2">
    <brk id="41" max="16383" man="1"/>
    <brk id="89" max="16383" man="1"/>
  </rowBreaks>
  <ignoredErrors>
    <ignoredError sqref="A134:A135 A6:A129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pageSetUpPr autoPageBreaks="0"/>
  </sheetPr>
  <dimension ref="A2:BT136"/>
  <sheetViews>
    <sheetView view="pageBreakPreview" zoomScale="60" zoomScaleNormal="85" zoomScalePageLayoutView="90" workbookViewId="0"/>
  </sheetViews>
  <sheetFormatPr defaultColWidth="8.5546875" defaultRowHeight="15" customHeight="1" x14ac:dyDescent="0.25"/>
  <cols>
    <col min="1" max="1" width="10.44140625" style="150" customWidth="1"/>
    <col min="2" max="2" width="13.5546875" style="150" customWidth="1"/>
    <col min="3" max="3" width="12.5546875" style="150" customWidth="1"/>
    <col min="4" max="4" width="10.5546875" style="150" customWidth="1"/>
    <col min="5" max="5" width="8.5546875" style="150"/>
    <col min="6" max="6" width="30" style="150" customWidth="1"/>
    <col min="7" max="7" width="13" style="150" bestFit="1" customWidth="1"/>
    <col min="8" max="8" width="13.5546875" style="150" bestFit="1" customWidth="1"/>
    <col min="9" max="9" width="14" style="150" bestFit="1" customWidth="1"/>
    <col min="10" max="10" width="12.5546875" style="150" bestFit="1" customWidth="1"/>
    <col min="11" max="11" width="13.109375" style="150" bestFit="1" customWidth="1"/>
    <col min="12" max="14" width="13" style="150" bestFit="1" customWidth="1"/>
    <col min="15" max="26" width="8.5546875" style="2"/>
    <col min="27" max="16384" width="8.5546875" style="150"/>
  </cols>
  <sheetData>
    <row r="2" spans="1:4" ht="15" customHeight="1" x14ac:dyDescent="0.25">
      <c r="A2" s="392" t="s">
        <v>1206</v>
      </c>
      <c r="B2" s="392"/>
      <c r="C2" s="392"/>
      <c r="D2" s="392"/>
    </row>
    <row r="4" spans="1:4" ht="15" customHeight="1" thickBot="1" x14ac:dyDescent="0.3">
      <c r="A4" s="151"/>
      <c r="B4" s="152" t="s">
        <v>38</v>
      </c>
      <c r="C4" s="152" t="s">
        <v>39</v>
      </c>
      <c r="D4" s="152" t="s">
        <v>40</v>
      </c>
    </row>
    <row r="5" spans="1:4" ht="52.8" x14ac:dyDescent="0.25">
      <c r="A5" s="153" t="s">
        <v>1207</v>
      </c>
      <c r="B5" s="154" t="s">
        <v>1363</v>
      </c>
      <c r="C5" s="154" t="s">
        <v>1209</v>
      </c>
      <c r="D5" s="154" t="s">
        <v>1210</v>
      </c>
    </row>
    <row r="6" spans="1:4" ht="15" customHeight="1" x14ac:dyDescent="0.25">
      <c r="A6" s="155" t="s">
        <v>1211</v>
      </c>
      <c r="B6" s="156">
        <v>0.12418</v>
      </c>
      <c r="C6" s="156">
        <v>7.8050793650793662E-2</v>
      </c>
      <c r="D6" s="158">
        <f>B6-C6</f>
        <v>4.6129206349206336E-2</v>
      </c>
    </row>
    <row r="7" spans="1:4" ht="15" customHeight="1" x14ac:dyDescent="0.25">
      <c r="A7" s="155" t="s">
        <v>1212</v>
      </c>
      <c r="B7" s="156">
        <v>0.11983333333333333</v>
      </c>
      <c r="C7" s="156">
        <v>7.8976190476190478E-2</v>
      </c>
      <c r="D7" s="158">
        <f t="shared" ref="D7:D70" si="0">B7-C7</f>
        <v>4.0857142857142856E-2</v>
      </c>
    </row>
    <row r="8" spans="1:4" ht="15" customHeight="1" x14ac:dyDescent="0.25">
      <c r="A8" s="155" t="s">
        <v>1213</v>
      </c>
      <c r="B8" s="156">
        <v>0.11865999999999999</v>
      </c>
      <c r="C8" s="156">
        <v>7.4456250000000002E-2</v>
      </c>
      <c r="D8" s="158">
        <f t="shared" si="0"/>
        <v>4.4203749999999986E-2</v>
      </c>
    </row>
    <row r="9" spans="1:4" ht="15" customHeight="1" x14ac:dyDescent="0.25">
      <c r="A9" s="155" t="s">
        <v>1214</v>
      </c>
      <c r="B9" s="156">
        <v>0.11939999999999999</v>
      </c>
      <c r="C9" s="156">
        <v>7.5235937499999989E-2</v>
      </c>
      <c r="D9" s="158">
        <f t="shared" si="0"/>
        <v>4.4164062500000004E-2</v>
      </c>
    </row>
    <row r="10" spans="1:4" ht="15" customHeight="1" x14ac:dyDescent="0.25">
      <c r="A10" s="155" t="s">
        <v>1215</v>
      </c>
      <c r="B10" s="156">
        <v>0.11749999999999999</v>
      </c>
      <c r="C10" s="156">
        <v>7.0716129032258074E-2</v>
      </c>
      <c r="D10" s="158">
        <f t="shared" si="0"/>
        <v>4.678387096774192E-2</v>
      </c>
    </row>
    <row r="11" spans="1:4" ht="15" customHeight="1" x14ac:dyDescent="0.25">
      <c r="A11" s="152" t="s">
        <v>1216</v>
      </c>
      <c r="B11" s="156">
        <v>0.11708333333333333</v>
      </c>
      <c r="C11" s="156">
        <v>6.8584126984127011E-2</v>
      </c>
      <c r="D11" s="158">
        <f t="shared" si="0"/>
        <v>4.849920634920632E-2</v>
      </c>
    </row>
    <row r="12" spans="1:4" ht="15" customHeight="1" x14ac:dyDescent="0.25">
      <c r="A12" s="152" t="s">
        <v>1217</v>
      </c>
      <c r="B12" s="156">
        <v>0.11387499999999999</v>
      </c>
      <c r="C12" s="156">
        <v>6.3154687500000015E-2</v>
      </c>
      <c r="D12" s="158">
        <f t="shared" si="0"/>
        <v>5.0720312499999975E-2</v>
      </c>
    </row>
    <row r="13" spans="1:4" ht="15" customHeight="1" x14ac:dyDescent="0.25">
      <c r="A13" s="152" t="s">
        <v>1218</v>
      </c>
      <c r="B13" s="156">
        <v>0.11155555555555557</v>
      </c>
      <c r="C13" s="156">
        <v>6.1351562500000012E-2</v>
      </c>
      <c r="D13" s="158">
        <f t="shared" si="0"/>
        <v>5.0203993055555562E-2</v>
      </c>
    </row>
    <row r="14" spans="1:4" ht="15" customHeight="1" x14ac:dyDescent="0.25">
      <c r="A14" s="152" t="s">
        <v>1219</v>
      </c>
      <c r="B14" s="156">
        <v>0.11120000000000001</v>
      </c>
      <c r="C14" s="156">
        <v>6.5758730158730155E-2</v>
      </c>
      <c r="D14" s="158">
        <f t="shared" si="0"/>
        <v>4.5441269841269852E-2</v>
      </c>
    </row>
    <row r="15" spans="1:4" ht="15" customHeight="1" x14ac:dyDescent="0.25">
      <c r="A15" s="152" t="s">
        <v>1220</v>
      </c>
      <c r="B15" s="156">
        <v>0.10834999999999999</v>
      </c>
      <c r="C15" s="156">
        <v>7.3622580645161306E-2</v>
      </c>
      <c r="D15" s="158">
        <f t="shared" si="0"/>
        <v>3.4727419354838682E-2</v>
      </c>
    </row>
    <row r="16" spans="1:4" ht="15" customHeight="1" x14ac:dyDescent="0.25">
      <c r="A16" s="152" t="s">
        <v>1221</v>
      </c>
      <c r="B16" s="156">
        <v>0.10866666666666668</v>
      </c>
      <c r="C16" s="156">
        <v>7.5893750000000024E-2</v>
      </c>
      <c r="D16" s="158">
        <f t="shared" si="0"/>
        <v>3.2772916666666652E-2</v>
      </c>
    </row>
    <row r="17" spans="1:14" ht="15" customHeight="1" x14ac:dyDescent="0.25">
      <c r="A17" s="152" t="s">
        <v>1222</v>
      </c>
      <c r="B17" s="156">
        <v>0.11525833333333334</v>
      </c>
      <c r="C17" s="156">
        <v>7.9633333333333334E-2</v>
      </c>
      <c r="D17" s="158">
        <f t="shared" si="0"/>
        <v>3.5625000000000004E-2</v>
      </c>
    </row>
    <row r="18" spans="1:14" ht="15" customHeight="1" x14ac:dyDescent="0.25">
      <c r="A18" s="152" t="s">
        <v>1223</v>
      </c>
      <c r="B18" s="156">
        <v>0.11</v>
      </c>
      <c r="C18" s="156">
        <v>6.9422222222222191E-2</v>
      </c>
      <c r="D18" s="158">
        <f t="shared" si="0"/>
        <v>4.057777777777781E-2</v>
      </c>
    </row>
    <row r="19" spans="1:14" ht="15" customHeight="1" x14ac:dyDescent="0.25">
      <c r="A19" s="152" t="s">
        <v>1224</v>
      </c>
      <c r="B19" s="156">
        <v>0.11066666666666668</v>
      </c>
      <c r="C19" s="156">
        <v>6.7173015873015857E-2</v>
      </c>
      <c r="D19" s="158">
        <f t="shared" si="0"/>
        <v>4.349365079365082E-2</v>
      </c>
    </row>
    <row r="20" spans="1:14" ht="15" customHeight="1" x14ac:dyDescent="0.25">
      <c r="A20" s="152" t="s">
        <v>1225</v>
      </c>
      <c r="B20" s="156">
        <v>0.11606666666666667</v>
      </c>
      <c r="C20" s="156">
        <v>6.2390476190476205E-2</v>
      </c>
      <c r="D20" s="158">
        <f t="shared" si="0"/>
        <v>5.3676190476190461E-2</v>
      </c>
    </row>
    <row r="21" spans="1:14" ht="15" customHeight="1" x14ac:dyDescent="0.25">
      <c r="A21" s="152" t="s">
        <v>1226</v>
      </c>
      <c r="B21" s="156">
        <v>0.11449999999999999</v>
      </c>
      <c r="C21" s="156">
        <v>6.2916923076923065E-2</v>
      </c>
      <c r="D21" s="158">
        <f t="shared" si="0"/>
        <v>5.1583076923076926E-2</v>
      </c>
    </row>
    <row r="22" spans="1:14" ht="15" customHeight="1" x14ac:dyDescent="0.25">
      <c r="A22" s="152" t="s">
        <v>1228</v>
      </c>
      <c r="B22" s="156">
        <v>0.10875</v>
      </c>
      <c r="C22" s="156">
        <v>6.9215384615384609E-2</v>
      </c>
      <c r="D22" s="158">
        <f t="shared" si="0"/>
        <v>3.953461538461539E-2</v>
      </c>
      <c r="F22" s="151" t="s">
        <v>1227</v>
      </c>
      <c r="G22" s="151"/>
      <c r="H22" s="151"/>
      <c r="I22" s="151"/>
      <c r="J22" s="151"/>
      <c r="K22" s="151"/>
      <c r="L22" s="151"/>
      <c r="M22" s="151"/>
      <c r="N22" s="151"/>
    </row>
    <row r="23" spans="1:14" ht="15" customHeight="1" thickBot="1" x14ac:dyDescent="0.3">
      <c r="A23" s="152" t="s">
        <v>1229</v>
      </c>
      <c r="B23" s="156">
        <v>0.1125</v>
      </c>
      <c r="C23" s="156">
        <v>6.9672727272727275E-2</v>
      </c>
      <c r="D23" s="158">
        <f t="shared" si="0"/>
        <v>4.2827272727272728E-2</v>
      </c>
      <c r="F23" s="151"/>
      <c r="G23" s="151"/>
      <c r="H23" s="151"/>
      <c r="I23" s="151"/>
      <c r="J23" s="151"/>
      <c r="K23" s="151"/>
      <c r="L23" s="151"/>
      <c r="M23" s="151"/>
      <c r="N23" s="151"/>
    </row>
    <row r="24" spans="1:14" ht="15" customHeight="1" x14ac:dyDescent="0.25">
      <c r="A24" s="152" t="s">
        <v>1231</v>
      </c>
      <c r="B24" s="156">
        <v>0.11194285714285715</v>
      </c>
      <c r="C24" s="156">
        <v>6.6199999999999995E-2</v>
      </c>
      <c r="D24" s="158">
        <f t="shared" si="0"/>
        <v>4.5742857142857155E-2</v>
      </c>
      <c r="F24" s="159" t="s">
        <v>1230</v>
      </c>
      <c r="G24" s="159"/>
      <c r="H24" s="151"/>
      <c r="I24" s="151"/>
      <c r="J24" s="151"/>
      <c r="K24" s="151"/>
      <c r="L24" s="151"/>
      <c r="M24" s="151"/>
      <c r="N24" s="151"/>
    </row>
    <row r="25" spans="1:14" ht="15" customHeight="1" x14ac:dyDescent="0.25">
      <c r="A25" s="152" t="s">
        <v>1233</v>
      </c>
      <c r="B25" s="156">
        <v>0.11307142857142857</v>
      </c>
      <c r="C25" s="156">
        <v>6.8153124999999995E-2</v>
      </c>
      <c r="D25" s="158">
        <f t="shared" si="0"/>
        <v>4.4918303571428578E-2</v>
      </c>
      <c r="F25" s="151" t="s">
        <v>1232</v>
      </c>
      <c r="G25" s="160">
        <v>0.91773963797150138</v>
      </c>
      <c r="H25" s="151"/>
      <c r="I25" s="151"/>
      <c r="J25" s="151"/>
      <c r="K25" s="151"/>
      <c r="L25" s="151"/>
      <c r="M25" s="151"/>
      <c r="N25" s="151"/>
    </row>
    <row r="26" spans="1:14" ht="15" customHeight="1" x14ac:dyDescent="0.25">
      <c r="A26" s="152" t="s">
        <v>1235</v>
      </c>
      <c r="B26" s="156">
        <v>0.11699999999999999</v>
      </c>
      <c r="C26" s="156">
        <v>6.9369230769230752E-2</v>
      </c>
      <c r="D26" s="158">
        <f t="shared" si="0"/>
        <v>4.763076923076924E-2</v>
      </c>
      <c r="F26" s="151" t="s">
        <v>1234</v>
      </c>
      <c r="G26" s="160">
        <v>0.84224604310406237</v>
      </c>
      <c r="H26" s="151"/>
      <c r="I26" s="151"/>
      <c r="J26" s="151"/>
      <c r="K26" s="151"/>
      <c r="L26" s="151"/>
      <c r="M26" s="151"/>
      <c r="N26" s="151"/>
    </row>
    <row r="27" spans="1:14" ht="15" customHeight="1" x14ac:dyDescent="0.25">
      <c r="A27" s="152" t="s">
        <v>1237</v>
      </c>
      <c r="B27" s="156">
        <v>0.12</v>
      </c>
      <c r="C27" s="156">
        <v>6.5304545454545448E-2</v>
      </c>
      <c r="D27" s="158">
        <f t="shared" si="0"/>
        <v>5.4695454545454547E-2</v>
      </c>
      <c r="F27" s="151" t="s">
        <v>1236</v>
      </c>
      <c r="G27" s="160">
        <v>0.84095297788360379</v>
      </c>
      <c r="H27" s="151"/>
      <c r="I27" s="151"/>
      <c r="J27" s="151"/>
      <c r="K27" s="151"/>
      <c r="L27" s="151"/>
      <c r="M27" s="151"/>
      <c r="N27" s="151"/>
    </row>
    <row r="28" spans="1:14" ht="15" customHeight="1" x14ac:dyDescent="0.25">
      <c r="A28" s="152" t="s">
        <v>1239</v>
      </c>
      <c r="B28" s="156">
        <v>0.10916666666666668</v>
      </c>
      <c r="C28" s="156">
        <v>6.1478125000000015E-2</v>
      </c>
      <c r="D28" s="158">
        <f t="shared" si="0"/>
        <v>4.768854166666666E-2</v>
      </c>
      <c r="F28" s="151" t="s">
        <v>1238</v>
      </c>
      <c r="G28" s="160">
        <v>4.0635618744590731E-3</v>
      </c>
      <c r="H28" s="151"/>
      <c r="I28" s="151"/>
      <c r="J28" s="151"/>
      <c r="K28" s="151"/>
      <c r="L28" s="151"/>
      <c r="M28" s="151"/>
      <c r="N28" s="151"/>
    </row>
    <row r="29" spans="1:14" ht="15" customHeight="1" thickBot="1" x14ac:dyDescent="0.3">
      <c r="A29" s="155" t="s">
        <v>1241</v>
      </c>
      <c r="B29" s="156">
        <v>0.11366666666666665</v>
      </c>
      <c r="C29" s="156">
        <v>5.8490769230769207E-2</v>
      </c>
      <c r="D29" s="158">
        <f t="shared" si="0"/>
        <v>5.5175897435897445E-2</v>
      </c>
      <c r="F29" s="161" t="s">
        <v>1240</v>
      </c>
      <c r="G29" s="161">
        <v>124</v>
      </c>
      <c r="H29" s="151"/>
      <c r="I29" s="151"/>
      <c r="J29" s="151"/>
      <c r="K29" s="151"/>
      <c r="L29" s="151"/>
      <c r="M29" s="151"/>
      <c r="N29" s="151"/>
    </row>
    <row r="30" spans="1:14" ht="15" customHeight="1" x14ac:dyDescent="0.25">
      <c r="A30" s="155" t="s">
        <v>1243</v>
      </c>
      <c r="B30" s="156">
        <v>0.11409999999999999</v>
      </c>
      <c r="C30" s="156">
        <v>5.4762121212121241E-2</v>
      </c>
      <c r="D30" s="158">
        <f t="shared" si="0"/>
        <v>5.9337878787878752E-2</v>
      </c>
      <c r="F30" s="151"/>
      <c r="G30" s="151"/>
      <c r="H30" s="151"/>
      <c r="I30" s="151"/>
      <c r="J30" s="151"/>
      <c r="K30" s="151"/>
      <c r="L30" s="151"/>
      <c r="M30" s="151"/>
      <c r="N30" s="151"/>
    </row>
    <row r="31" spans="1:14" ht="15" customHeight="1" thickBot="1" x14ac:dyDescent="0.3">
      <c r="A31" s="152" t="s">
        <v>1247</v>
      </c>
      <c r="B31" s="156">
        <v>0.1169</v>
      </c>
      <c r="C31" s="156">
        <v>5.1071212121212115E-2</v>
      </c>
      <c r="D31" s="158">
        <f t="shared" si="0"/>
        <v>6.5828787878787889E-2</v>
      </c>
      <c r="F31" s="151" t="s">
        <v>1242</v>
      </c>
      <c r="G31" s="151"/>
      <c r="H31" s="151"/>
      <c r="I31" s="151"/>
      <c r="J31" s="151"/>
      <c r="K31" s="151"/>
      <c r="L31" s="151"/>
      <c r="M31" s="151"/>
      <c r="N31" s="151"/>
    </row>
    <row r="32" spans="1:14" ht="15" customHeight="1" x14ac:dyDescent="0.25">
      <c r="A32" s="152" t="s">
        <v>1249</v>
      </c>
      <c r="B32" s="156">
        <v>0.10816666666666667</v>
      </c>
      <c r="C32" s="156">
        <v>5.3734374999999994E-2</v>
      </c>
      <c r="D32" s="158">
        <f t="shared" si="0"/>
        <v>5.4432291666666681E-2</v>
      </c>
      <c r="F32" s="162"/>
      <c r="G32" s="162" t="s">
        <v>1244</v>
      </c>
      <c r="H32" s="162" t="s">
        <v>1245</v>
      </c>
      <c r="I32" s="162" t="s">
        <v>773</v>
      </c>
      <c r="J32" s="162" t="s">
        <v>426</v>
      </c>
      <c r="K32" s="162" t="s">
        <v>1246</v>
      </c>
      <c r="L32" s="151"/>
      <c r="M32" s="151"/>
      <c r="N32" s="151"/>
    </row>
    <row r="33" spans="1:14" ht="15" customHeight="1" x14ac:dyDescent="0.25">
      <c r="A33" s="152" t="s">
        <v>1251</v>
      </c>
      <c r="B33" s="156">
        <v>0.1125</v>
      </c>
      <c r="C33" s="156">
        <v>5.7987692307692289E-2</v>
      </c>
      <c r="D33" s="158">
        <f t="shared" si="0"/>
        <v>5.4512307692307714E-2</v>
      </c>
      <c r="F33" s="151" t="s">
        <v>1248</v>
      </c>
      <c r="G33" s="151">
        <v>1</v>
      </c>
      <c r="H33" s="163">
        <v>1.0755542053033959E-2</v>
      </c>
      <c r="I33" s="163">
        <v>1.0755542053033959E-2</v>
      </c>
      <c r="J33" s="163">
        <v>651.35619594301056</v>
      </c>
      <c r="K33" s="163">
        <v>9.3603712210396439E-51</v>
      </c>
      <c r="L33" s="151"/>
      <c r="M33" s="151"/>
      <c r="N33" s="151"/>
    </row>
    <row r="34" spans="1:14" ht="15" customHeight="1" x14ac:dyDescent="0.25">
      <c r="A34" s="155" t="s">
        <v>1253</v>
      </c>
      <c r="B34" s="156">
        <v>0.10375</v>
      </c>
      <c r="C34" s="156">
        <v>6.2559090909090911E-2</v>
      </c>
      <c r="D34" s="158">
        <f t="shared" si="0"/>
        <v>4.1190909090909084E-2</v>
      </c>
      <c r="F34" s="151" t="s">
        <v>1250</v>
      </c>
      <c r="G34" s="151">
        <v>122</v>
      </c>
      <c r="H34" s="163">
        <v>2.0145292831219952E-3</v>
      </c>
      <c r="I34" s="163">
        <v>1.6512535107557339E-5</v>
      </c>
      <c r="J34" s="163"/>
      <c r="K34" s="163"/>
      <c r="L34" s="151"/>
      <c r="M34" s="151"/>
      <c r="N34" s="151"/>
    </row>
    <row r="35" spans="1:14" ht="15" customHeight="1" thickBot="1" x14ac:dyDescent="0.3">
      <c r="A35" s="155" t="s">
        <v>1261</v>
      </c>
      <c r="B35" s="156">
        <v>0.10655000000000001</v>
      </c>
      <c r="C35" s="156">
        <v>6.2958461538461505E-2</v>
      </c>
      <c r="D35" s="158">
        <f t="shared" si="0"/>
        <v>4.3591538461538501E-2</v>
      </c>
      <c r="F35" s="161" t="s">
        <v>1252</v>
      </c>
      <c r="G35" s="161">
        <v>123</v>
      </c>
      <c r="H35" s="164">
        <v>1.2770071336155955E-2</v>
      </c>
      <c r="I35" s="164"/>
      <c r="J35" s="164"/>
      <c r="K35" s="164"/>
      <c r="L35" s="151"/>
      <c r="M35" s="151"/>
      <c r="N35" s="151"/>
    </row>
    <row r="36" spans="1:14" ht="15" customHeight="1" thickBot="1" x14ac:dyDescent="0.3">
      <c r="A36" s="155" t="s">
        <v>1263</v>
      </c>
      <c r="B36" s="156">
        <v>0.11033333333333334</v>
      </c>
      <c r="C36" s="156">
        <v>5.9787692307692299E-2</v>
      </c>
      <c r="D36" s="158">
        <f t="shared" si="0"/>
        <v>5.054564102564104E-2</v>
      </c>
      <c r="F36" s="151"/>
      <c r="G36" s="151"/>
      <c r="H36" s="151"/>
      <c r="I36" s="151"/>
      <c r="J36" s="151"/>
      <c r="K36" s="151"/>
      <c r="L36" s="151"/>
      <c r="M36" s="151"/>
      <c r="N36" s="151"/>
    </row>
    <row r="37" spans="1:14" ht="15" customHeight="1" x14ac:dyDescent="0.25">
      <c r="A37" s="155" t="s">
        <v>1265</v>
      </c>
      <c r="B37" s="156">
        <v>0.11334</v>
      </c>
      <c r="C37" s="156">
        <v>5.7932307692307693E-2</v>
      </c>
      <c r="D37" s="158">
        <f t="shared" si="0"/>
        <v>5.5407692307692304E-2</v>
      </c>
      <c r="F37" s="162"/>
      <c r="G37" s="162" t="s">
        <v>1254</v>
      </c>
      <c r="H37" s="162" t="s">
        <v>1238</v>
      </c>
      <c r="I37" s="162" t="s">
        <v>1255</v>
      </c>
      <c r="J37" s="162" t="s">
        <v>1256</v>
      </c>
      <c r="K37" s="162" t="s">
        <v>1257</v>
      </c>
      <c r="L37" s="162" t="s">
        <v>1258</v>
      </c>
      <c r="M37" s="162" t="s">
        <v>1259</v>
      </c>
      <c r="N37" s="162" t="s">
        <v>1260</v>
      </c>
    </row>
    <row r="38" spans="1:14" ht="15" customHeight="1" x14ac:dyDescent="0.25">
      <c r="A38" s="152" t="s">
        <v>1266</v>
      </c>
      <c r="B38" s="156">
        <v>0.121</v>
      </c>
      <c r="C38" s="156">
        <v>5.6907692307692305E-2</v>
      </c>
      <c r="D38" s="158">
        <f t="shared" si="0"/>
        <v>6.4092307692307698E-2</v>
      </c>
      <c r="F38" s="151" t="s">
        <v>1262</v>
      </c>
      <c r="G38" s="165">
        <v>8.4791779257871291E-2</v>
      </c>
      <c r="H38" s="166">
        <v>1.0757691341361383E-3</v>
      </c>
      <c r="I38" s="166">
        <v>78.819680326634952</v>
      </c>
      <c r="J38" s="165">
        <v>1.6801405765193789E-106</v>
      </c>
      <c r="K38" s="165">
        <v>8.2662186810655708E-2</v>
      </c>
      <c r="L38" s="165">
        <v>8.6921371705086875E-2</v>
      </c>
      <c r="M38" s="165">
        <v>8.2662186810655708E-2</v>
      </c>
      <c r="N38" s="165">
        <v>8.6921371705086875E-2</v>
      </c>
    </row>
    <row r="39" spans="1:14" ht="15" customHeight="1" thickBot="1" x14ac:dyDescent="0.3">
      <c r="A39" s="155" t="s">
        <v>1267</v>
      </c>
      <c r="B39" s="156">
        <v>0.11375</v>
      </c>
      <c r="C39" s="156">
        <v>5.4464615384615396E-2</v>
      </c>
      <c r="D39" s="158">
        <f t="shared" si="0"/>
        <v>5.9285384615384608E-2</v>
      </c>
      <c r="F39" s="161" t="s">
        <v>1209</v>
      </c>
      <c r="G39" s="167">
        <v>-0.57560642594228029</v>
      </c>
      <c r="H39" s="168">
        <v>2.2553625217938394E-2</v>
      </c>
      <c r="I39" s="168">
        <v>-25.521680899639243</v>
      </c>
      <c r="J39" s="167">
        <v>9.3603712210396439E-51</v>
      </c>
      <c r="K39" s="167">
        <v>-0.62025357968314432</v>
      </c>
      <c r="L39" s="167">
        <v>-0.53095927220141625</v>
      </c>
      <c r="M39" s="167">
        <v>-0.62025357968314432</v>
      </c>
      <c r="N39" s="167">
        <v>-0.53095927220141625</v>
      </c>
    </row>
    <row r="40" spans="1:14" ht="15" customHeight="1" x14ac:dyDescent="0.25">
      <c r="A40" s="152" t="s">
        <v>1268</v>
      </c>
      <c r="B40" s="156">
        <v>0.1075</v>
      </c>
      <c r="C40" s="156">
        <v>5.7016923076923069E-2</v>
      </c>
      <c r="D40" s="158">
        <f t="shared" si="0"/>
        <v>5.0483076923076929E-2</v>
      </c>
      <c r="F40" s="151"/>
      <c r="G40" s="151"/>
      <c r="H40" s="151"/>
      <c r="I40" s="151"/>
      <c r="J40" s="151"/>
      <c r="K40" s="151"/>
      <c r="L40" s="151"/>
      <c r="M40" s="151"/>
      <c r="N40" s="151"/>
    </row>
    <row r="41" spans="1:14" ht="15" customHeight="1" x14ac:dyDescent="0.25">
      <c r="A41" s="152" t="s">
        <v>1272</v>
      </c>
      <c r="B41" s="156">
        <v>0.10650000000000001</v>
      </c>
      <c r="C41" s="156">
        <v>5.3019696969696967E-2</v>
      </c>
      <c r="D41" s="158">
        <f t="shared" si="0"/>
        <v>5.3480303030303045E-2</v>
      </c>
      <c r="F41" s="151"/>
      <c r="G41" s="151"/>
      <c r="H41" s="151"/>
      <c r="I41" s="151"/>
      <c r="J41" s="151"/>
      <c r="K41" s="151"/>
      <c r="L41" s="151"/>
      <c r="M41" s="151"/>
      <c r="N41" s="151"/>
    </row>
    <row r="42" spans="1:14" ht="15" customHeight="1" thickBot="1" x14ac:dyDescent="0.3">
      <c r="A42" s="155" t="s">
        <v>1276</v>
      </c>
      <c r="B42" s="156">
        <v>0.10666666666666667</v>
      </c>
      <c r="C42" s="156">
        <v>5.51578125E-2</v>
      </c>
      <c r="D42" s="158">
        <f t="shared" si="0"/>
        <v>5.1508854166666673E-2</v>
      </c>
      <c r="F42" s="151"/>
      <c r="G42" s="151"/>
      <c r="H42" s="151"/>
      <c r="I42" s="151"/>
      <c r="J42" s="151"/>
      <c r="K42" s="151"/>
      <c r="L42" s="151"/>
      <c r="M42" s="151"/>
      <c r="N42" s="151"/>
    </row>
    <row r="43" spans="1:14" ht="15" customHeight="1" x14ac:dyDescent="0.25">
      <c r="A43" s="152" t="s">
        <v>1277</v>
      </c>
      <c r="B43" s="156">
        <v>0.116425</v>
      </c>
      <c r="C43" s="156">
        <v>5.6164615384615389E-2</v>
      </c>
      <c r="D43" s="158">
        <f t="shared" si="0"/>
        <v>6.0260384615384611E-2</v>
      </c>
      <c r="F43" s="169"/>
      <c r="G43" s="169"/>
      <c r="H43" s="169"/>
      <c r="I43" s="170" t="s">
        <v>1269</v>
      </c>
      <c r="J43" s="170"/>
      <c r="K43" s="170"/>
    </row>
    <row r="44" spans="1:14" ht="15" customHeight="1" x14ac:dyDescent="0.25">
      <c r="A44" s="152" t="s">
        <v>1279</v>
      </c>
      <c r="B44" s="156">
        <v>0.11499999999999999</v>
      </c>
      <c r="C44" s="156">
        <v>5.0868181818181826E-2</v>
      </c>
      <c r="D44" s="158">
        <f t="shared" si="0"/>
        <v>6.4131818181818165E-2</v>
      </c>
      <c r="F44" s="151"/>
      <c r="G44" s="151"/>
      <c r="H44" s="151"/>
      <c r="I44" s="152" t="s">
        <v>1270</v>
      </c>
      <c r="J44" s="152" t="s">
        <v>1271</v>
      </c>
      <c r="K44" s="152" t="s">
        <v>1364</v>
      </c>
    </row>
    <row r="45" spans="1:14" ht="15" customHeight="1" x14ac:dyDescent="0.25">
      <c r="A45" s="152" t="s">
        <v>1281</v>
      </c>
      <c r="B45" s="156">
        <v>0.1101111111111111</v>
      </c>
      <c r="C45" s="156">
        <v>4.9322727272727268E-2</v>
      </c>
      <c r="D45" s="158">
        <f t="shared" si="0"/>
        <v>6.0788383838383836E-2</v>
      </c>
      <c r="F45" s="171"/>
      <c r="G45" s="171"/>
      <c r="H45" s="171"/>
      <c r="I45" s="172" t="s">
        <v>1273</v>
      </c>
      <c r="J45" s="172" t="s">
        <v>1274</v>
      </c>
      <c r="K45" s="172" t="s">
        <v>1365</v>
      </c>
    </row>
    <row r="46" spans="1:14" ht="15" customHeight="1" x14ac:dyDescent="0.25">
      <c r="A46" s="155" t="s">
        <v>1283</v>
      </c>
      <c r="B46" s="156">
        <v>0.11381999999999999</v>
      </c>
      <c r="C46" s="156">
        <v>4.8518749999999999E-2</v>
      </c>
      <c r="D46" s="158">
        <f t="shared" si="0"/>
        <v>6.5301249999999991E-2</v>
      </c>
      <c r="F46" s="151"/>
      <c r="G46" s="151"/>
      <c r="H46" s="151"/>
      <c r="I46" s="151"/>
      <c r="J46" s="151"/>
      <c r="K46" s="151"/>
    </row>
    <row r="47" spans="1:14" ht="15" customHeight="1" x14ac:dyDescent="0.25">
      <c r="A47" s="152" t="s">
        <v>1285</v>
      </c>
      <c r="B47" s="156">
        <v>0.113625</v>
      </c>
      <c r="C47" s="156">
        <v>4.6032307692307678E-2</v>
      </c>
      <c r="D47" s="158">
        <f t="shared" si="0"/>
        <v>6.7592692307692326E-2</v>
      </c>
      <c r="F47" s="151" t="s">
        <v>1278</v>
      </c>
      <c r="G47" s="151"/>
      <c r="H47" s="151"/>
      <c r="I47" s="173">
        <f>'AEB-9 Risk Premium (Electric)'!I47</f>
        <v>4.7746666666666673E-2</v>
      </c>
      <c r="J47" s="158">
        <f>$G$38+($G$39*I47)</f>
        <v>5.730849110721388E-2</v>
      </c>
      <c r="K47" s="156">
        <f>I47+J47</f>
        <v>0.10505515777388055</v>
      </c>
    </row>
    <row r="48" spans="1:14" ht="15" customHeight="1" x14ac:dyDescent="0.25">
      <c r="A48" s="152" t="s">
        <v>1286</v>
      </c>
      <c r="B48" s="156">
        <v>0.10612000000000002</v>
      </c>
      <c r="C48" s="156">
        <v>5.113939393939395E-2</v>
      </c>
      <c r="D48" s="158">
        <f t="shared" si="0"/>
        <v>5.498060606060607E-2</v>
      </c>
      <c r="F48" s="151" t="s">
        <v>1280</v>
      </c>
      <c r="G48" s="151"/>
      <c r="H48" s="151"/>
      <c r="I48" s="173">
        <f>'AEB-9 Risk Premium (Electric)'!I48</f>
        <v>4.4800000000000006E-2</v>
      </c>
      <c r="J48" s="158">
        <f>$G$38+($G$39*I48)</f>
        <v>5.9004611375657129E-2</v>
      </c>
      <c r="K48" s="156">
        <f>I48+J48</f>
        <v>0.10380461137565714</v>
      </c>
    </row>
    <row r="49" spans="1:11" ht="15" customHeight="1" x14ac:dyDescent="0.25">
      <c r="A49" s="155" t="s">
        <v>1287</v>
      </c>
      <c r="B49" s="156">
        <v>0.10841818181818183</v>
      </c>
      <c r="C49" s="156">
        <v>5.1146969696969691E-2</v>
      </c>
      <c r="D49" s="158">
        <f t="shared" si="0"/>
        <v>5.7271212121212139E-2</v>
      </c>
      <c r="F49" s="171" t="s">
        <v>1282</v>
      </c>
      <c r="G49" s="171"/>
      <c r="H49" s="171"/>
      <c r="I49" s="173">
        <f>'AEB-9 Risk Premium (Electric)'!I49</f>
        <v>4.1000000000000002E-2</v>
      </c>
      <c r="J49" s="158">
        <f>$G$38+($G$39*I49)</f>
        <v>6.11919157942378E-2</v>
      </c>
      <c r="K49" s="175">
        <f>I49+J49</f>
        <v>0.10219191579423781</v>
      </c>
    </row>
    <row r="50" spans="1:11" ht="15" customHeight="1" thickBot="1" x14ac:dyDescent="0.3">
      <c r="A50" s="152" t="s">
        <v>1289</v>
      </c>
      <c r="B50" s="156">
        <v>0.11059999999999999</v>
      </c>
      <c r="C50" s="156">
        <v>4.8776923076923072E-2</v>
      </c>
      <c r="D50" s="158">
        <f t="shared" si="0"/>
        <v>6.1823076923076918E-2</v>
      </c>
      <c r="F50" s="176" t="s">
        <v>1284</v>
      </c>
      <c r="G50" s="176"/>
      <c r="H50" s="176"/>
      <c r="I50" s="177"/>
      <c r="J50" s="177"/>
      <c r="K50" s="177">
        <f>AVERAGE(K47:K49)</f>
        <v>0.1036838949812585</v>
      </c>
    </row>
    <row r="51" spans="1:11" ht="15" customHeight="1" x14ac:dyDescent="0.25">
      <c r="A51" s="152" t="s">
        <v>1291</v>
      </c>
      <c r="B51" s="156">
        <v>0.10573333333333335</v>
      </c>
      <c r="C51" s="156">
        <v>5.3353846153846154E-2</v>
      </c>
      <c r="D51" s="158">
        <f t="shared" si="0"/>
        <v>5.2379487179487191E-2</v>
      </c>
    </row>
    <row r="52" spans="1:11" ht="15" customHeight="1" x14ac:dyDescent="0.25">
      <c r="A52" s="152" t="s">
        <v>1293</v>
      </c>
      <c r="B52" s="156">
        <v>0.10368749999999999</v>
      </c>
      <c r="C52" s="156">
        <v>5.1074242424242439E-2</v>
      </c>
      <c r="D52" s="158">
        <f t="shared" si="0"/>
        <v>5.2613257575757549E-2</v>
      </c>
      <c r="F52" s="150" t="s">
        <v>104</v>
      </c>
    </row>
    <row r="53" spans="1:11" ht="15" customHeight="1" x14ac:dyDescent="0.25">
      <c r="A53" s="152" t="s">
        <v>1295</v>
      </c>
      <c r="B53" s="156">
        <v>0.10658333333333332</v>
      </c>
      <c r="C53" s="156">
        <v>4.9322727272727296E-2</v>
      </c>
      <c r="D53" s="158">
        <f t="shared" si="0"/>
        <v>5.7260606060606026E-2</v>
      </c>
      <c r="F53" s="150" t="s">
        <v>1288</v>
      </c>
    </row>
    <row r="54" spans="1:11" ht="15" customHeight="1" x14ac:dyDescent="0.25">
      <c r="A54" s="152" t="s">
        <v>1297</v>
      </c>
      <c r="B54" s="156">
        <v>0.10650000000000001</v>
      </c>
      <c r="C54" s="156">
        <v>4.7070312500000003E-2</v>
      </c>
      <c r="D54" s="158">
        <f t="shared" si="0"/>
        <v>5.9429687500000009E-2</v>
      </c>
      <c r="F54" s="150" t="s">
        <v>1290</v>
      </c>
    </row>
    <row r="55" spans="1:11" ht="15" customHeight="1" x14ac:dyDescent="0.25">
      <c r="A55" s="152" t="s">
        <v>1299</v>
      </c>
      <c r="B55" s="156">
        <v>0.10536000000000001</v>
      </c>
      <c r="C55" s="156">
        <v>4.4709230769230765E-2</v>
      </c>
      <c r="D55" s="158">
        <f t="shared" si="0"/>
        <v>6.0650769230769244E-2</v>
      </c>
      <c r="F55" s="150" t="s">
        <v>1292</v>
      </c>
    </row>
    <row r="56" spans="1:11" ht="15" customHeight="1" x14ac:dyDescent="0.25">
      <c r="A56" s="152" t="s">
        <v>1301</v>
      </c>
      <c r="B56" s="156">
        <v>0.10471999999999999</v>
      </c>
      <c r="C56" s="156">
        <v>4.4228787878787867E-2</v>
      </c>
      <c r="D56" s="158">
        <f t="shared" si="0"/>
        <v>6.0491212121212126E-2</v>
      </c>
      <c r="F56" s="150" t="str">
        <f>'AEB-9 Risk Premium (Electric)'!F56</f>
        <v>[4] Source: Bloomberg Professional, 30-day average as of November 30, 2023</v>
      </c>
    </row>
    <row r="57" spans="1:11" ht="15" customHeight="1" x14ac:dyDescent="0.25">
      <c r="A57" s="152" t="s">
        <v>1302</v>
      </c>
      <c r="B57" s="156">
        <v>0.10316428571428572</v>
      </c>
      <c r="C57" s="156">
        <v>4.6523076923076924E-2</v>
      </c>
      <c r="D57" s="158">
        <f t="shared" si="0"/>
        <v>5.6641208791208798E-2</v>
      </c>
      <c r="F57" s="150" t="str">
        <f>'AEB-9 Risk Premium (Electric)'!F57</f>
        <v>[5] Source: Blue Chip Financial Forecasts, Vol. 42, No. 12, December 1, 2023, at 2</v>
      </c>
    </row>
    <row r="58" spans="1:11" ht="15" customHeight="1" x14ac:dyDescent="0.25">
      <c r="A58" s="152" t="s">
        <v>1304</v>
      </c>
      <c r="B58" s="156">
        <v>0.10680000000000001</v>
      </c>
      <c r="C58" s="156">
        <v>4.6270769230769213E-2</v>
      </c>
      <c r="D58" s="158">
        <f t="shared" si="0"/>
        <v>6.0529230769230793E-2</v>
      </c>
      <c r="F58" s="150" t="str">
        <f>'AEB-9 Risk Premium (Electric)'!F58</f>
        <v>[6] Source: Blue Chip Financial Forecasts, Vol. 42, No. 12, December 1, 2023, at 14</v>
      </c>
    </row>
    <row r="59" spans="1:11" ht="15" customHeight="1" x14ac:dyDescent="0.25">
      <c r="A59" s="155" t="s">
        <v>1305</v>
      </c>
      <c r="B59" s="156">
        <v>0.106</v>
      </c>
      <c r="C59" s="156">
        <v>5.1427692307692299E-2</v>
      </c>
      <c r="D59" s="158">
        <f t="shared" si="0"/>
        <v>5.4572307692307698E-2</v>
      </c>
      <c r="F59" s="150" t="s">
        <v>1300</v>
      </c>
    </row>
    <row r="60" spans="1:11" ht="15" customHeight="1" x14ac:dyDescent="0.25">
      <c r="A60" s="152" t="s">
        <v>1306</v>
      </c>
      <c r="B60" s="156">
        <v>0.10337499999999999</v>
      </c>
      <c r="C60" s="156">
        <v>4.9955384615384631E-2</v>
      </c>
      <c r="D60" s="158">
        <f t="shared" si="0"/>
        <v>5.3419615384615364E-2</v>
      </c>
      <c r="F60" s="150" t="str">
        <f>"[8] Equals "&amp;TEXT(G38,"0.000000")&amp;" + ("&amp;TEXT(G39,"0.000000")&amp;" x Column [7])"</f>
        <v>[8] Equals 0.084792 + (-0.575606 x Column [7])</v>
      </c>
    </row>
    <row r="61" spans="1:11" ht="15" customHeight="1" x14ac:dyDescent="0.25">
      <c r="A61" s="152" t="s">
        <v>1307</v>
      </c>
      <c r="B61" s="156">
        <v>0.10142</v>
      </c>
      <c r="C61" s="156">
        <v>4.7423076923076908E-2</v>
      </c>
      <c r="D61" s="158">
        <f t="shared" si="0"/>
        <v>5.3996923076923088E-2</v>
      </c>
      <c r="F61" s="150" t="s">
        <v>1303</v>
      </c>
    </row>
    <row r="62" spans="1:11" ht="15" customHeight="1" x14ac:dyDescent="0.25">
      <c r="A62" s="152" t="s">
        <v>1308</v>
      </c>
      <c r="B62" s="156">
        <v>0.10518181818181817</v>
      </c>
      <c r="C62" s="156">
        <v>4.7975384615384635E-2</v>
      </c>
      <c r="D62" s="158">
        <f t="shared" si="0"/>
        <v>5.7206433566433533E-2</v>
      </c>
    </row>
    <row r="63" spans="1:11" ht="15" customHeight="1" x14ac:dyDescent="0.25">
      <c r="A63" s="152" t="s">
        <v>1309</v>
      </c>
      <c r="B63" s="156">
        <v>0.10126666666666666</v>
      </c>
      <c r="C63" s="156">
        <v>4.9892307692307715E-2</v>
      </c>
      <c r="D63" s="158">
        <f t="shared" si="0"/>
        <v>5.1374358974358943E-2</v>
      </c>
    </row>
    <row r="64" spans="1:11" ht="15" customHeight="1" x14ac:dyDescent="0.25">
      <c r="A64" s="152" t="s">
        <v>1310</v>
      </c>
      <c r="B64" s="156">
        <v>0.10026249999999999</v>
      </c>
      <c r="C64" s="156">
        <v>4.9499999999999982E-2</v>
      </c>
      <c r="D64" s="158">
        <f t="shared" si="0"/>
        <v>5.0762500000000009E-2</v>
      </c>
    </row>
    <row r="65" spans="1:72" ht="15" customHeight="1" x14ac:dyDescent="0.25">
      <c r="A65" s="152" t="s">
        <v>1311</v>
      </c>
      <c r="B65" s="156">
        <v>0.10117692307692307</v>
      </c>
      <c r="C65" s="156">
        <v>4.6140000000000014E-2</v>
      </c>
      <c r="D65" s="158">
        <f t="shared" si="0"/>
        <v>5.5036923076923053E-2</v>
      </c>
    </row>
    <row r="66" spans="1:72" ht="15" customHeight="1" x14ac:dyDescent="0.25">
      <c r="A66" s="152" t="s">
        <v>1312</v>
      </c>
      <c r="B66" s="156">
        <v>0.10375714285714287</v>
      </c>
      <c r="C66" s="156">
        <v>4.409538461538462E-2</v>
      </c>
      <c r="D66" s="158">
        <f t="shared" si="0"/>
        <v>5.9661758241758248E-2</v>
      </c>
    </row>
    <row r="67" spans="1:72" ht="15" customHeight="1" x14ac:dyDescent="0.25">
      <c r="A67" s="152" t="s">
        <v>1313</v>
      </c>
      <c r="B67" s="156">
        <v>0.10166666666666668</v>
      </c>
      <c r="C67" s="156">
        <v>4.5739999999999996E-2</v>
      </c>
      <c r="D67" s="158">
        <f t="shared" si="0"/>
        <v>5.5926666666666687E-2</v>
      </c>
      <c r="F67" s="2"/>
      <c r="G67" s="2"/>
      <c r="H67" s="2"/>
      <c r="I67" s="2"/>
      <c r="J67" s="2"/>
      <c r="K67" s="2"/>
      <c r="L67" s="2"/>
      <c r="M67" s="2"/>
      <c r="N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5" customHeight="1" x14ac:dyDescent="0.25">
      <c r="A68" s="152" t="s">
        <v>1314</v>
      </c>
      <c r="B68" s="156">
        <v>0.10551111111111111</v>
      </c>
      <c r="C68" s="156">
        <v>4.4501515151515146E-2</v>
      </c>
      <c r="D68" s="158">
        <f t="shared" si="0"/>
        <v>6.1009595959595965E-2</v>
      </c>
      <c r="F68" s="2"/>
      <c r="G68" s="2"/>
      <c r="H68" s="2"/>
      <c r="I68" s="2"/>
      <c r="J68" s="2"/>
      <c r="K68" s="2"/>
      <c r="L68" s="2"/>
      <c r="M68" s="2"/>
      <c r="N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5" customHeight="1" x14ac:dyDescent="0.25">
      <c r="A69" s="152" t="s">
        <v>1315</v>
      </c>
      <c r="B69" s="156">
        <v>0.10338461538461538</v>
      </c>
      <c r="C69" s="156">
        <v>3.6437500000000005E-2</v>
      </c>
      <c r="D69" s="158">
        <f t="shared" si="0"/>
        <v>6.6947115384615369E-2</v>
      </c>
      <c r="F69" s="2"/>
      <c r="G69" s="2"/>
      <c r="H69" s="2"/>
      <c r="I69" s="2"/>
      <c r="J69" s="2"/>
      <c r="K69" s="2"/>
      <c r="L69" s="2"/>
      <c r="M69" s="2"/>
      <c r="N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5" customHeight="1" x14ac:dyDescent="0.25">
      <c r="A70" s="152" t="s">
        <v>1316</v>
      </c>
      <c r="B70" s="156">
        <v>0.10242499999999999</v>
      </c>
      <c r="C70" s="156">
        <v>3.4393749999999994E-2</v>
      </c>
      <c r="D70" s="158">
        <f t="shared" si="0"/>
        <v>6.8031249999999988E-2</v>
      </c>
      <c r="F70" s="2"/>
      <c r="G70" s="2"/>
      <c r="H70" s="2"/>
      <c r="I70" s="2"/>
      <c r="J70" s="2"/>
      <c r="K70" s="2"/>
      <c r="L70" s="2"/>
      <c r="M70" s="2"/>
      <c r="N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5" customHeight="1" x14ac:dyDescent="0.25">
      <c r="A71" s="152" t="s">
        <v>1317</v>
      </c>
      <c r="B71" s="156">
        <v>0.101075</v>
      </c>
      <c r="C71" s="156">
        <v>4.1692307692307695E-2</v>
      </c>
      <c r="D71" s="158">
        <f t="shared" ref="D71:D129" si="1">B71-C71</f>
        <v>5.9382692307692303E-2</v>
      </c>
      <c r="F71" s="2"/>
      <c r="G71" s="2"/>
      <c r="H71" s="2"/>
      <c r="I71" s="2"/>
      <c r="J71" s="2"/>
      <c r="K71" s="2"/>
      <c r="L71" s="2"/>
      <c r="M71" s="2"/>
      <c r="N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5" customHeight="1" x14ac:dyDescent="0.25">
      <c r="A72" s="152" t="s">
        <v>1318</v>
      </c>
      <c r="B72" s="156">
        <v>9.8799999999999999E-2</v>
      </c>
      <c r="C72" s="156">
        <v>4.321666666666666E-2</v>
      </c>
      <c r="D72" s="158">
        <f t="shared" si="1"/>
        <v>5.5583333333333339E-2</v>
      </c>
      <c r="F72" s="2"/>
      <c r="G72" s="2"/>
      <c r="H72" s="2"/>
      <c r="I72" s="2"/>
      <c r="J72" s="2"/>
      <c r="K72" s="2"/>
      <c r="L72" s="2"/>
      <c r="M72" s="2"/>
      <c r="N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5" customHeight="1" x14ac:dyDescent="0.25">
      <c r="A73" s="152" t="s">
        <v>1319</v>
      </c>
      <c r="B73" s="156">
        <v>0.10305000000000003</v>
      </c>
      <c r="C73" s="156">
        <v>4.3392187499999998E-2</v>
      </c>
      <c r="D73" s="158">
        <f t="shared" si="1"/>
        <v>5.9657812500000032E-2</v>
      </c>
      <c r="F73" s="2"/>
      <c r="G73" s="2"/>
      <c r="H73" s="2"/>
      <c r="I73" s="2"/>
      <c r="J73" s="2"/>
      <c r="K73" s="2"/>
      <c r="L73" s="2"/>
      <c r="M73" s="2"/>
      <c r="N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5" customHeight="1" x14ac:dyDescent="0.25">
      <c r="A74" s="152" t="s">
        <v>1320</v>
      </c>
      <c r="B74" s="156">
        <v>0.10236666666666666</v>
      </c>
      <c r="C74" s="156">
        <v>4.6243749999999986E-2</v>
      </c>
      <c r="D74" s="158">
        <f t="shared" si="1"/>
        <v>5.6122916666666675E-2</v>
      </c>
      <c r="F74" s="2"/>
      <c r="G74" s="2"/>
      <c r="H74" s="2"/>
      <c r="I74" s="2"/>
      <c r="J74" s="2"/>
      <c r="K74" s="2"/>
      <c r="L74" s="2"/>
      <c r="M74" s="2"/>
      <c r="N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5" customHeight="1" x14ac:dyDescent="0.25">
      <c r="A75" s="152" t="s">
        <v>1321</v>
      </c>
      <c r="B75" s="156">
        <v>9.985454545454546E-2</v>
      </c>
      <c r="C75" s="156">
        <v>4.3692307692307676E-2</v>
      </c>
      <c r="D75" s="158">
        <f t="shared" si="1"/>
        <v>5.6162237762237784E-2</v>
      </c>
      <c r="F75" s="2"/>
      <c r="G75" s="2"/>
      <c r="H75" s="2"/>
      <c r="I75" s="2"/>
      <c r="J75" s="2"/>
      <c r="K75" s="2"/>
      <c r="L75" s="2"/>
      <c r="M75" s="2"/>
      <c r="N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5" customHeight="1" x14ac:dyDescent="0.25">
      <c r="A76" s="152" t="s">
        <v>1322</v>
      </c>
      <c r="B76" s="156">
        <v>0.10425</v>
      </c>
      <c r="C76" s="156">
        <v>3.8563636363636355E-2</v>
      </c>
      <c r="D76" s="158">
        <f t="shared" si="1"/>
        <v>6.568636363636364E-2</v>
      </c>
      <c r="F76" s="2"/>
      <c r="G76" s="2"/>
      <c r="H76" s="2"/>
      <c r="I76" s="2"/>
      <c r="J76" s="2"/>
      <c r="K76" s="2"/>
      <c r="L76" s="2"/>
      <c r="M76" s="2"/>
      <c r="N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5" customHeight="1" x14ac:dyDescent="0.25">
      <c r="A77" s="152" t="s">
        <v>1323</v>
      </c>
      <c r="B77" s="156">
        <v>0.10092307692307692</v>
      </c>
      <c r="C77" s="156">
        <v>4.1749230769230768E-2</v>
      </c>
      <c r="D77" s="158">
        <f t="shared" si="1"/>
        <v>5.9173846153846153E-2</v>
      </c>
      <c r="F77" s="2"/>
      <c r="G77" s="2"/>
      <c r="H77" s="2"/>
      <c r="I77" s="2"/>
      <c r="J77" s="2"/>
      <c r="K77" s="2"/>
      <c r="L77" s="2"/>
      <c r="M77" s="2"/>
      <c r="N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5" customHeight="1" x14ac:dyDescent="0.25">
      <c r="A78" s="152" t="s">
        <v>1324</v>
      </c>
      <c r="B78" s="156">
        <v>0.10100000000000001</v>
      </c>
      <c r="C78" s="156">
        <v>4.5609374999999994E-2</v>
      </c>
      <c r="D78" s="158">
        <f t="shared" si="1"/>
        <v>5.5390625000000013E-2</v>
      </c>
      <c r="F78" s="2"/>
      <c r="G78" s="2"/>
      <c r="H78" s="2"/>
      <c r="I78" s="2"/>
      <c r="J78" s="2"/>
      <c r="K78" s="2"/>
      <c r="L78" s="2"/>
      <c r="M78" s="2"/>
      <c r="N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5" customHeight="1" x14ac:dyDescent="0.25">
      <c r="A79" s="152" t="s">
        <v>1325</v>
      </c>
      <c r="B79" s="156">
        <v>9.845000000000001E-2</v>
      </c>
      <c r="C79" s="156">
        <v>4.3387692307692308E-2</v>
      </c>
      <c r="D79" s="158">
        <f t="shared" si="1"/>
        <v>5.5062307692307702E-2</v>
      </c>
      <c r="F79" s="2"/>
      <c r="G79" s="2"/>
      <c r="H79" s="2"/>
      <c r="I79" s="2"/>
      <c r="J79" s="2"/>
      <c r="K79" s="2"/>
      <c r="L79" s="2"/>
      <c r="M79" s="2"/>
      <c r="N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5" customHeight="1" x14ac:dyDescent="0.25">
      <c r="A80" s="152" t="s">
        <v>1326</v>
      </c>
      <c r="B80" s="156">
        <v>9.6500000000000002E-2</v>
      </c>
      <c r="C80" s="156">
        <v>3.6960606060606048E-2</v>
      </c>
      <c r="D80" s="158">
        <f t="shared" si="1"/>
        <v>5.9539393939393954E-2</v>
      </c>
    </row>
    <row r="81" spans="1:4" ht="15" customHeight="1" x14ac:dyDescent="0.25">
      <c r="A81" s="152" t="s">
        <v>1327</v>
      </c>
      <c r="B81" s="156">
        <v>9.8750000000000004E-2</v>
      </c>
      <c r="C81" s="156">
        <v>3.0376190476190473E-2</v>
      </c>
      <c r="D81" s="158">
        <f t="shared" si="1"/>
        <v>6.8373809523809531E-2</v>
      </c>
    </row>
    <row r="82" spans="1:4" ht="15" customHeight="1" x14ac:dyDescent="0.25">
      <c r="A82" s="152" t="s">
        <v>1328</v>
      </c>
      <c r="B82" s="156">
        <v>9.6319999999999989E-2</v>
      </c>
      <c r="C82" s="156">
        <v>3.1361538461538462E-2</v>
      </c>
      <c r="D82" s="158">
        <f t="shared" si="1"/>
        <v>6.495846153846152E-2</v>
      </c>
    </row>
    <row r="83" spans="1:4" ht="15" customHeight="1" x14ac:dyDescent="0.25">
      <c r="A83" s="155" t="s">
        <v>1329</v>
      </c>
      <c r="B83" s="156">
        <v>9.8312499999999983E-2</v>
      </c>
      <c r="C83" s="156">
        <v>2.9363076923076922E-2</v>
      </c>
      <c r="D83" s="158">
        <f t="shared" si="1"/>
        <v>6.8949423076923061E-2</v>
      </c>
    </row>
    <row r="84" spans="1:4" ht="15" customHeight="1" x14ac:dyDescent="0.25">
      <c r="A84" s="155" t="s">
        <v>1330</v>
      </c>
      <c r="B84" s="156">
        <v>9.7500000000000003E-2</v>
      </c>
      <c r="C84" s="156">
        <v>2.7429230769230779E-2</v>
      </c>
      <c r="D84" s="158">
        <f t="shared" si="1"/>
        <v>7.0070769230769228E-2</v>
      </c>
    </row>
    <row r="85" spans="1:4" ht="15" customHeight="1" x14ac:dyDescent="0.25">
      <c r="A85" s="155" t="s">
        <v>1331</v>
      </c>
      <c r="B85" s="156">
        <v>0.10055</v>
      </c>
      <c r="C85" s="156">
        <v>2.8639062499999993E-2</v>
      </c>
      <c r="D85" s="158">
        <f t="shared" si="1"/>
        <v>7.1910937500000008E-2</v>
      </c>
    </row>
    <row r="86" spans="1:4" ht="15" customHeight="1" x14ac:dyDescent="0.25">
      <c r="A86" s="155" t="s">
        <v>1332</v>
      </c>
      <c r="B86" s="156">
        <v>9.5666666666666678E-2</v>
      </c>
      <c r="C86" s="156">
        <v>3.1303125000000008E-2</v>
      </c>
      <c r="D86" s="158">
        <f t="shared" si="1"/>
        <v>6.4363541666666663E-2</v>
      </c>
    </row>
    <row r="87" spans="1:4" ht="15" customHeight="1" x14ac:dyDescent="0.25">
      <c r="A87" s="155" t="s">
        <v>1333</v>
      </c>
      <c r="B87" s="156">
        <v>9.4683333333333328E-2</v>
      </c>
      <c r="C87" s="156">
        <v>3.1412307692307684E-2</v>
      </c>
      <c r="D87" s="158">
        <f t="shared" si="1"/>
        <v>6.3271025641025644E-2</v>
      </c>
    </row>
    <row r="88" spans="1:4" ht="15" customHeight="1" x14ac:dyDescent="0.25">
      <c r="A88" s="155" t="s">
        <v>1334</v>
      </c>
      <c r="B88" s="156">
        <v>9.6000000000000002E-2</v>
      </c>
      <c r="C88" s="156">
        <v>3.7107575757575756E-2</v>
      </c>
      <c r="D88" s="158">
        <f t="shared" si="1"/>
        <v>5.8892424242424246E-2</v>
      </c>
    </row>
    <row r="89" spans="1:4" ht="15" customHeight="1" x14ac:dyDescent="0.25">
      <c r="A89" s="155" t="s">
        <v>1335</v>
      </c>
      <c r="B89" s="156">
        <v>9.8290909090909082E-2</v>
      </c>
      <c r="C89" s="156">
        <v>3.7882812500000008E-2</v>
      </c>
      <c r="D89" s="158">
        <f t="shared" si="1"/>
        <v>6.0408096590909073E-2</v>
      </c>
    </row>
    <row r="90" spans="1:4" ht="15" customHeight="1" x14ac:dyDescent="0.25">
      <c r="A90" s="155" t="s">
        <v>1336</v>
      </c>
      <c r="B90" s="156">
        <v>9.5416666666666664E-2</v>
      </c>
      <c r="C90" s="156">
        <v>3.6903125000000009E-2</v>
      </c>
      <c r="D90" s="158">
        <f t="shared" si="1"/>
        <v>5.8513541666666655E-2</v>
      </c>
    </row>
    <row r="91" spans="1:4" ht="15" customHeight="1" x14ac:dyDescent="0.25">
      <c r="A91" s="155" t="s">
        <v>1337</v>
      </c>
      <c r="B91" s="156">
        <v>9.8362499999999992E-2</v>
      </c>
      <c r="C91" s="156">
        <v>3.4430769230769237E-2</v>
      </c>
      <c r="D91" s="158">
        <f t="shared" si="1"/>
        <v>6.3931730769230755E-2</v>
      </c>
    </row>
    <row r="92" spans="1:4" ht="15" customHeight="1" x14ac:dyDescent="0.25">
      <c r="A92" s="155" t="s">
        <v>1338</v>
      </c>
      <c r="B92" s="156">
        <v>9.4500000000000015E-2</v>
      </c>
      <c r="C92" s="156">
        <v>3.2657575757575753E-2</v>
      </c>
      <c r="D92" s="158">
        <f t="shared" si="1"/>
        <v>6.1842424242424261E-2</v>
      </c>
    </row>
    <row r="93" spans="1:4" ht="15" customHeight="1" x14ac:dyDescent="0.25">
      <c r="A93" s="155" t="s">
        <v>1339</v>
      </c>
      <c r="B93" s="156">
        <v>0.10283333333333333</v>
      </c>
      <c r="C93" s="156">
        <v>2.9637499999999997E-2</v>
      </c>
      <c r="D93" s="158">
        <f t="shared" si="1"/>
        <v>7.3195833333333335E-2</v>
      </c>
    </row>
    <row r="94" spans="1:4" ht="15" customHeight="1" x14ac:dyDescent="0.25">
      <c r="A94" s="155" t="s">
        <v>1340</v>
      </c>
      <c r="B94" s="156">
        <v>9.4666666666666677E-2</v>
      </c>
      <c r="C94" s="156">
        <v>2.5540625000000004E-2</v>
      </c>
      <c r="D94" s="158">
        <f t="shared" si="1"/>
        <v>6.9126041666666665E-2</v>
      </c>
    </row>
    <row r="95" spans="1:4" ht="15" customHeight="1" x14ac:dyDescent="0.25">
      <c r="A95" s="155" t="s">
        <v>1341</v>
      </c>
      <c r="B95" s="156">
        <v>9.4333333333333338E-2</v>
      </c>
      <c r="C95" s="156">
        <v>2.8836923076923083E-2</v>
      </c>
      <c r="D95" s="158">
        <f t="shared" si="1"/>
        <v>6.5496410256410259E-2</v>
      </c>
    </row>
    <row r="96" spans="1:4" ht="15" customHeight="1" x14ac:dyDescent="0.25">
      <c r="A96" s="155" t="s">
        <v>1342</v>
      </c>
      <c r="B96" s="156">
        <v>9.7500000000000003E-2</v>
      </c>
      <c r="C96" s="156">
        <v>2.9624242424242438E-2</v>
      </c>
      <c r="D96" s="158">
        <f t="shared" si="1"/>
        <v>6.7875757575757562E-2</v>
      </c>
    </row>
    <row r="97" spans="1:4" ht="15" customHeight="1" x14ac:dyDescent="0.25">
      <c r="A97" s="155" t="s">
        <v>1343</v>
      </c>
      <c r="B97" s="156">
        <v>9.6777777777777768E-2</v>
      </c>
      <c r="C97" s="156">
        <v>2.9630303030303028E-2</v>
      </c>
      <c r="D97" s="158">
        <f t="shared" si="1"/>
        <v>6.7147474747474734E-2</v>
      </c>
    </row>
    <row r="98" spans="1:4" ht="15" customHeight="1" x14ac:dyDescent="0.25">
      <c r="A98" s="155" t="s">
        <v>1344</v>
      </c>
      <c r="B98" s="156">
        <v>9.4833333333333325E-2</v>
      </c>
      <c r="C98" s="156">
        <v>2.7218461538461539E-2</v>
      </c>
      <c r="D98" s="158">
        <f t="shared" si="1"/>
        <v>6.7614871794871786E-2</v>
      </c>
    </row>
    <row r="99" spans="1:4" ht="15" customHeight="1" x14ac:dyDescent="0.25">
      <c r="A99" s="155" t="s">
        <v>1345</v>
      </c>
      <c r="B99" s="156">
        <v>9.4149999999999998E-2</v>
      </c>
      <c r="C99" s="156">
        <v>2.5672307692307696E-2</v>
      </c>
      <c r="D99" s="158">
        <f t="shared" si="1"/>
        <v>6.8477692307692295E-2</v>
      </c>
    </row>
    <row r="100" spans="1:4" ht="15" customHeight="1" x14ac:dyDescent="0.25">
      <c r="A100" s="155" t="s">
        <v>1346</v>
      </c>
      <c r="B100" s="156">
        <v>9.4649999999999984E-2</v>
      </c>
      <c r="C100" s="156">
        <v>2.2793939393939398E-2</v>
      </c>
      <c r="D100" s="158">
        <f t="shared" si="1"/>
        <v>7.185606060606059E-2</v>
      </c>
    </row>
    <row r="101" spans="1:4" ht="15" customHeight="1" x14ac:dyDescent="0.25">
      <c r="A101" s="155" t="s">
        <v>1347</v>
      </c>
      <c r="B101" s="156">
        <v>9.6722222222222209E-2</v>
      </c>
      <c r="C101" s="156">
        <v>2.8333846153846154E-2</v>
      </c>
      <c r="D101" s="158">
        <f t="shared" si="1"/>
        <v>6.8388376068376056E-2</v>
      </c>
    </row>
    <row r="102" spans="1:4" ht="15" customHeight="1" x14ac:dyDescent="0.25">
      <c r="A102" s="155" t="s">
        <v>1348</v>
      </c>
      <c r="B102" s="156">
        <v>9.6000000000000016E-2</v>
      </c>
      <c r="C102" s="156">
        <v>3.0452307692307709E-2</v>
      </c>
      <c r="D102" s="158">
        <f t="shared" si="1"/>
        <v>6.5547692307692307E-2</v>
      </c>
    </row>
    <row r="103" spans="1:4" ht="15" customHeight="1" x14ac:dyDescent="0.25">
      <c r="A103" s="155" t="s">
        <v>1349</v>
      </c>
      <c r="B103" s="156">
        <v>9.4714285714285709E-2</v>
      </c>
      <c r="C103" s="156">
        <v>2.8972307692307693E-2</v>
      </c>
      <c r="D103" s="158">
        <f t="shared" si="1"/>
        <v>6.5741978021978009E-2</v>
      </c>
    </row>
    <row r="104" spans="1:4" ht="15" customHeight="1" x14ac:dyDescent="0.25">
      <c r="A104" s="155" t="s">
        <v>1350</v>
      </c>
      <c r="B104" s="156">
        <v>0.10138333333333333</v>
      </c>
      <c r="C104" s="156">
        <v>2.8173846153846157E-2</v>
      </c>
      <c r="D104" s="158">
        <f t="shared" si="1"/>
        <v>7.3209487179487165E-2</v>
      </c>
    </row>
    <row r="105" spans="1:4" ht="15" customHeight="1" x14ac:dyDescent="0.25">
      <c r="A105" s="155" t="s">
        <v>1351</v>
      </c>
      <c r="B105" s="156">
        <v>9.6999999999999989E-2</v>
      </c>
      <c r="C105" s="156">
        <v>2.817384615384615E-2</v>
      </c>
      <c r="D105" s="158">
        <f t="shared" si="1"/>
        <v>6.8826153846153842E-2</v>
      </c>
    </row>
    <row r="106" spans="1:4" ht="15" customHeight="1" x14ac:dyDescent="0.25">
      <c r="A106" s="155" t="s">
        <v>1352</v>
      </c>
      <c r="B106" s="156">
        <v>9.6816666666666662E-2</v>
      </c>
      <c r="C106" s="156">
        <v>3.0235384615384615E-2</v>
      </c>
      <c r="D106" s="158">
        <f t="shared" si="1"/>
        <v>6.6581282051282054E-2</v>
      </c>
    </row>
    <row r="107" spans="1:4" ht="15" customHeight="1" x14ac:dyDescent="0.25">
      <c r="A107" s="155" t="s">
        <v>1353</v>
      </c>
      <c r="B107" s="156">
        <v>9.4285714285714292E-2</v>
      </c>
      <c r="C107" s="156">
        <v>3.0853846153846162E-2</v>
      </c>
      <c r="D107" s="158">
        <f t="shared" si="1"/>
        <v>6.343186813186813E-2</v>
      </c>
    </row>
    <row r="108" spans="1:4" ht="15" customHeight="1" x14ac:dyDescent="0.25">
      <c r="A108" s="155" t="s">
        <v>1354</v>
      </c>
      <c r="B108" s="156">
        <v>9.7108333333333338E-2</v>
      </c>
      <c r="C108" s="156">
        <v>3.0607692307692315E-2</v>
      </c>
      <c r="D108" s="158">
        <f t="shared" si="1"/>
        <v>6.6500641025641016E-2</v>
      </c>
    </row>
    <row r="109" spans="1:4" ht="15" customHeight="1" x14ac:dyDescent="0.25">
      <c r="A109" s="155" t="s">
        <v>1355</v>
      </c>
      <c r="B109" s="156">
        <v>9.5307142857142854E-2</v>
      </c>
      <c r="C109" s="156">
        <v>3.26939393939394E-2</v>
      </c>
      <c r="D109" s="158">
        <f t="shared" si="1"/>
        <v>6.2613203463203454E-2</v>
      </c>
    </row>
    <row r="110" spans="1:4" ht="15" customHeight="1" x14ac:dyDescent="0.25">
      <c r="A110" s="155" t="s">
        <v>1356</v>
      </c>
      <c r="B110" s="156">
        <v>9.5500000000000002E-2</v>
      </c>
      <c r="C110" s="156">
        <v>3.0129687499999998E-2</v>
      </c>
      <c r="D110" s="158">
        <f t="shared" si="1"/>
        <v>6.53703125E-2</v>
      </c>
    </row>
    <row r="111" spans="1:4" ht="15" customHeight="1" x14ac:dyDescent="0.25">
      <c r="A111" s="155" t="s">
        <v>1357</v>
      </c>
      <c r="B111" s="156">
        <v>9.7266666666666668E-2</v>
      </c>
      <c r="C111" s="156">
        <v>2.7836923076923075E-2</v>
      </c>
      <c r="D111" s="158">
        <f t="shared" si="1"/>
        <v>6.9429743589743589E-2</v>
      </c>
    </row>
    <row r="112" spans="1:4" ht="15" customHeight="1" x14ac:dyDescent="0.25">
      <c r="A112" s="155" t="s">
        <v>1358</v>
      </c>
      <c r="B112" s="156">
        <v>9.9500000000000005E-2</v>
      </c>
      <c r="C112" s="156">
        <v>2.2849999999999995E-2</v>
      </c>
      <c r="D112" s="158">
        <f t="shared" si="1"/>
        <v>7.665000000000001E-2</v>
      </c>
    </row>
    <row r="113" spans="1:4" ht="15" customHeight="1" x14ac:dyDescent="0.25">
      <c r="A113" s="155" t="s">
        <v>1359</v>
      </c>
      <c r="B113" s="156">
        <v>9.738636363636366E-2</v>
      </c>
      <c r="C113" s="156">
        <v>2.2566666666666676E-2</v>
      </c>
      <c r="D113" s="158">
        <f t="shared" si="1"/>
        <v>7.481969696969698E-2</v>
      </c>
    </row>
    <row r="114" spans="1:4" ht="15" customHeight="1" x14ac:dyDescent="0.25">
      <c r="A114" s="155" t="s">
        <v>1360</v>
      </c>
      <c r="B114" s="156">
        <v>9.3522222222222229E-2</v>
      </c>
      <c r="C114" s="156">
        <v>1.8878461538461538E-2</v>
      </c>
      <c r="D114" s="158">
        <f t="shared" si="1"/>
        <v>7.464376068376069E-2</v>
      </c>
    </row>
    <row r="115" spans="1:4" ht="15" customHeight="1" x14ac:dyDescent="0.25">
      <c r="A115" s="155" t="s">
        <v>1361</v>
      </c>
      <c r="B115" s="156">
        <v>9.5499999999999988E-2</v>
      </c>
      <c r="C115" s="156">
        <v>1.3801538461538454E-2</v>
      </c>
      <c r="D115" s="158">
        <f t="shared" si="1"/>
        <v>8.1698461538461539E-2</v>
      </c>
    </row>
    <row r="116" spans="1:4" ht="15" customHeight="1" x14ac:dyDescent="0.25">
      <c r="A116" s="155">
        <v>2020.3</v>
      </c>
      <c r="B116" s="156">
        <v>9.5187500000000008E-2</v>
      </c>
      <c r="C116" s="156">
        <v>1.3654545454545457E-2</v>
      </c>
      <c r="D116" s="158">
        <f t="shared" si="1"/>
        <v>8.1532954545454547E-2</v>
      </c>
    </row>
    <row r="117" spans="1:4" ht="15" customHeight="1" x14ac:dyDescent="0.25">
      <c r="A117" s="155">
        <v>2020.4</v>
      </c>
      <c r="B117" s="156">
        <v>9.4953333333333362E-2</v>
      </c>
      <c r="C117" s="156">
        <v>1.6210606060606054E-2</v>
      </c>
      <c r="D117" s="158">
        <f t="shared" si="1"/>
        <v>7.8742727272727311E-2</v>
      </c>
    </row>
    <row r="118" spans="1:4" ht="15" customHeight="1" x14ac:dyDescent="0.25">
      <c r="A118" s="155">
        <v>2021.1</v>
      </c>
      <c r="B118" s="156">
        <v>9.708E-2</v>
      </c>
      <c r="C118" s="156">
        <v>2.0748437499999998E-2</v>
      </c>
      <c r="D118" s="158">
        <f t="shared" si="1"/>
        <v>7.6331562500000005E-2</v>
      </c>
    </row>
    <row r="119" spans="1:4" ht="15" customHeight="1" x14ac:dyDescent="0.25">
      <c r="A119" s="155">
        <v>2021.2</v>
      </c>
      <c r="B119" s="156">
        <v>9.4783333333333331E-2</v>
      </c>
      <c r="C119" s="156">
        <v>2.2579999999999996E-2</v>
      </c>
      <c r="D119" s="158">
        <f t="shared" si="1"/>
        <v>7.2203333333333342E-2</v>
      </c>
    </row>
    <row r="120" spans="1:4" ht="15" customHeight="1" x14ac:dyDescent="0.25">
      <c r="A120" s="155">
        <v>2021.3</v>
      </c>
      <c r="B120" s="156">
        <v>9.4327272727272718E-2</v>
      </c>
      <c r="C120" s="156">
        <v>1.9333333333333327E-2</v>
      </c>
      <c r="D120" s="158">
        <f t="shared" si="1"/>
        <v>7.4993939393939391E-2</v>
      </c>
    </row>
    <row r="121" spans="1:4" ht="15" customHeight="1" x14ac:dyDescent="0.25">
      <c r="A121" s="155">
        <v>2021.4</v>
      </c>
      <c r="B121" s="156">
        <v>9.5937500000000023E-2</v>
      </c>
      <c r="C121" s="156">
        <v>1.9479687499999995E-2</v>
      </c>
      <c r="D121" s="158">
        <f t="shared" si="1"/>
        <v>7.6457812500000027E-2</v>
      </c>
    </row>
    <row r="122" spans="1:4" ht="15" customHeight="1" x14ac:dyDescent="0.25">
      <c r="A122" s="155">
        <v>2022.1</v>
      </c>
      <c r="B122" s="156">
        <v>9.3749999999999986E-2</v>
      </c>
      <c r="C122" s="156">
        <v>2.2546031746031748E-2</v>
      </c>
      <c r="D122" s="158">
        <f t="shared" si="1"/>
        <v>7.1203968253968242E-2</v>
      </c>
    </row>
    <row r="123" spans="1:4" ht="15" customHeight="1" x14ac:dyDescent="0.25">
      <c r="A123" s="155">
        <v>2022.2</v>
      </c>
      <c r="B123" s="156">
        <v>9.2266666666666677E-2</v>
      </c>
      <c r="C123" s="156">
        <v>3.0455384615384599E-2</v>
      </c>
      <c r="D123" s="158">
        <f t="shared" si="1"/>
        <v>6.1811282051282078E-2</v>
      </c>
    </row>
    <row r="124" spans="1:4" ht="15" customHeight="1" x14ac:dyDescent="0.25">
      <c r="A124" s="155">
        <v>2022.3</v>
      </c>
      <c r="B124" s="156">
        <v>9.5174999999999996E-2</v>
      </c>
      <c r="C124" s="156">
        <v>3.2607575757575759E-2</v>
      </c>
      <c r="D124" s="158">
        <f t="shared" si="1"/>
        <v>6.256742424242423E-2</v>
      </c>
    </row>
    <row r="125" spans="1:4" ht="15" customHeight="1" x14ac:dyDescent="0.25">
      <c r="A125" s="155">
        <v>2022.4</v>
      </c>
      <c r="B125" s="158">
        <v>9.6456250000000021E-2</v>
      </c>
      <c r="C125" s="158">
        <v>3.8912500000000003E-2</v>
      </c>
      <c r="D125" s="158">
        <f t="shared" si="1"/>
        <v>5.7543750000000018E-2</v>
      </c>
    </row>
    <row r="126" spans="1:4" ht="15" customHeight="1" x14ac:dyDescent="0.25">
      <c r="A126" s="155">
        <v>2023.1</v>
      </c>
      <c r="B126" s="158">
        <v>9.6366666666666656E-2</v>
      </c>
      <c r="C126" s="158">
        <v>3.7495384615384618E-2</v>
      </c>
      <c r="D126" s="158">
        <f t="shared" si="1"/>
        <v>5.8871282051282038E-2</v>
      </c>
    </row>
    <row r="127" spans="1:4" ht="15" customHeight="1" x14ac:dyDescent="0.25">
      <c r="A127" s="155">
        <v>2023.2</v>
      </c>
      <c r="B127" s="158">
        <v>9.4E-2</v>
      </c>
      <c r="C127" s="158">
        <v>3.808461538461537E-2</v>
      </c>
      <c r="D127" s="158">
        <f t="shared" si="1"/>
        <v>5.5915384615384631E-2</v>
      </c>
    </row>
    <row r="128" spans="1:4" ht="15" customHeight="1" x14ac:dyDescent="0.25">
      <c r="A128" s="155">
        <v>2023.3</v>
      </c>
      <c r="B128" s="158">
        <v>9.5316666666666661E-2</v>
      </c>
      <c r="C128" s="158">
        <v>4.234461538461539E-2</v>
      </c>
      <c r="D128" s="158">
        <f t="shared" si="1"/>
        <v>5.297205128205127E-2</v>
      </c>
    </row>
    <row r="129" spans="1:4" ht="15" customHeight="1" x14ac:dyDescent="0.25">
      <c r="A129" s="155">
        <v>2023.4</v>
      </c>
      <c r="B129" s="158">
        <v>9.5440000000000011E-2</v>
      </c>
      <c r="C129" s="158">
        <v>4.7974418604651167E-2</v>
      </c>
      <c r="D129" s="158">
        <f t="shared" si="1"/>
        <v>4.7465581395348844E-2</v>
      </c>
    </row>
    <row r="130" spans="1:4" ht="15" customHeight="1" x14ac:dyDescent="0.25">
      <c r="A130" s="182" t="s">
        <v>1284</v>
      </c>
      <c r="B130" s="157">
        <f>AVERAGE(B6:B129)</f>
        <v>0.10383439096857446</v>
      </c>
      <c r="C130" s="157">
        <f>AVERAGE(C6:C129)</f>
        <v>4.4870169754533694E-2</v>
      </c>
      <c r="D130" s="157">
        <f>AVERAGE(D6:D129)</f>
        <v>5.8964221214040741E-2</v>
      </c>
    </row>
    <row r="131" spans="1:4" ht="15" customHeight="1" thickBot="1" x14ac:dyDescent="0.3">
      <c r="A131" s="183" t="s">
        <v>1362</v>
      </c>
      <c r="B131" s="184">
        <f>MEDIAN(B6:B129)</f>
        <v>0.10262916666666666</v>
      </c>
      <c r="C131" s="184">
        <f>MEDIAN(C6:C129)</f>
        <v>4.5159302884615379E-2</v>
      </c>
      <c r="D131" s="184">
        <f>MEDIAN(D6:D129)</f>
        <v>5.9360285547785524E-2</v>
      </c>
    </row>
    <row r="132" spans="1:4" ht="15" customHeight="1" x14ac:dyDescent="0.25">
      <c r="A132" s="155"/>
      <c r="B132" s="158"/>
      <c r="C132" s="158"/>
      <c r="D132" s="158"/>
    </row>
    <row r="133" spans="1:4" s="2" customFormat="1" ht="15" customHeight="1" x14ac:dyDescent="0.25"/>
    <row r="134" spans="1:4" s="2" customFormat="1" ht="15" customHeight="1" x14ac:dyDescent="0.25"/>
    <row r="135" spans="1:4" s="2" customFormat="1" ht="15" customHeight="1" x14ac:dyDescent="0.25"/>
    <row r="136" spans="1:4" s="2" customFormat="1" ht="15" customHeight="1" x14ac:dyDescent="0.25"/>
  </sheetData>
  <mergeCells count="1">
    <mergeCell ref="A2:D2"/>
  </mergeCells>
  <conditionalFormatting sqref="B6:D132">
    <cfRule type="containsErrors" dxfId="14" priority="1">
      <formula>ISERROR(B6)</formula>
    </cfRule>
  </conditionalFormatting>
  <printOptions horizontalCentered="1"/>
  <pageMargins left="0.7" right="0.7" top="1.5" bottom="0.75" header="0.3" footer="0.3"/>
  <pageSetup scale="63" fitToHeight="3" orientation="landscape" useFirstPageNumber="1" r:id="rId1"/>
  <headerFooter scaleWithDoc="0">
    <oddFooter>&amp;L&amp;"Times New Roman,Bold"&amp;12&amp;KFF0000Draft- Privileged and Confidential&amp;R&amp;"Times New Roman,Regular"&amp;12Exhibit AEB-9
Page &amp;P of &amp;N</oddFooter>
  </headerFooter>
  <rowBreaks count="1" manualBreakCount="1">
    <brk id="41" max="16383" man="1"/>
  </rowBreaks>
  <ignoredErrors>
    <ignoredError sqref="A6:B121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W665"/>
  <sheetViews>
    <sheetView view="pageBreakPreview" zoomScale="60" zoomScaleNormal="80" workbookViewId="0"/>
  </sheetViews>
  <sheetFormatPr defaultColWidth="8.6640625" defaultRowHeight="15" customHeight="1" x14ac:dyDescent="0.25"/>
  <cols>
    <col min="1" max="1" width="32" style="185" bestFit="1" customWidth="1"/>
    <col min="2" max="2" width="6.109375" style="187" bestFit="1" customWidth="1"/>
    <col min="3" max="3" width="13.44140625" style="185" bestFit="1" customWidth="1"/>
    <col min="4" max="4" width="10.6640625" style="185" bestFit="1" customWidth="1"/>
    <col min="5" max="5" width="13.44140625" style="185" bestFit="1" customWidth="1"/>
    <col min="6" max="6" width="10.33203125" style="185" bestFit="1" customWidth="1"/>
    <col min="7" max="7" width="10.6640625" style="185" bestFit="1" customWidth="1"/>
    <col min="8" max="8" width="13.44140625" style="185" bestFit="1" customWidth="1"/>
    <col min="9" max="9" width="10.33203125" style="185" bestFit="1" customWidth="1"/>
    <col min="10" max="10" width="12.33203125" style="185" bestFit="1" customWidth="1"/>
    <col min="11" max="11" width="9.6640625" style="185" bestFit="1" customWidth="1"/>
    <col min="12" max="12" width="13.33203125" style="185" bestFit="1" customWidth="1"/>
    <col min="13" max="13" width="18" style="185" bestFit="1" customWidth="1"/>
    <col min="14" max="15" width="8.6640625" style="2"/>
    <col min="16" max="16" width="9" style="2" bestFit="1" customWidth="1"/>
    <col min="17" max="17" width="18.44140625" style="2" customWidth="1"/>
    <col min="18" max="18" width="9" style="2" bestFit="1" customWidth="1"/>
    <col min="19" max="23" width="8.6640625" style="2"/>
    <col min="24" max="16384" width="8.6640625" style="185"/>
  </cols>
  <sheetData>
    <row r="1" spans="1:13" ht="12.75" customHeight="1" x14ac:dyDescent="0.25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3" ht="12.75" customHeight="1" x14ac:dyDescent="0.25">
      <c r="A2" s="393" t="s">
        <v>1366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</row>
    <row r="3" spans="1:13" ht="12.75" customHeight="1" x14ac:dyDescent="0.25"/>
    <row r="4" spans="1:13" ht="12.75" customHeight="1" thickBot="1" x14ac:dyDescent="0.3">
      <c r="C4" s="187" t="s">
        <v>38</v>
      </c>
      <c r="D4" s="187" t="s">
        <v>39</v>
      </c>
      <c r="E4" s="187" t="s">
        <v>40</v>
      </c>
      <c r="F4" s="187" t="s">
        <v>41</v>
      </c>
      <c r="G4" s="187" t="s">
        <v>42</v>
      </c>
      <c r="H4" s="187" t="s">
        <v>43</v>
      </c>
      <c r="I4" s="187" t="s">
        <v>44</v>
      </c>
      <c r="J4" s="187" t="s">
        <v>45</v>
      </c>
      <c r="K4" s="187" t="s">
        <v>113</v>
      </c>
      <c r="L4" s="187" t="s">
        <v>114</v>
      </c>
    </row>
    <row r="5" spans="1:13" ht="63" customHeight="1" x14ac:dyDescent="0.25">
      <c r="A5" s="189" t="s">
        <v>46</v>
      </c>
      <c r="B5" s="190" t="s">
        <v>47</v>
      </c>
      <c r="C5" s="191" t="s">
        <v>1367</v>
      </c>
      <c r="D5" s="191" t="s">
        <v>1368</v>
      </c>
      <c r="E5" s="191" t="s">
        <v>1369</v>
      </c>
      <c r="F5" s="191" t="s">
        <v>1370</v>
      </c>
      <c r="G5" s="191" t="s">
        <v>1371</v>
      </c>
      <c r="H5" s="191" t="s">
        <v>1372</v>
      </c>
      <c r="I5" s="191" t="s">
        <v>1373</v>
      </c>
      <c r="J5" s="191" t="s">
        <v>1374</v>
      </c>
      <c r="K5" s="191" t="s">
        <v>1375</v>
      </c>
      <c r="L5" s="191" t="s">
        <v>1376</v>
      </c>
    </row>
    <row r="6" spans="1:13" ht="12.75" customHeight="1" x14ac:dyDescent="0.25">
      <c r="A6" s="192"/>
      <c r="B6" s="193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3" ht="12.75" customHeight="1" x14ac:dyDescent="0.25">
      <c r="A7" s="64" t="str">
        <f>'AEB-4 Proxy Selection'!A6</f>
        <v>NiSource Inc.</v>
      </c>
      <c r="B7" s="194" t="str">
        <f>'AEB-4 Proxy Selection'!B6</f>
        <v>NI</v>
      </c>
      <c r="C7" s="195">
        <v>0.11</v>
      </c>
      <c r="D7" s="196">
        <v>17099</v>
      </c>
      <c r="E7" s="195">
        <v>0.316</v>
      </c>
      <c r="F7" s="197">
        <f>D7*E7</f>
        <v>5403.2839999999997</v>
      </c>
      <c r="G7" s="197">
        <v>22500</v>
      </c>
      <c r="H7" s="31">
        <v>0.375</v>
      </c>
      <c r="I7" s="197">
        <f>G7*H7</f>
        <v>8437.5</v>
      </c>
      <c r="J7" s="198">
        <f>(I7/F7)^(1/5)-1</f>
        <v>9.3229137222373692E-2</v>
      </c>
      <c r="K7" s="199">
        <f>2*(1+J7)/(2+J7)</f>
        <v>1.0445384289586588</v>
      </c>
      <c r="L7" s="200">
        <f>C7*K7</f>
        <v>0.11489922718545247</v>
      </c>
      <c r="M7" s="201"/>
    </row>
    <row r="8" spans="1:13" ht="12.75" customHeight="1" x14ac:dyDescent="0.25">
      <c r="A8" s="64" t="str">
        <f>'AEB-4 Proxy Selection'!A7</f>
        <v>ALLETE, Inc.</v>
      </c>
      <c r="B8" s="194" t="str">
        <f>'AEB-4 Proxy Selection'!B7</f>
        <v>ALE</v>
      </c>
      <c r="C8" s="195">
        <v>0.09</v>
      </c>
      <c r="D8" s="196">
        <v>4457.5</v>
      </c>
      <c r="E8" s="195">
        <v>0.59599999999999997</v>
      </c>
      <c r="F8" s="197">
        <f t="shared" ref="F8:F27" si="0">D8*E8</f>
        <v>2656.67</v>
      </c>
      <c r="G8" s="197">
        <v>5550</v>
      </c>
      <c r="H8" s="31">
        <v>0.59499999999999997</v>
      </c>
      <c r="I8" s="197">
        <f t="shared" ref="I8:I27" si="1">G8*H8</f>
        <v>3302.25</v>
      </c>
      <c r="J8" s="198">
        <f t="shared" ref="J8:J27" si="2">(I8/F8)^(1/5)-1</f>
        <v>4.4466385483277415E-2</v>
      </c>
      <c r="K8" s="199">
        <f t="shared" ref="K8:K27" si="3">2*(1+J8)/(2+J8)</f>
        <v>1.0217496290469783</v>
      </c>
      <c r="L8" s="200">
        <f t="shared" ref="L8:L27" si="4">C8*K8</f>
        <v>9.1957466614228045E-2</v>
      </c>
    </row>
    <row r="9" spans="1:13" ht="12.75" customHeight="1" x14ac:dyDescent="0.25">
      <c r="A9" s="64" t="str">
        <f>'AEB-4 Proxy Selection'!A8</f>
        <v>Alliant Energy Corporation</v>
      </c>
      <c r="B9" s="194" t="str">
        <f>'AEB-4 Proxy Selection'!B8</f>
        <v>LNT</v>
      </c>
      <c r="C9" s="195">
        <v>0.12</v>
      </c>
      <c r="D9" s="196">
        <v>13944</v>
      </c>
      <c r="E9" s="195">
        <v>0.45</v>
      </c>
      <c r="F9" s="197">
        <f t="shared" si="0"/>
        <v>6274.8</v>
      </c>
      <c r="G9" s="197">
        <v>17070</v>
      </c>
      <c r="H9" s="31">
        <v>0.48</v>
      </c>
      <c r="I9" s="197">
        <f t="shared" si="1"/>
        <v>8193.6</v>
      </c>
      <c r="J9" s="198">
        <f t="shared" si="2"/>
        <v>5.481178687386512E-2</v>
      </c>
      <c r="K9" s="199">
        <f t="shared" si="3"/>
        <v>1.0266748454646808</v>
      </c>
      <c r="L9" s="200">
        <f t="shared" si="4"/>
        <v>0.12320098145576169</v>
      </c>
    </row>
    <row r="10" spans="1:13" ht="12.75" customHeight="1" x14ac:dyDescent="0.25">
      <c r="A10" s="64" t="str">
        <f>'AEB-4 Proxy Selection'!A9</f>
        <v>Ameren Corporation</v>
      </c>
      <c r="B10" s="194" t="str">
        <f>'AEB-4 Proxy Selection'!B9</f>
        <v>AEE</v>
      </c>
      <c r="C10" s="195">
        <v>0.1</v>
      </c>
      <c r="D10" s="196">
        <v>24193</v>
      </c>
      <c r="E10" s="195">
        <v>0.434</v>
      </c>
      <c r="F10" s="197">
        <f t="shared" si="0"/>
        <v>10499.762000000001</v>
      </c>
      <c r="G10" s="197">
        <v>29500</v>
      </c>
      <c r="H10" s="31">
        <v>0.48499999999999999</v>
      </c>
      <c r="I10" s="197">
        <f t="shared" si="1"/>
        <v>14307.5</v>
      </c>
      <c r="J10" s="198">
        <f t="shared" si="2"/>
        <v>6.3841333354308638E-2</v>
      </c>
      <c r="K10" s="199">
        <f t="shared" si="3"/>
        <v>1.0309332565069569</v>
      </c>
      <c r="L10" s="200">
        <f t="shared" si="4"/>
        <v>0.10309332565069569</v>
      </c>
    </row>
    <row r="11" spans="1:13" ht="12.75" customHeight="1" x14ac:dyDescent="0.25">
      <c r="A11" s="64" t="str">
        <f>'AEB-4 Proxy Selection'!A10</f>
        <v>American Electric Power Company, Inc.</v>
      </c>
      <c r="B11" s="194" t="str">
        <f>'AEB-4 Proxy Selection'!B10</f>
        <v>AEP</v>
      </c>
      <c r="C11" s="195">
        <v>0.11</v>
      </c>
      <c r="D11" s="196">
        <v>57520</v>
      </c>
      <c r="E11" s="195">
        <v>0.42</v>
      </c>
      <c r="F11" s="197">
        <f t="shared" si="0"/>
        <v>24158.399999999998</v>
      </c>
      <c r="G11" s="197">
        <v>75900</v>
      </c>
      <c r="H11" s="31">
        <v>0.42499999999999999</v>
      </c>
      <c r="I11" s="197">
        <f t="shared" si="1"/>
        <v>32257.5</v>
      </c>
      <c r="J11" s="198">
        <f t="shared" si="2"/>
        <v>5.9528169301965583E-2</v>
      </c>
      <c r="K11" s="199">
        <f t="shared" si="3"/>
        <v>1.0289037898045073</v>
      </c>
      <c r="L11" s="200">
        <f t="shared" si="4"/>
        <v>0.11317941687849579</v>
      </c>
    </row>
    <row r="12" spans="1:13" ht="12.75" customHeight="1" x14ac:dyDescent="0.25">
      <c r="A12" s="64" t="str">
        <f>'AEB-4 Proxy Selection'!A11</f>
        <v>Avista Corporation</v>
      </c>
      <c r="B12" s="194" t="str">
        <f>'AEB-4 Proxy Selection'!B11</f>
        <v>AVA</v>
      </c>
      <c r="C12" s="195">
        <v>7.4999999999999997E-2</v>
      </c>
      <c r="D12" s="196">
        <v>4709.7</v>
      </c>
      <c r="E12" s="195">
        <v>0.496</v>
      </c>
      <c r="F12" s="197">
        <f t="shared" si="0"/>
        <v>2336.0111999999999</v>
      </c>
      <c r="G12" s="197">
        <v>6100</v>
      </c>
      <c r="H12" s="31">
        <v>0.505</v>
      </c>
      <c r="I12" s="197">
        <f t="shared" si="1"/>
        <v>3080.5</v>
      </c>
      <c r="J12" s="198">
        <f t="shared" si="2"/>
        <v>5.6888709584775876E-2</v>
      </c>
      <c r="K12" s="199">
        <f t="shared" si="3"/>
        <v>1.0276576507614066</v>
      </c>
      <c r="L12" s="200">
        <f t="shared" si="4"/>
        <v>7.7074323807105494E-2</v>
      </c>
    </row>
    <row r="13" spans="1:13" ht="12.75" customHeight="1" x14ac:dyDescent="0.25">
      <c r="A13" s="64" t="str">
        <f>'AEB-4 Proxy Selection'!A12</f>
        <v>Black Hills Corporation</v>
      </c>
      <c r="B13" s="194" t="str">
        <f>'AEB-4 Proxy Selection'!B12</f>
        <v>BKH</v>
      </c>
      <c r="C13" s="195">
        <v>0.08</v>
      </c>
      <c r="D13" s="196">
        <v>6602.3</v>
      </c>
      <c r="E13" s="195">
        <v>0.45400000000000001</v>
      </c>
      <c r="F13" s="197">
        <f t="shared" si="0"/>
        <v>2997.4442000000004</v>
      </c>
      <c r="G13" s="197">
        <v>8425</v>
      </c>
      <c r="H13" s="31">
        <v>0.46</v>
      </c>
      <c r="I13" s="197">
        <f t="shared" si="1"/>
        <v>3875.5</v>
      </c>
      <c r="J13" s="198">
        <f t="shared" si="2"/>
        <v>5.2725945823008269E-2</v>
      </c>
      <c r="K13" s="199">
        <f t="shared" si="3"/>
        <v>1.0256858183774107</v>
      </c>
      <c r="L13" s="200">
        <f t="shared" si="4"/>
        <v>8.2054865470192861E-2</v>
      </c>
    </row>
    <row r="14" spans="1:13" ht="12.75" customHeight="1" x14ac:dyDescent="0.25">
      <c r="A14" s="64" t="str">
        <f>'AEB-4 Proxy Selection'!A13</f>
        <v>CMS Energy Corporation</v>
      </c>
      <c r="B14" s="194" t="str">
        <f>'AEB-4 Proxy Selection'!B13</f>
        <v>CMS</v>
      </c>
      <c r="C14" s="195">
        <v>0.12</v>
      </c>
      <c r="D14" s="196">
        <v>20205</v>
      </c>
      <c r="E14" s="195">
        <v>0.33600000000000002</v>
      </c>
      <c r="F14" s="197">
        <f t="shared" si="0"/>
        <v>6788.88</v>
      </c>
      <c r="G14" s="197">
        <v>24300</v>
      </c>
      <c r="H14" s="31">
        <v>0.39</v>
      </c>
      <c r="I14" s="197">
        <f t="shared" si="1"/>
        <v>9477</v>
      </c>
      <c r="J14" s="198">
        <f t="shared" si="2"/>
        <v>6.8992232837135958E-2</v>
      </c>
      <c r="K14" s="199">
        <f t="shared" si="3"/>
        <v>1.0333458152921771</v>
      </c>
      <c r="L14" s="200">
        <f t="shared" si="4"/>
        <v>0.12400149783506124</v>
      </c>
    </row>
    <row r="15" spans="1:13" ht="12.75" customHeight="1" x14ac:dyDescent="0.25">
      <c r="A15" s="64" t="str">
        <f>'AEB-4 Proxy Selection'!A14</f>
        <v>Duke Energy Corporation</v>
      </c>
      <c r="B15" s="194" t="str">
        <f>'AEB-4 Proxy Selection'!B14</f>
        <v>DUK</v>
      </c>
      <c r="C15" s="195">
        <v>0.09</v>
      </c>
      <c r="D15" s="196">
        <v>115235</v>
      </c>
      <c r="E15" s="195">
        <v>0.42499999999999999</v>
      </c>
      <c r="F15" s="197">
        <f t="shared" si="0"/>
        <v>48974.875</v>
      </c>
      <c r="G15" s="197">
        <v>144100</v>
      </c>
      <c r="H15" s="31">
        <v>0.375</v>
      </c>
      <c r="I15" s="197">
        <f t="shared" si="1"/>
        <v>54037.5</v>
      </c>
      <c r="J15" s="198">
        <f t="shared" si="2"/>
        <v>1.9868979625248695E-2</v>
      </c>
      <c r="K15" s="199">
        <f t="shared" si="3"/>
        <v>1.0098367665554897</v>
      </c>
      <c r="L15" s="200">
        <f t="shared" si="4"/>
        <v>9.0885308989994071E-2</v>
      </c>
    </row>
    <row r="16" spans="1:13" ht="12.75" customHeight="1" x14ac:dyDescent="0.25">
      <c r="A16" s="64" t="str">
        <f>'AEB-4 Proxy Selection'!A15</f>
        <v>Entergy Corporation</v>
      </c>
      <c r="B16" s="194" t="str">
        <f>'AEB-4 Proxy Selection'!B15</f>
        <v>ETR</v>
      </c>
      <c r="C16" s="195">
        <v>8.5000000000000006E-2</v>
      </c>
      <c r="D16" s="196">
        <v>36810</v>
      </c>
      <c r="E16" s="195">
        <v>0.35199999999999998</v>
      </c>
      <c r="F16" s="197">
        <f t="shared" si="0"/>
        <v>12957.119999999999</v>
      </c>
      <c r="G16" s="197">
        <v>48910</v>
      </c>
      <c r="H16" s="31">
        <v>0.35499999999999998</v>
      </c>
      <c r="I16" s="197">
        <f t="shared" si="1"/>
        <v>17363.05</v>
      </c>
      <c r="J16" s="198">
        <f t="shared" si="2"/>
        <v>6.0287171781370663E-2</v>
      </c>
      <c r="K16" s="199">
        <f t="shared" si="3"/>
        <v>1.0292615382006407</v>
      </c>
      <c r="L16" s="200">
        <f t="shared" si="4"/>
        <v>8.7487230747054459E-2</v>
      </c>
    </row>
    <row r="17" spans="1:13" ht="12.75" customHeight="1" x14ac:dyDescent="0.25">
      <c r="A17" s="64" t="str">
        <f>'AEB-4 Proxy Selection'!A16</f>
        <v>Evergy, Inc.</v>
      </c>
      <c r="B17" s="194" t="str">
        <f>'AEB-4 Proxy Selection'!B16</f>
        <v>EVRG</v>
      </c>
      <c r="C17" s="195">
        <v>0.1</v>
      </c>
      <c r="D17" s="196">
        <v>19668</v>
      </c>
      <c r="E17" s="195">
        <v>0.48</v>
      </c>
      <c r="F17" s="197">
        <f t="shared" si="0"/>
        <v>9440.64</v>
      </c>
      <c r="G17" s="197">
        <v>23400</v>
      </c>
      <c r="H17" s="31">
        <v>0.46500000000000002</v>
      </c>
      <c r="I17" s="197">
        <f t="shared" si="1"/>
        <v>10881</v>
      </c>
      <c r="J17" s="198">
        <f t="shared" si="2"/>
        <v>2.8805967467446791E-2</v>
      </c>
      <c r="K17" s="199">
        <f t="shared" si="3"/>
        <v>1.014198483210992</v>
      </c>
      <c r="L17" s="200">
        <f t="shared" si="4"/>
        <v>0.10141984832109921</v>
      </c>
    </row>
    <row r="18" spans="1:13" ht="12.75" customHeight="1" x14ac:dyDescent="0.25">
      <c r="A18" s="64" t="str">
        <f>'AEB-4 Proxy Selection'!A17</f>
        <v>IDACORP, Inc.</v>
      </c>
      <c r="B18" s="194" t="str">
        <f>'AEB-4 Proxy Selection'!B17</f>
        <v>IDA</v>
      </c>
      <c r="C18" s="195">
        <v>9.5000000000000001E-2</v>
      </c>
      <c r="D18" s="196">
        <v>5001.3999999999996</v>
      </c>
      <c r="E18" s="195">
        <v>0.56100000000000005</v>
      </c>
      <c r="F18" s="197">
        <f t="shared" si="0"/>
        <v>2805.7854000000002</v>
      </c>
      <c r="G18" s="197">
        <v>7000</v>
      </c>
      <c r="H18" s="31">
        <v>0.5</v>
      </c>
      <c r="I18" s="197">
        <f t="shared" si="1"/>
        <v>3500</v>
      </c>
      <c r="J18" s="198">
        <f t="shared" si="2"/>
        <v>4.5207984395196688E-2</v>
      </c>
      <c r="K18" s="199">
        <f t="shared" si="3"/>
        <v>1.0221043457389813</v>
      </c>
      <c r="L18" s="200">
        <f t="shared" si="4"/>
        <v>9.7099912845203223E-2</v>
      </c>
    </row>
    <row r="19" spans="1:13" ht="12.75" customHeight="1" x14ac:dyDescent="0.25">
      <c r="A19" s="64" t="str">
        <f>'AEB-4 Proxy Selection'!A18</f>
        <v>MGE Energy, Inc.</v>
      </c>
      <c r="B19" s="194" t="str">
        <f>'AEB-4 Proxy Selection'!B18</f>
        <v>MGEE</v>
      </c>
      <c r="C19" s="195">
        <v>0.12</v>
      </c>
      <c r="D19" s="196">
        <v>1684</v>
      </c>
      <c r="E19" s="195">
        <v>0.64200000000000002</v>
      </c>
      <c r="F19" s="197">
        <f t="shared" si="0"/>
        <v>1081.1279999999999</v>
      </c>
      <c r="G19" s="197">
        <v>2000</v>
      </c>
      <c r="H19" s="31">
        <v>0.61</v>
      </c>
      <c r="I19" s="197">
        <f t="shared" si="1"/>
        <v>1220</v>
      </c>
      <c r="J19" s="198">
        <f t="shared" si="2"/>
        <v>2.4463625718555315E-2</v>
      </c>
      <c r="K19" s="199">
        <f t="shared" si="3"/>
        <v>1.0120840035887888</v>
      </c>
      <c r="L19" s="200">
        <f t="shared" si="4"/>
        <v>0.12145008043065465</v>
      </c>
    </row>
    <row r="20" spans="1:13" ht="12.75" customHeight="1" x14ac:dyDescent="0.25">
      <c r="A20" s="64" t="str">
        <f>'AEB-4 Proxy Selection'!A19</f>
        <v>NextEra Energy, Inc.</v>
      </c>
      <c r="B20" s="194" t="str">
        <f>'AEB-4 Proxy Selection'!B19</f>
        <v>NEE</v>
      </c>
      <c r="C20" s="195">
        <v>0.14499999999999999</v>
      </c>
      <c r="D20" s="196">
        <v>94485</v>
      </c>
      <c r="E20" s="195">
        <v>0.41499999999999998</v>
      </c>
      <c r="F20" s="197">
        <f t="shared" si="0"/>
        <v>39211.275000000001</v>
      </c>
      <c r="G20" s="197">
        <v>153100</v>
      </c>
      <c r="H20" s="31">
        <v>0.4</v>
      </c>
      <c r="I20" s="197">
        <f t="shared" si="1"/>
        <v>61240</v>
      </c>
      <c r="J20" s="198">
        <f t="shared" si="2"/>
        <v>9.3263486687287456E-2</v>
      </c>
      <c r="K20" s="199">
        <f t="shared" si="3"/>
        <v>1.0445541076316591</v>
      </c>
      <c r="L20" s="200">
        <f t="shared" si="4"/>
        <v>0.15146034560659055</v>
      </c>
    </row>
    <row r="21" spans="1:13" ht="12.75" customHeight="1" x14ac:dyDescent="0.25">
      <c r="A21" s="64" t="str">
        <f>'AEB-4 Proxy Selection'!A20</f>
        <v>NorthWestern Corporation</v>
      </c>
      <c r="B21" s="194" t="str">
        <f>'AEB-4 Proxy Selection'!B20</f>
        <v>NWE</v>
      </c>
      <c r="C21" s="195">
        <v>0.08</v>
      </c>
      <c r="D21" s="196">
        <v>5148.3</v>
      </c>
      <c r="E21" s="195">
        <v>0.51800000000000002</v>
      </c>
      <c r="F21" s="197">
        <f t="shared" si="0"/>
        <v>2666.8194000000003</v>
      </c>
      <c r="G21" s="197">
        <v>6200</v>
      </c>
      <c r="H21" s="31">
        <v>0.52</v>
      </c>
      <c r="I21" s="197">
        <f t="shared" si="1"/>
        <v>3224</v>
      </c>
      <c r="J21" s="198">
        <f t="shared" si="2"/>
        <v>3.867645127907049E-2</v>
      </c>
      <c r="K21" s="199">
        <f t="shared" si="3"/>
        <v>1.0189713533281872</v>
      </c>
      <c r="L21" s="200">
        <f t="shared" si="4"/>
        <v>8.1517708266254985E-2</v>
      </c>
    </row>
    <row r="22" spans="1:13" ht="12.75" customHeight="1" x14ac:dyDescent="0.25">
      <c r="A22" s="64" t="str">
        <f>'AEB-4 Proxy Selection'!A21</f>
        <v>OGE Energy Corporation</v>
      </c>
      <c r="B22" s="194" t="str">
        <f>'AEB-4 Proxy Selection'!B21</f>
        <v>OGE</v>
      </c>
      <c r="C22" s="195">
        <v>0.13</v>
      </c>
      <c r="D22" s="196">
        <v>8962</v>
      </c>
      <c r="E22" s="195">
        <v>0.52400000000000002</v>
      </c>
      <c r="F22" s="197">
        <f t="shared" si="0"/>
        <v>4696.0879999999997</v>
      </c>
      <c r="G22" s="197">
        <v>10400</v>
      </c>
      <c r="H22" s="31">
        <v>0.5</v>
      </c>
      <c r="I22" s="197">
        <f t="shared" si="1"/>
        <v>5200</v>
      </c>
      <c r="J22" s="198">
        <f t="shared" si="2"/>
        <v>2.059496960682905E-2</v>
      </c>
      <c r="K22" s="199">
        <f t="shared" si="3"/>
        <v>1.0101925274073291</v>
      </c>
      <c r="L22" s="200">
        <f t="shared" si="4"/>
        <v>0.13132502856295278</v>
      </c>
    </row>
    <row r="23" spans="1:13" ht="12.75" customHeight="1" x14ac:dyDescent="0.25">
      <c r="A23" s="64" t="str">
        <f>'AEB-4 Proxy Selection'!A22</f>
        <v>Pinnacle West Capital Corporation</v>
      </c>
      <c r="B23" s="194" t="str">
        <f>'AEB-4 Proxy Selection'!B22</f>
        <v>PNW</v>
      </c>
      <c r="C23" s="195">
        <v>9.5000000000000001E-2</v>
      </c>
      <c r="D23" s="196">
        <v>13790</v>
      </c>
      <c r="E23" s="195">
        <v>0.439</v>
      </c>
      <c r="F23" s="197">
        <f t="shared" si="0"/>
        <v>6053.81</v>
      </c>
      <c r="G23" s="197">
        <v>16900</v>
      </c>
      <c r="H23" s="31">
        <v>0.44</v>
      </c>
      <c r="I23" s="197">
        <f t="shared" si="1"/>
        <v>7436</v>
      </c>
      <c r="J23" s="198">
        <f t="shared" si="2"/>
        <v>4.1986563977003843E-2</v>
      </c>
      <c r="K23" s="199">
        <f t="shared" si="3"/>
        <v>1.0205616259762407</v>
      </c>
      <c r="L23" s="200">
        <f t="shared" si="4"/>
        <v>9.6953354467742864E-2</v>
      </c>
    </row>
    <row r="24" spans="1:13" ht="12.75" customHeight="1" x14ac:dyDescent="0.25">
      <c r="A24" s="64" t="str">
        <f>'AEB-4 Proxy Selection'!A23</f>
        <v>Portland General Electric Company</v>
      </c>
      <c r="B24" s="194" t="str">
        <f>'AEB-4 Proxy Selection'!B23</f>
        <v>POR</v>
      </c>
      <c r="C24" s="195">
        <v>9.5000000000000001E-2</v>
      </c>
      <c r="D24" s="196">
        <v>6459</v>
      </c>
      <c r="E24" s="195">
        <v>0.43</v>
      </c>
      <c r="F24" s="197">
        <f t="shared" si="0"/>
        <v>2777.37</v>
      </c>
      <c r="G24" s="197">
        <v>8650</v>
      </c>
      <c r="H24" s="31">
        <v>0.45500000000000002</v>
      </c>
      <c r="I24" s="197">
        <f t="shared" si="1"/>
        <v>3935.75</v>
      </c>
      <c r="J24" s="198">
        <f t="shared" si="2"/>
        <v>7.2207282857520871E-2</v>
      </c>
      <c r="K24" s="199">
        <f t="shared" si="3"/>
        <v>1.0348455887858616</v>
      </c>
      <c r="L24" s="200">
        <f t="shared" si="4"/>
        <v>9.8310330934656853E-2</v>
      </c>
    </row>
    <row r="25" spans="1:13" ht="12.75" customHeight="1" x14ac:dyDescent="0.25">
      <c r="A25" s="64" t="str">
        <f>'AEB-4 Proxy Selection'!A24</f>
        <v>Southern Company</v>
      </c>
      <c r="B25" s="194" t="str">
        <f>'AEB-4 Proxy Selection'!B24</f>
        <v>SO</v>
      </c>
      <c r="C25" s="195">
        <v>0.14499999999999999</v>
      </c>
      <c r="D25" s="196">
        <v>80558</v>
      </c>
      <c r="E25" s="195">
        <v>0.36499999999999999</v>
      </c>
      <c r="F25" s="197">
        <f t="shared" si="0"/>
        <v>29403.67</v>
      </c>
      <c r="G25" s="197">
        <v>93500</v>
      </c>
      <c r="H25" s="31">
        <v>0.37</v>
      </c>
      <c r="I25" s="197">
        <f t="shared" si="1"/>
        <v>34595</v>
      </c>
      <c r="J25" s="198">
        <f t="shared" si="2"/>
        <v>3.3052419009524936E-2</v>
      </c>
      <c r="K25" s="199">
        <f t="shared" si="3"/>
        <v>1.0162575340903544</v>
      </c>
      <c r="L25" s="200">
        <f t="shared" si="4"/>
        <v>0.14735734244310136</v>
      </c>
    </row>
    <row r="26" spans="1:13" ht="12.75" customHeight="1" x14ac:dyDescent="0.25">
      <c r="A26" s="64" t="str">
        <f>'AEB-4 Proxy Selection'!A25</f>
        <v>Wisconsin Energy Corporation</v>
      </c>
      <c r="B26" s="194" t="str">
        <f>'AEB-4 Proxy Selection'!B25</f>
        <v>WEC</v>
      </c>
      <c r="C26" s="195">
        <v>0.13</v>
      </c>
      <c r="D26" s="196">
        <v>25368</v>
      </c>
      <c r="E26" s="195">
        <v>0.44400000000000001</v>
      </c>
      <c r="F26" s="197">
        <f t="shared" si="0"/>
        <v>11263.392</v>
      </c>
      <c r="G26" s="197">
        <v>29800</v>
      </c>
      <c r="H26" s="31">
        <v>0.44500000000000001</v>
      </c>
      <c r="I26" s="197">
        <f t="shared" si="1"/>
        <v>13261</v>
      </c>
      <c r="J26" s="198">
        <f t="shared" si="2"/>
        <v>3.3192905001026896E-2</v>
      </c>
      <c r="K26" s="199">
        <f t="shared" si="3"/>
        <v>1.0163255069990569</v>
      </c>
      <c r="L26" s="200">
        <f t="shared" si="4"/>
        <v>0.13212231590987739</v>
      </c>
    </row>
    <row r="27" spans="1:13" ht="12.75" customHeight="1" x14ac:dyDescent="0.25">
      <c r="A27" s="64" t="str">
        <f>'AEB-4 Proxy Selection'!A26</f>
        <v>Xcel Energy Inc.</v>
      </c>
      <c r="B27" s="194" t="str">
        <f>'AEB-4 Proxy Selection'!B26</f>
        <v>XEL</v>
      </c>
      <c r="C27" s="195">
        <v>0.11</v>
      </c>
      <c r="D27" s="196">
        <v>39488</v>
      </c>
      <c r="E27" s="195">
        <v>0.42199999999999999</v>
      </c>
      <c r="F27" s="197">
        <f t="shared" si="0"/>
        <v>16663.935999999998</v>
      </c>
      <c r="G27" s="197">
        <v>50900</v>
      </c>
      <c r="H27" s="31">
        <v>0.42</v>
      </c>
      <c r="I27" s="197">
        <f t="shared" si="1"/>
        <v>21378</v>
      </c>
      <c r="J27" s="198">
        <f t="shared" si="2"/>
        <v>5.1085141393655498E-2</v>
      </c>
      <c r="K27" s="199">
        <f t="shared" si="3"/>
        <v>1.0249063972834129</v>
      </c>
      <c r="L27" s="200">
        <f t="shared" si="4"/>
        <v>0.11273970370117542</v>
      </c>
    </row>
    <row r="28" spans="1:13" ht="12.75" customHeight="1" x14ac:dyDescent="0.25">
      <c r="C28" s="195"/>
      <c r="D28" s="197"/>
      <c r="E28" s="195"/>
      <c r="F28" s="197"/>
      <c r="G28" s="197"/>
      <c r="H28" s="195"/>
      <c r="I28" s="202"/>
      <c r="J28" s="198"/>
      <c r="K28" s="199"/>
      <c r="L28" s="200"/>
    </row>
    <row r="29" spans="1:13" ht="12.75" customHeight="1" x14ac:dyDescent="0.25">
      <c r="A29" s="203" t="s">
        <v>5</v>
      </c>
      <c r="B29" s="193"/>
      <c r="C29" s="204"/>
      <c r="D29" s="204"/>
      <c r="E29" s="204"/>
      <c r="F29" s="204"/>
      <c r="G29" s="204"/>
      <c r="H29" s="204"/>
      <c r="I29" s="204"/>
      <c r="J29" s="204"/>
      <c r="K29" s="192"/>
      <c r="L29" s="205">
        <f>AVERAGE(L7:L27)</f>
        <v>0.10855188648206433</v>
      </c>
    </row>
    <row r="30" spans="1:13" ht="12.75" customHeight="1" thickBot="1" x14ac:dyDescent="0.3">
      <c r="A30" s="206" t="s">
        <v>14</v>
      </c>
      <c r="B30" s="207"/>
      <c r="C30" s="208"/>
      <c r="D30" s="208"/>
      <c r="E30" s="208"/>
      <c r="F30" s="208"/>
      <c r="G30" s="208"/>
      <c r="H30" s="208"/>
      <c r="I30" s="208"/>
      <c r="J30" s="208"/>
      <c r="K30" s="206"/>
      <c r="L30" s="209">
        <f>MEDIAN(L7:L27)</f>
        <v>0.10309332565069569</v>
      </c>
    </row>
    <row r="31" spans="1:13" ht="12.75" customHeight="1" x14ac:dyDescent="0.25">
      <c r="A31" s="210"/>
    </row>
    <row r="32" spans="1:13" ht="12.75" customHeight="1" x14ac:dyDescent="0.25">
      <c r="A32" s="211" t="s">
        <v>104</v>
      </c>
      <c r="M32" s="187"/>
    </row>
    <row r="33" spans="1:13" ht="12.75" customHeight="1" x14ac:dyDescent="0.25">
      <c r="A33" s="212" t="s">
        <v>1377</v>
      </c>
      <c r="F33" s="213"/>
      <c r="G33" s="214"/>
      <c r="H33" s="214"/>
      <c r="I33" s="215"/>
      <c r="J33" s="215"/>
      <c r="K33" s="215"/>
      <c r="L33" s="215"/>
      <c r="M33" s="216"/>
    </row>
    <row r="34" spans="1:13" ht="12.75" customHeight="1" x14ac:dyDescent="0.25">
      <c r="A34" s="212" t="s">
        <v>152</v>
      </c>
      <c r="F34" s="217"/>
      <c r="G34" s="217"/>
      <c r="H34" s="217"/>
      <c r="I34" s="217"/>
      <c r="J34" s="217"/>
      <c r="K34" s="217"/>
      <c r="M34" s="217"/>
    </row>
    <row r="35" spans="1:13" ht="12.75" customHeight="1" x14ac:dyDescent="0.25">
      <c r="A35" s="212" t="s">
        <v>1378</v>
      </c>
      <c r="F35" s="218"/>
      <c r="G35" s="218"/>
      <c r="H35" s="218"/>
      <c r="I35" s="219"/>
      <c r="J35" s="219"/>
      <c r="K35" s="219"/>
      <c r="M35" s="219"/>
    </row>
    <row r="36" spans="1:13" ht="12.75" customHeight="1" x14ac:dyDescent="0.25">
      <c r="A36" s="212" t="s">
        <v>1379</v>
      </c>
    </row>
    <row r="37" spans="1:13" ht="12.75" customHeight="1" x14ac:dyDescent="0.25">
      <c r="A37" s="212" t="s">
        <v>131</v>
      </c>
    </row>
    <row r="38" spans="1:13" ht="12.75" customHeight="1" x14ac:dyDescent="0.25">
      <c r="A38" s="212" t="s">
        <v>1380</v>
      </c>
    </row>
    <row r="39" spans="1:13" ht="12.75" customHeight="1" x14ac:dyDescent="0.25">
      <c r="A39" s="212" t="s">
        <v>1381</v>
      </c>
    </row>
    <row r="40" spans="1:13" ht="12.75" customHeight="1" x14ac:dyDescent="0.25">
      <c r="A40" s="212" t="s">
        <v>1382</v>
      </c>
    </row>
    <row r="41" spans="1:13" ht="12.75" customHeight="1" x14ac:dyDescent="0.25">
      <c r="A41" s="212" t="s">
        <v>1383</v>
      </c>
    </row>
    <row r="42" spans="1:13" ht="12.75" customHeight="1" x14ac:dyDescent="0.25">
      <c r="A42" s="212" t="s">
        <v>1384</v>
      </c>
    </row>
    <row r="43" spans="1:13" ht="12.75" customHeight="1" x14ac:dyDescent="0.25">
      <c r="A43" s="212"/>
    </row>
    <row r="44" spans="1:13" ht="12.75" customHeight="1" x14ac:dyDescent="0.25">
      <c r="A44" s="212"/>
    </row>
    <row r="45" spans="1:13" ht="12.75" customHeight="1" x14ac:dyDescent="0.25">
      <c r="A45" s="212"/>
    </row>
    <row r="46" spans="1:13" ht="12.75" customHeight="1" x14ac:dyDescent="0.25"/>
    <row r="47" spans="1:13" ht="12.75" customHeight="1" x14ac:dyDescent="0.25"/>
    <row r="48" spans="1:13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</sheetData>
  <mergeCells count="1">
    <mergeCell ref="A2:L2"/>
  </mergeCells>
  <conditionalFormatting sqref="A7:B27">
    <cfRule type="expression" dxfId="13" priority="9">
      <formula>"(blank)"</formula>
    </cfRule>
    <cfRule type="expression" dxfId="12" priority="10">
      <formula>#REF!</formula>
    </cfRule>
  </conditionalFormatting>
  <conditionalFormatting sqref="C7:I28">
    <cfRule type="expression" dxfId="11" priority="1">
      <formula>$C7="Yes"</formula>
    </cfRule>
  </conditionalFormatting>
  <conditionalFormatting sqref="C29:J30">
    <cfRule type="expression" dxfId="10" priority="11">
      <formula>$C29="Yes"</formula>
    </cfRule>
  </conditionalFormatting>
  <printOptions horizontalCentered="1"/>
  <pageMargins left="0.7" right="0.7" top="0.75" bottom="0.75" header="0.3" footer="0.3"/>
  <pageSetup scale="79" orientation="landscape" useFirstPageNumber="1" horizontalDpi="1200" verticalDpi="1200" r:id="rId1"/>
  <headerFooter scaleWithDoc="0">
    <oddFooter>&amp;L&amp;"Times New Roman,Bold"&amp;12&amp;KFF0000Draft- Privileged and Confidential&amp;R&amp;"Times New Roman,Regular"&amp;12Exhibit AEB-10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8BAD662-E49A-4475-93D2-B2A99909C86E}"/>
</file>

<file path=customXml/itemProps2.xml><?xml version="1.0" encoding="utf-8"?>
<ds:datastoreItem xmlns:ds="http://schemas.openxmlformats.org/officeDocument/2006/customXml" ds:itemID="{061613DE-88E4-4741-8376-8DB50E96D475}"/>
</file>

<file path=customXml/itemProps3.xml><?xml version="1.0" encoding="utf-8"?>
<ds:datastoreItem xmlns:ds="http://schemas.openxmlformats.org/officeDocument/2006/customXml" ds:itemID="{1B894BB3-F077-4125-AD48-4E491A13F5B4}"/>
</file>

<file path=customXml/itemProps4.xml><?xml version="1.0" encoding="utf-8"?>
<ds:datastoreItem xmlns:ds="http://schemas.openxmlformats.org/officeDocument/2006/customXml" ds:itemID="{EE5A9939-F7E9-4C37-A89F-BE8E55C619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12</vt:i4>
      </vt:variant>
    </vt:vector>
  </HeadingPairs>
  <TitlesOfParts>
    <vt:vector size="28" baseType="lpstr">
      <vt:lpstr>AEB-3 Summary</vt:lpstr>
      <vt:lpstr>AEB-4 Proxy Selection</vt:lpstr>
      <vt:lpstr>AEB-5 CGDCF</vt:lpstr>
      <vt:lpstr>AEB-6 CAPM</vt:lpstr>
      <vt:lpstr>AEB-7 LT Beta</vt:lpstr>
      <vt:lpstr>AEB-8 Market Return</vt:lpstr>
      <vt:lpstr>AEB-9 Risk Premium (Electric)</vt:lpstr>
      <vt:lpstr>AEB-9 Risk Premium (Gas)</vt:lpstr>
      <vt:lpstr>AEB-10 Expected Earnings</vt:lpstr>
      <vt:lpstr>AEB-11 WildFire Risk</vt:lpstr>
      <vt:lpstr>AEB-12 CapEx 1</vt:lpstr>
      <vt:lpstr>AEB-12 CapEx 2</vt:lpstr>
      <vt:lpstr>AEB-13 Regulatory Risk</vt:lpstr>
      <vt:lpstr>AEB-14 RRA Reg Env</vt:lpstr>
      <vt:lpstr>AEB-15 S&amp;P Cred Sup</vt:lpstr>
      <vt:lpstr>AEB-16 Capital Structure</vt:lpstr>
      <vt:lpstr>'AEB-11 WildFire Risk'!Print_Area</vt:lpstr>
      <vt:lpstr>'AEB-12 CapEx 2'!Print_Area</vt:lpstr>
      <vt:lpstr>'AEB-15 S&amp;P Cred Sup'!Print_Area</vt:lpstr>
      <vt:lpstr>'AEB-16 Capital Structure'!Print_Area</vt:lpstr>
      <vt:lpstr>'AEB-5 CGDCF'!Print_Area</vt:lpstr>
      <vt:lpstr>'AEB-8 Market Return'!Print_Area</vt:lpstr>
      <vt:lpstr>'AEB-11 WildFire Risk'!Print_Titles</vt:lpstr>
      <vt:lpstr>'AEB-12 CapEx 1'!Print_Titles</vt:lpstr>
      <vt:lpstr>'AEB-13 Regulatory Risk'!Print_Titles</vt:lpstr>
      <vt:lpstr>'AEB-14 RRA Reg Env'!Print_Titles</vt:lpstr>
      <vt:lpstr>'AEB-15 S&amp;P Cred Sup'!Print_Titles</vt:lpstr>
      <vt:lpstr>'AEB-8 Market Return'!Print_Titles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2024-04-03T21:27:38Z</dcterms:created>
  <dcterms:modified xsi:type="dcterms:W3CDTF">2024-07-21T18:50:34Z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{6D8C6636-017D-4ABE-9083-F3B14ECFFEF5}</vt:lpwstr>
  </property>
  <property fmtid="{D5CDD505-2E9C-101B-9397-08002B2CF9AE}" pid="3" name="ContentTypeId">
    <vt:lpwstr>0x0101006E56B4D1795A2E4DB2F0B01679ED314A00E44296BEEBC83648A45074ADE4018599</vt:lpwstr>
  </property>
  <property fmtid="{D5CDD505-2E9C-101B-9397-08002B2CF9AE}" pid="4" name="_docset_NoMedatataSyncRequired">
    <vt:lpwstr>False</vt:lpwstr>
  </property>
</Properties>
</file>