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TIVE\Cases\UE\UE-150204 UG-150205 Avista 2015 GRC\Testimony_Remand\Exhibits\"/>
    </mc:Choice>
  </mc:AlternateContent>
  <bookViews>
    <workbookView xWindow="0" yWindow="0" windowWidth="28455" windowHeight="12075"/>
  </bookViews>
  <sheets>
    <sheet name="DMR-28" sheetId="3" r:id="rId1"/>
    <sheet name="DMR-29" sheetId="5" r:id="rId2"/>
    <sheet name="DMR-30" sheetId="7" r:id="rId3"/>
    <sheet name="DMR-31" sheetId="9" r:id="rId4"/>
    <sheet name="DMR-32" sheetId="1" r:id="rId5"/>
    <sheet name="DMR-33" sheetId="10" r:id="rId6"/>
    <sheet name="DMR-34" sheetId="2" r:id="rId7"/>
    <sheet name="GRFC_WP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9" l="1"/>
  <c r="H26" i="2" l="1"/>
  <c r="H22" i="2"/>
  <c r="H16" i="10"/>
  <c r="D16" i="10"/>
  <c r="F9" i="10"/>
  <c r="H26" i="1"/>
  <c r="H29" i="1" s="1"/>
  <c r="H22" i="1"/>
  <c r="H24" i="1" s="1"/>
  <c r="H17" i="9"/>
  <c r="D17" i="9"/>
  <c r="H11" i="9"/>
  <c r="D11" i="9"/>
  <c r="D12" i="9" s="1"/>
  <c r="D15" i="9" s="1"/>
  <c r="H10" i="9"/>
  <c r="H12" i="9" s="1"/>
  <c r="H15" i="9" s="1"/>
  <c r="H11" i="10" s="1"/>
  <c r="H13" i="10" s="1"/>
  <c r="H15" i="10" s="1"/>
  <c r="F10" i="9"/>
  <c r="F11" i="9" s="1"/>
  <c r="H28" i="2"/>
  <c r="H28" i="1"/>
  <c r="H28" i="7"/>
  <c r="D28" i="7"/>
  <c r="F16" i="7"/>
  <c r="F25" i="7" s="1"/>
  <c r="D16" i="7"/>
  <c r="D25" i="7" s="1"/>
  <c r="G33" i="3"/>
  <c r="E27" i="3"/>
  <c r="G33" i="5"/>
  <c r="E27" i="5"/>
  <c r="G45" i="6"/>
  <c r="G47" i="6" s="1"/>
  <c r="G49" i="6" s="1"/>
  <c r="E45" i="6"/>
  <c r="E47" i="6" s="1"/>
  <c r="D18" i="9" l="1"/>
  <c r="D11" i="10"/>
  <c r="D13" i="10" s="1"/>
  <c r="F12" i="9"/>
  <c r="F15" i="9" s="1"/>
  <c r="H29" i="2"/>
  <c r="H17" i="10"/>
  <c r="H18" i="9"/>
  <c r="G51" i="6"/>
  <c r="G17" i="3" s="1"/>
  <c r="E49" i="6"/>
  <c r="E51" i="6" s="1"/>
  <c r="F18" i="9" l="1"/>
  <c r="F20" i="9" s="1"/>
  <c r="F11" i="10"/>
  <c r="F13" i="10" s="1"/>
  <c r="G17" i="6"/>
  <c r="G19" i="6" s="1"/>
  <c r="G21" i="6" s="1"/>
  <c r="E17" i="6"/>
  <c r="E19" i="6" s="1"/>
  <c r="G23" i="6" l="1"/>
  <c r="G17" i="5" s="1"/>
  <c r="E21" i="6"/>
  <c r="E23" i="6" s="1"/>
  <c r="G14" i="5" l="1"/>
  <c r="G21" i="5" s="1"/>
  <c r="G16" i="5" l="1"/>
  <c r="G18" i="5" s="1"/>
  <c r="G24" i="5" s="1"/>
  <c r="H9" i="7" l="1"/>
  <c r="H22" i="7" s="1"/>
  <c r="H26" i="7" s="1"/>
  <c r="H29" i="7" s="1"/>
  <c r="G34" i="5"/>
  <c r="G14" i="3"/>
  <c r="G21" i="3" s="1"/>
  <c r="E14" i="5"/>
  <c r="E21" i="5" s="1"/>
  <c r="G16" i="3" l="1"/>
  <c r="G18" i="3" s="1"/>
  <c r="G24" i="3" s="1"/>
  <c r="G34" i="3" s="1"/>
  <c r="E16" i="5"/>
  <c r="E18" i="5" s="1"/>
  <c r="E24" i="5" s="1"/>
  <c r="E31" i="5" l="1"/>
  <c r="E28" i="5"/>
  <c r="E36" i="5" s="1"/>
  <c r="D9" i="7"/>
  <c r="E14" i="3"/>
  <c r="E21" i="3" s="1"/>
  <c r="D12" i="7" l="1"/>
  <c r="D13" i="7" s="1"/>
  <c r="D14" i="7" s="1"/>
  <c r="F9" i="7"/>
  <c r="D22" i="7"/>
  <c r="E16" i="3"/>
  <c r="E18" i="3" s="1"/>
  <c r="E24" i="3" s="1"/>
  <c r="F22" i="7" l="1"/>
  <c r="F12" i="7"/>
  <c r="F13" i="7" s="1"/>
  <c r="F14" i="7" s="1"/>
  <c r="E31" i="3"/>
  <c r="E28" i="3"/>
  <c r="D17" i="7"/>
  <c r="D18" i="7" s="1"/>
  <c r="D23" i="7"/>
  <c r="D24" i="7" s="1"/>
  <c r="D26" i="7" s="1"/>
  <c r="D29" i="7" s="1"/>
  <c r="D28" i="2"/>
  <c r="D28" i="1"/>
  <c r="F17" i="7" l="1"/>
  <c r="F18" i="7" s="1"/>
  <c r="F23" i="7"/>
  <c r="F24" i="7" s="1"/>
  <c r="F26" i="7" s="1"/>
  <c r="F29" i="7" s="1"/>
  <c r="F31" i="7" s="1"/>
  <c r="E36" i="3"/>
  <c r="F21" i="9" s="1"/>
  <c r="F22" i="9" s="1"/>
  <c r="F25" i="9" s="1"/>
  <c r="D22" i="2"/>
  <c r="F16" i="2"/>
  <c r="F25" i="2" s="1"/>
  <c r="D16" i="2"/>
  <c r="D12" i="2"/>
  <c r="D13" i="2" s="1"/>
  <c r="D14" i="2" s="1"/>
  <c r="F9" i="2"/>
  <c r="F22" i="2" s="1"/>
  <c r="F22" i="1"/>
  <c r="F16" i="1"/>
  <c r="F12" i="1"/>
  <c r="F13" i="1" s="1"/>
  <c r="F14" i="1" s="1"/>
  <c r="F9" i="1"/>
  <c r="D22" i="1"/>
  <c r="D16" i="1"/>
  <c r="D12" i="1"/>
  <c r="D13" i="1" s="1"/>
  <c r="D14" i="1" s="1"/>
  <c r="F25" i="1" l="1"/>
  <c r="F14" i="10"/>
  <c r="F15" i="10" s="1"/>
  <c r="F17" i="10" s="1"/>
  <c r="D25" i="1"/>
  <c r="D14" i="10"/>
  <c r="D15" i="10" s="1"/>
  <c r="D17" i="10" s="1"/>
  <c r="F19" i="10" s="1"/>
  <c r="D17" i="2"/>
  <c r="D23" i="2"/>
  <c r="D24" i="2" s="1"/>
  <c r="D18" i="2"/>
  <c r="D25" i="2"/>
  <c r="F12" i="2"/>
  <c r="F13" i="2" s="1"/>
  <c r="F14" i="2" s="1"/>
  <c r="F23" i="1"/>
  <c r="F24" i="1" s="1"/>
  <c r="F26" i="1" s="1"/>
  <c r="F29" i="1" s="1"/>
  <c r="F17" i="1"/>
  <c r="F18" i="1" s="1"/>
  <c r="D23" i="1"/>
  <c r="D24" i="1" s="1"/>
  <c r="D26" i="1" s="1"/>
  <c r="D29" i="1" s="1"/>
  <c r="F31" i="1" s="1"/>
  <c r="D17" i="1"/>
  <c r="D18" i="1" s="1"/>
  <c r="D26" i="2" l="1"/>
  <c r="D29" i="2" s="1"/>
  <c r="F17" i="2"/>
  <c r="F18" i="2" s="1"/>
  <c r="F23" i="2"/>
  <c r="F24" i="2" s="1"/>
  <c r="F26" i="2" s="1"/>
  <c r="F29" i="2" s="1"/>
  <c r="F31" i="2" l="1"/>
</calcChain>
</file>

<file path=xl/sharedStrings.xml><?xml version="1.0" encoding="utf-8"?>
<sst xmlns="http://schemas.openxmlformats.org/spreadsheetml/2006/main" count="278" uniqueCount="144">
  <si>
    <t>Net Revenue Requirement of Attrition Rate Above</t>
  </si>
  <si>
    <t xml:space="preserve">    Pro Forma Rate Base</t>
  </si>
  <si>
    <t>2016</t>
  </si>
  <si>
    <t>2017</t>
  </si>
  <si>
    <t>Annual Earnings to Share, per Company</t>
  </si>
  <si>
    <t>Revised Annual Earnings to Share</t>
  </si>
  <si>
    <t>Remove Attrition vs Pro Forma Revenue Requirement (L.1)</t>
  </si>
  <si>
    <t>50% Share of Revised Earnings-Sharing  (L. 4 x 50%)</t>
  </si>
  <si>
    <t>Net Refund Already Paid to Offset Ordered Refund (L.6 + L.7)</t>
  </si>
  <si>
    <t>Revenue Requirement of Attrition Above Pro Forma Rate Base (L.1)</t>
  </si>
  <si>
    <t>50% Share of Revised Earnings-Sharing (-L.5)</t>
  </si>
  <si>
    <t>50% Share of Revised Earnings-Sharing (L.5)</t>
  </si>
  <si>
    <t>Actual Amount Refunded to Customers (L.2 x 50%)</t>
  </si>
  <si>
    <t>Actual Amount Refunded to Customers (L.6)</t>
  </si>
  <si>
    <t>Net Amount Still Owed to Customers (L.11 - L.12)</t>
  </si>
  <si>
    <t>2018</t>
  </si>
  <si>
    <t>Refund for 2016 through 2018 (Assuming no 2018 Earning Sharing)</t>
  </si>
  <si>
    <t>Calculation of Net Amount Due to Customers</t>
  </si>
  <si>
    <t>Refund for Period</t>
  </si>
  <si>
    <t>AVISTA CORPORATION</t>
  </si>
  <si>
    <t>Docket Nos. UE-150204 and UG-150205</t>
  </si>
  <si>
    <t>Exhibit No. DMR-28</t>
  </si>
  <si>
    <t>Calculation of Attrition Adjustment Caused by Escalation of Rate Base</t>
  </si>
  <si>
    <t>Line</t>
  </si>
  <si>
    <t>Description</t>
  </si>
  <si>
    <t>Rate Base Escalation Amount Included in Attrition Adjustment,</t>
  </si>
  <si>
    <t xml:space="preserve">    per Avista</t>
  </si>
  <si>
    <t>(000s of dollars)</t>
  </si>
  <si>
    <t>Authorized Cost of Debt</t>
  </si>
  <si>
    <t>Authorized Rate of Return</t>
  </si>
  <si>
    <t>Revenue Growth Factor</t>
  </si>
  <si>
    <t>Rate Base Escalation Adjusted for Growth Factor (L.1 / L.2)</t>
  </si>
  <si>
    <t>Return on Rate Base (L.3 x L.4)</t>
  </si>
  <si>
    <t>Revenue Requirement before Debt Interest Offset (L.5 / L.6)</t>
  </si>
  <si>
    <t xml:space="preserve">      incorporated in Attrition Study (L.7 + L.9)</t>
  </si>
  <si>
    <t xml:space="preserve">Annual Net Revenue Requirement Caused by Escalation of Rate Base </t>
  </si>
  <si>
    <t xml:space="preserve">  -  Natural Gas Operations</t>
  </si>
  <si>
    <t>Exhibit No. DMR-29</t>
  </si>
  <si>
    <t xml:space="preserve">  -  Electric Operations</t>
  </si>
  <si>
    <t>Amount at</t>
  </si>
  <si>
    <t>35% FIT</t>
  </si>
  <si>
    <t xml:space="preserve">Amount at </t>
  </si>
  <si>
    <t>21% FIT</t>
  </si>
  <si>
    <t xml:space="preserve">21% FIT </t>
  </si>
  <si>
    <t xml:space="preserve">Line 1:  Avista Exhibit EMA-15, page 2 of 6, column (G), line 22. </t>
  </si>
  <si>
    <t>Line 6:  Amount at 35% FIT from Avista Exhibit EMA-15, page 2.  Amount at 21% FIT recalculated to reflect</t>
  </si>
  <si>
    <t xml:space="preserve">      lower FIT rate.</t>
  </si>
  <si>
    <t>Lines 2, 4, and 8:  Avista Exhibit EMA-15, page 2.</t>
  </si>
  <si>
    <t>Lines 2, 4, and 8:  Avista Exhibit EMA-15, page 5.</t>
  </si>
  <si>
    <t>Line 1:  Avista Exhibit EMA-15, page 5 of 6,  column (G), line 20.</t>
  </si>
  <si>
    <t>Offset for Debt Interest Impact (L.3 x L.8 x -FIT Rate / L.6)</t>
  </si>
  <si>
    <t>Annual</t>
  </si>
  <si>
    <t>Revenue Conversion Factor</t>
  </si>
  <si>
    <t>Washington -Natural Gas System</t>
  </si>
  <si>
    <t>Twelve Months Ended December 31, 2014</t>
  </si>
  <si>
    <t xml:space="preserve">Line </t>
  </si>
  <si>
    <t>No.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</si>
  <si>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</si>
  <si>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</si>
  <si>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</si>
  <si>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</si>
  <si>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</si>
  <si>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</si>
  <si>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</si>
  <si>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</si>
  <si>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>REVENUE CONVERSION FACTOR</t>
  </si>
  <si>
    <t>Revised for</t>
  </si>
  <si>
    <t xml:space="preserve">  Federal Income Tax @ 35% (21%)</t>
  </si>
  <si>
    <t xml:space="preserve">Revenue Conversion Factor </t>
  </si>
  <si>
    <t>Washington - Electric System</t>
  </si>
  <si>
    <t>Col. A</t>
  </si>
  <si>
    <t>Col. B</t>
  </si>
  <si>
    <t>Column A:  McGuire Exhibit CRM-3, "ROR" tab</t>
  </si>
  <si>
    <t>Column B:  Column A with line 1 revised to reflect 21% FIT rate</t>
  </si>
  <si>
    <t>Column A:  McGuire Exhibit CRM-2, "ROR" tab</t>
  </si>
  <si>
    <t>Rate Effective Period During 2016 (January 11 - December 31)</t>
  </si>
  <si>
    <t>Refund for 2016 (L.10 x L.11)</t>
  </si>
  <si>
    <t>Rate Effective Period During 2017</t>
  </si>
  <si>
    <t>Calculation of Refund:</t>
  </si>
  <si>
    <t>Refund for 2017 (L.10 x L.13)</t>
  </si>
  <si>
    <t>Total Refund to Electric Operation Customers (L.12 + L.14 + L.16 )</t>
  </si>
  <si>
    <t>Total Refund to Natural Gas Operations Customers (L.12 + L.14 + L.16 )</t>
  </si>
  <si>
    <t>Calculation of Natural Gas Refund with Earnings Sharing Offset</t>
  </si>
  <si>
    <t>Exhibit No. DMR-30</t>
  </si>
  <si>
    <t>Line 1:  See Exhibit DMR-29</t>
  </si>
  <si>
    <t xml:space="preserve">      Incorporated in Attrition Study </t>
  </si>
  <si>
    <t>TBD</t>
  </si>
  <si>
    <t>Rate Effective Period (1/11/16 - 4/30/18)</t>
  </si>
  <si>
    <t>Rate Effective period in During Year (1/11/16 - 4/30/18)</t>
  </si>
  <si>
    <t>Revenue Requirement Caused by Escalation of Rate Base (L.1)</t>
  </si>
  <si>
    <t>Annual Earnings to Share, per Company Reports</t>
  </si>
  <si>
    <t>Remove Revenue Requirement Caused by Escalation of Rate Base (L.1)</t>
  </si>
  <si>
    <t>(000s of Dollars)</t>
  </si>
  <si>
    <t>Conversion Factor</t>
  </si>
  <si>
    <t>Net Income Before Income Taxes</t>
  </si>
  <si>
    <t>Federal Income Tax (L.1 x FIT rate)</t>
  </si>
  <si>
    <t>Refund for Net Power Cost Update Correction</t>
  </si>
  <si>
    <t>Electric Earnings Sharing Paid to Customers - Rate Effective Period</t>
  </si>
  <si>
    <t>Calculation of Refund Using Company Methodology</t>
  </si>
  <si>
    <t>Exhibit No. DMR-32</t>
  </si>
  <si>
    <t>Calculation of Refund Using Company Methodology with Power Cost Update Correction</t>
  </si>
  <si>
    <t xml:space="preserve">    Pro Forma Rate Base, per Company</t>
  </si>
  <si>
    <t>Subtotal</t>
  </si>
  <si>
    <t>Less:  Electric Earnings Sharing Paid to Customers</t>
  </si>
  <si>
    <t>Exhibit No. DMR-34</t>
  </si>
  <si>
    <t>Exhibit No. DMR-33</t>
  </si>
  <si>
    <t>Exhibit No. DMR-31</t>
  </si>
  <si>
    <t>Source:</t>
  </si>
  <si>
    <t>Exh. DMR-28</t>
  </si>
  <si>
    <t>Line 7</t>
  </si>
  <si>
    <t>Lines 1 - 5 for 2016 and 2017:  Power Supply Update filed October 29, 2015, Attachment 3.</t>
  </si>
  <si>
    <t xml:space="preserve">      rate adjustment filings.</t>
  </si>
  <si>
    <t>Source/Notes:</t>
  </si>
  <si>
    <t>Total Amount Owed to Customers (L.9 + L.10)</t>
  </si>
  <si>
    <t xml:space="preserve">Lines 2 and 6, 2016 amounts:  Avista Exh. EMA-9T, page 20, Table 6. </t>
  </si>
  <si>
    <t>Lines 2 and 6, 2017 amounts:  Natural Gas Decoupling Rate Adjustment filed October 10, 2018, Attachment A, p.6.</t>
  </si>
  <si>
    <t>2016 column:  Avista Exhibit No. EMA-9T, Table Nos. 1 - 4, with rate effective period extended through 12/31/16.</t>
  </si>
  <si>
    <t>2017 column, lines 2 and 6:  Electric Decoupling Rate Adjustment filed August 17, 2018, Attachment A, p.6.</t>
  </si>
  <si>
    <t>Per Electric Decoupling Rate Adjustment filed August 22, 2019, there was no electric earnings sharing for 2018.</t>
  </si>
  <si>
    <t>Line 1:  Avista Exh. EMA-9T, Table No. 1.  2018 amount based on Company calculation revised for 21% FIT rate.</t>
  </si>
  <si>
    <t>Line 2:  Exhibit No. DMR-31</t>
  </si>
  <si>
    <t>Annual Earnings to Share</t>
  </si>
  <si>
    <t>Line 4:  2016 amount per Avista Exh. EMA-9T at Table 2.  2017 amount per Electric Decoupling Rate Adjustment</t>
  </si>
  <si>
    <t xml:space="preserve">      filed August 17, 2018.</t>
  </si>
  <si>
    <t>Line 1:  Avista Exh. EMA-9T, Table No. 5.  2018 amount based on Company calculation revised for 21% FIT rate.</t>
  </si>
  <si>
    <t>2016 column:  Avista Exhibit No. EMA-9T, Table Nos. 5 - 8, with rate effective period extended through 12/31/16.</t>
  </si>
  <si>
    <t>2017 column, lines 2 and 6:  Natural Gas Decoupling Rate Adjustment filed October 10, 2018, Attachment A, p.6.</t>
  </si>
  <si>
    <t>Calculation of Net Revenue Requirement Caused by Escalation of Rate Base:</t>
  </si>
  <si>
    <t>Line 11:  $2,597,000  x (355/365) for 2018 PLUS $1,493,000  for 2019.  Amounts from annual decoupling</t>
  </si>
  <si>
    <t>Rate Effective Period During 2018 (January 1 - April 30)</t>
  </si>
  <si>
    <t>Refund for 2018 (L.10 x L.15)</t>
  </si>
  <si>
    <t>Reduction to Revenue Requirement Resulting from Power</t>
  </si>
  <si>
    <t xml:space="preserve">    Supply Cost Update (L. 3 x L.4)</t>
  </si>
  <si>
    <t>Calculation of Refund Including Power Supply Cost Update Correction</t>
  </si>
  <si>
    <t>Amounts from Power Supply Cost Update:</t>
  </si>
  <si>
    <t>Total Net Income Impact of Power Supply Cost Update (L.1 - L.2)</t>
  </si>
  <si>
    <t>Refund for Power Supply Cost Update Correction</t>
  </si>
  <si>
    <t>Refund for Power Supply Cost Update Correction for Rate Effective Period</t>
  </si>
  <si>
    <t>Refund for Escalation of Rate Base Included in Electric Attrition Study</t>
  </si>
  <si>
    <t>Total Amount to Be Refunded (L.8 + L.9)</t>
  </si>
  <si>
    <t>Refund Net of Earnings Sharing (L.10 - L.11)</t>
  </si>
  <si>
    <t>Net Revenue Requirement of Attrition Rate Base Above</t>
  </si>
  <si>
    <t>Total Refund for Rate Effective Period (1/11/16 - 4/30/18)</t>
  </si>
  <si>
    <t>Refund for Rate Effective Period (Assuming no 2018 Earning Sharing)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</si>
</sst>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000_);_(* \(#,##0.000000\);_(* &quot;-&quot;??_);_(@_)"/>
    <numFmt numFmtId="167" formatCode="0.000000"/>
    <numFmt numFmtId="168" formatCode="0.00000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u val="singleAccounting"/>
      <sz val="12"/>
      <color theme="1"/>
      <name val="Times New Roman"/>
      <family val="1"/>
    </font>
    <font>
      <u/>
      <sz val="12"/>
      <color theme="1"/>
      <name val="Times New Roman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u val="singleAccounting"/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164" fontId="0" fillId="0" borderId="0" xfId="1" applyNumberFormat="1" applyFont="1"/>
    <xf numFmtId="164" fontId="0" fillId="0" borderId="0" xfId="1" quotePrefix="1" applyNumberFormat="1" applyFont="1"/>
    <xf numFmtId="164" fontId="0" fillId="0" borderId="1" xfId="1" applyNumberFormat="1" applyFont="1" applyBorder="1"/>
    <xf numFmtId="164" fontId="2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Alignment="1">
      <alignment horizontal="center"/>
    </xf>
    <xf numFmtId="164" fontId="0" fillId="0" borderId="1" xfId="1" quotePrefix="1" applyNumberFormat="1" applyFont="1" applyBorder="1" applyAlignment="1">
      <alignment horizontal="center"/>
    </xf>
    <xf numFmtId="10" fontId="0" fillId="0" borderId="1" xfId="2" applyNumberFormat="1" applyFont="1" applyBorder="1"/>
    <xf numFmtId="164" fontId="0" fillId="0" borderId="3" xfId="1" applyNumberFormat="1" applyFont="1" applyBorder="1"/>
    <xf numFmtId="9" fontId="0" fillId="0" borderId="1" xfId="2" applyNumberFormat="1" applyFont="1" applyBorder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10" fontId="0" fillId="0" borderId="0" xfId="2" applyNumberFormat="1" applyFont="1"/>
    <xf numFmtId="165" fontId="0" fillId="0" borderId="1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6" fontId="0" fillId="0" borderId="1" xfId="1" applyNumberFormat="1" applyFont="1" applyBorder="1"/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167" fontId="7" fillId="0" borderId="0" xfId="0" applyNumberFormat="1" applyFont="1"/>
    <xf numFmtId="167" fontId="4" fillId="0" borderId="0" xfId="0" applyNumberFormat="1" applyFont="1"/>
    <xf numFmtId="167" fontId="6" fillId="0" borderId="0" xfId="0" applyNumberFormat="1" applyFont="1"/>
    <xf numFmtId="167" fontId="7" fillId="0" borderId="2" xfId="0" applyNumberFormat="1" applyFont="1" applyBorder="1"/>
    <xf numFmtId="167" fontId="7" fillId="0" borderId="0" xfId="0" applyNumberFormat="1" applyFont="1" applyBorder="1"/>
    <xf numFmtId="10" fontId="8" fillId="0" borderId="0" xfId="0" applyNumberFormat="1" applyFont="1"/>
    <xf numFmtId="167" fontId="7" fillId="0" borderId="1" xfId="0" applyNumberFormat="1" applyFont="1" applyBorder="1"/>
    <xf numFmtId="168" fontId="7" fillId="2" borderId="3" xfId="0" applyNumberFormat="1" applyFont="1" applyFill="1" applyBorder="1"/>
    <xf numFmtId="167" fontId="7" fillId="2" borderId="3" xfId="0" applyNumberFormat="1" applyFont="1" applyFill="1" applyBorder="1"/>
    <xf numFmtId="0" fontId="10" fillId="0" borderId="0" xfId="3"/>
    <xf numFmtId="164" fontId="0" fillId="0" borderId="0" xfId="1" applyNumberFormat="1" applyFont="1" applyBorder="1"/>
    <xf numFmtId="0" fontId="0" fillId="0" borderId="0" xfId="0" applyBorder="1"/>
    <xf numFmtId="0" fontId="0" fillId="0" borderId="0" xfId="0" quotePrefix="1" applyBorder="1" applyAlignment="1">
      <alignment horizontal="center"/>
    </xf>
    <xf numFmtId="0" fontId="11" fillId="0" borderId="0" xfId="0" applyFont="1"/>
    <xf numFmtId="164" fontId="0" fillId="0" borderId="6" xfId="1" applyNumberFormat="1" applyFont="1" applyBorder="1"/>
    <xf numFmtId="164" fontId="12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/>
    <xf numFmtId="165" fontId="0" fillId="0" borderId="0" xfId="1" applyNumberFormat="1" applyFont="1" applyBorder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1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C6" sqref="C6"/>
    </sheetView>
  </sheetViews>
  <sheetFormatPr defaultRowHeight="15.75" x14ac:dyDescent="0.25"/>
  <cols>
    <col min="1" max="1" width="5.625" customWidth="1"/>
    <col min="2" max="2" width="1" customWidth="1"/>
    <col min="3" max="3" width="51.25" customWidth="1"/>
    <col min="5" max="5" width="14.5" customWidth="1"/>
    <col min="6" max="6" width="1.75" customWidth="1"/>
    <col min="7" max="7" width="12.625" customWidth="1"/>
    <col min="8" max="8" width="5.125" customWidth="1"/>
  </cols>
  <sheetData>
    <row r="1" spans="1:7" x14ac:dyDescent="0.25">
      <c r="A1" t="s">
        <v>19</v>
      </c>
      <c r="G1" s="21" t="s">
        <v>21</v>
      </c>
    </row>
    <row r="2" spans="1:7" x14ac:dyDescent="0.25">
      <c r="A2" t="s">
        <v>20</v>
      </c>
    </row>
    <row r="3" spans="1:7" x14ac:dyDescent="0.25">
      <c r="A3" t="s">
        <v>22</v>
      </c>
    </row>
    <row r="4" spans="1:7" x14ac:dyDescent="0.25">
      <c r="A4" t="s">
        <v>38</v>
      </c>
    </row>
    <row r="5" spans="1:7" x14ac:dyDescent="0.25">
      <c r="A5" s="15" t="s">
        <v>27</v>
      </c>
    </row>
    <row r="6" spans="1:7" x14ac:dyDescent="0.25">
      <c r="E6" s="13" t="s">
        <v>51</v>
      </c>
      <c r="F6" s="13"/>
      <c r="G6" s="13" t="s">
        <v>51</v>
      </c>
    </row>
    <row r="7" spans="1:7" x14ac:dyDescent="0.25">
      <c r="E7" s="13" t="s">
        <v>39</v>
      </c>
      <c r="F7" s="13"/>
      <c r="G7" s="13" t="s">
        <v>41</v>
      </c>
    </row>
    <row r="8" spans="1:7" x14ac:dyDescent="0.25">
      <c r="A8" s="11" t="s">
        <v>23</v>
      </c>
      <c r="C8" s="12" t="s">
        <v>24</v>
      </c>
      <c r="E8" s="22" t="s">
        <v>40</v>
      </c>
      <c r="F8" s="13"/>
      <c r="G8" s="22" t="s">
        <v>43</v>
      </c>
    </row>
    <row r="10" spans="1:7" x14ac:dyDescent="0.25">
      <c r="C10" s="49" t="s">
        <v>127</v>
      </c>
    </row>
    <row r="11" spans="1:7" x14ac:dyDescent="0.25">
      <c r="A11">
        <v>1</v>
      </c>
      <c r="C11" t="s">
        <v>25</v>
      </c>
    </row>
    <row r="12" spans="1:7" x14ac:dyDescent="0.25">
      <c r="C12" t="s">
        <v>26</v>
      </c>
      <c r="E12" s="1">
        <v>52527</v>
      </c>
      <c r="F12" s="1"/>
      <c r="G12" s="1">
        <v>52527</v>
      </c>
    </row>
    <row r="13" spans="1:7" x14ac:dyDescent="0.25">
      <c r="A13">
        <v>2</v>
      </c>
      <c r="C13" t="s">
        <v>30</v>
      </c>
      <c r="E13" s="20">
        <v>1.013115</v>
      </c>
      <c r="F13" s="1"/>
      <c r="G13" s="20">
        <v>1.013115</v>
      </c>
    </row>
    <row r="14" spans="1:7" x14ac:dyDescent="0.25">
      <c r="A14">
        <v>3</v>
      </c>
      <c r="C14" t="s">
        <v>31</v>
      </c>
      <c r="E14" s="1">
        <f>E12/E13</f>
        <v>51847.026250721785</v>
      </c>
      <c r="F14" s="1"/>
      <c r="G14" s="1">
        <f>G12/G13</f>
        <v>51847.026250721785</v>
      </c>
    </row>
    <row r="15" spans="1:7" x14ac:dyDescent="0.25">
      <c r="A15">
        <v>4</v>
      </c>
      <c r="C15" t="s">
        <v>29</v>
      </c>
      <c r="E15" s="8">
        <v>7.2900000000000006E-2</v>
      </c>
      <c r="F15" s="16"/>
      <c r="G15" s="8">
        <v>7.2900000000000006E-2</v>
      </c>
    </row>
    <row r="16" spans="1:7" x14ac:dyDescent="0.25">
      <c r="A16">
        <v>5</v>
      </c>
      <c r="C16" t="s">
        <v>32</v>
      </c>
      <c r="E16" s="1">
        <f>E14*E15</f>
        <v>3779.6482136776185</v>
      </c>
      <c r="F16" s="1"/>
      <c r="G16" s="1">
        <f>G14*G15</f>
        <v>3779.6482136776185</v>
      </c>
    </row>
    <row r="17" spans="1:7" x14ac:dyDescent="0.25">
      <c r="A17">
        <v>6</v>
      </c>
      <c r="C17" t="s">
        <v>52</v>
      </c>
      <c r="E17" s="17">
        <v>0.62017999999999995</v>
      </c>
      <c r="F17" s="1"/>
      <c r="G17" s="17">
        <f>GRFC_WP!G51</f>
        <v>0.75375999999999999</v>
      </c>
    </row>
    <row r="18" spans="1:7" x14ac:dyDescent="0.25">
      <c r="A18">
        <v>7</v>
      </c>
      <c r="C18" t="s">
        <v>33</v>
      </c>
      <c r="E18" s="1">
        <f>E16/E17</f>
        <v>6094.4374434480615</v>
      </c>
      <c r="F18" s="1"/>
      <c r="G18" s="1">
        <f>G16/G17</f>
        <v>5014.3921323466602</v>
      </c>
    </row>
    <row r="19" spans="1:7" x14ac:dyDescent="0.25">
      <c r="E19" s="1"/>
      <c r="F19" s="1"/>
      <c r="G19" s="1"/>
    </row>
    <row r="20" spans="1:7" x14ac:dyDescent="0.25">
      <c r="A20">
        <v>8</v>
      </c>
      <c r="C20" t="s">
        <v>28</v>
      </c>
      <c r="E20" s="8">
        <v>2.6800000000000001E-2</v>
      </c>
      <c r="F20" s="1"/>
      <c r="G20" s="8">
        <v>2.6800000000000001E-2</v>
      </c>
    </row>
    <row r="21" spans="1:7" x14ac:dyDescent="0.25">
      <c r="A21">
        <v>9</v>
      </c>
      <c r="C21" t="s">
        <v>50</v>
      </c>
      <c r="E21" s="5">
        <f>E14*E20*-0.35/E17</f>
        <v>-784.16767104996984</v>
      </c>
      <c r="F21" s="1"/>
      <c r="G21" s="5">
        <f>G14*G20*-0.21/G17</f>
        <v>-387.11932676058984</v>
      </c>
    </row>
    <row r="22" spans="1:7" x14ac:dyDescent="0.25">
      <c r="E22" s="19"/>
      <c r="F22" s="1"/>
      <c r="G22" s="19"/>
    </row>
    <row r="23" spans="1:7" x14ac:dyDescent="0.25">
      <c r="A23">
        <v>10</v>
      </c>
      <c r="C23" t="s">
        <v>35</v>
      </c>
    </row>
    <row r="24" spans="1:7" ht="16.5" thickBot="1" x14ac:dyDescent="0.3">
      <c r="C24" t="s">
        <v>34</v>
      </c>
      <c r="E24" s="18">
        <f>E18+E21</f>
        <v>5310.2697723980918</v>
      </c>
      <c r="F24" s="1"/>
      <c r="G24" s="18">
        <f>G18+G21</f>
        <v>4627.2728055860707</v>
      </c>
    </row>
    <row r="25" spans="1:7" ht="16.5" thickTop="1" x14ac:dyDescent="0.25">
      <c r="E25" s="1"/>
      <c r="F25" s="1"/>
      <c r="G25" s="1"/>
    </row>
    <row r="26" spans="1:7" x14ac:dyDescent="0.25">
      <c r="C26" s="49" t="s">
        <v>78</v>
      </c>
      <c r="E26" s="1"/>
      <c r="F26" s="1"/>
      <c r="G26" s="1"/>
    </row>
    <row r="27" spans="1:7" x14ac:dyDescent="0.25">
      <c r="A27">
        <v>11</v>
      </c>
      <c r="C27" t="s">
        <v>75</v>
      </c>
      <c r="E27" s="8">
        <f>355/365</f>
        <v>0.9726027397260274</v>
      </c>
      <c r="F27" s="1"/>
      <c r="G27" s="1"/>
    </row>
    <row r="28" spans="1:7" x14ac:dyDescent="0.25">
      <c r="A28">
        <v>12</v>
      </c>
      <c r="C28" t="s">
        <v>76</v>
      </c>
      <c r="E28" s="5">
        <f>E24*E27</f>
        <v>5164.7829293186924</v>
      </c>
      <c r="F28" s="1"/>
      <c r="G28" s="1"/>
    </row>
    <row r="29" spans="1:7" x14ac:dyDescent="0.25">
      <c r="E29" s="46"/>
      <c r="F29" s="1"/>
      <c r="G29" s="1"/>
    </row>
    <row r="30" spans="1:7" x14ac:dyDescent="0.25">
      <c r="A30">
        <v>13</v>
      </c>
      <c r="C30" t="s">
        <v>77</v>
      </c>
      <c r="E30" s="10">
        <v>1</v>
      </c>
      <c r="F30" s="1"/>
      <c r="G30" s="1"/>
    </row>
    <row r="31" spans="1:7" x14ac:dyDescent="0.25">
      <c r="A31">
        <v>14</v>
      </c>
      <c r="C31" t="s">
        <v>79</v>
      </c>
      <c r="E31" s="5">
        <f>E24*E30</f>
        <v>5310.2697723980918</v>
      </c>
      <c r="F31" s="1"/>
      <c r="G31" s="1"/>
    </row>
    <row r="32" spans="1:7" x14ac:dyDescent="0.25">
      <c r="E32" s="46"/>
      <c r="F32" s="1"/>
      <c r="G32" s="1"/>
    </row>
    <row r="33" spans="1:7" x14ac:dyDescent="0.25">
      <c r="A33">
        <v>15</v>
      </c>
      <c r="C33" t="s">
        <v>129</v>
      </c>
      <c r="E33" s="1"/>
      <c r="F33" s="1"/>
      <c r="G33" s="8">
        <f>(31+28+31+30)/365</f>
        <v>0.32876712328767121</v>
      </c>
    </row>
    <row r="34" spans="1:7" x14ac:dyDescent="0.25">
      <c r="A34">
        <v>16</v>
      </c>
      <c r="C34" t="s">
        <v>130</v>
      </c>
      <c r="E34" s="1"/>
      <c r="F34" s="1"/>
      <c r="G34" s="5">
        <f>G24*G33</f>
        <v>1521.295168959804</v>
      </c>
    </row>
    <row r="35" spans="1:7" x14ac:dyDescent="0.25">
      <c r="E35" s="1"/>
      <c r="F35" s="1"/>
      <c r="G35" s="1"/>
    </row>
    <row r="36" spans="1:7" x14ac:dyDescent="0.25">
      <c r="A36">
        <v>17</v>
      </c>
      <c r="C36" t="s">
        <v>80</v>
      </c>
      <c r="E36" s="50">
        <f>E28+E31+G34</f>
        <v>11996.347870676589</v>
      </c>
      <c r="F36" s="1"/>
      <c r="G36" s="1"/>
    </row>
    <row r="37" spans="1:7" x14ac:dyDescent="0.25">
      <c r="E37" s="1"/>
      <c r="F37" s="1"/>
      <c r="G37" s="1"/>
    </row>
    <row r="38" spans="1:7" x14ac:dyDescent="0.25">
      <c r="E38" s="1"/>
      <c r="F38" s="1"/>
      <c r="G38" s="1"/>
    </row>
    <row r="39" spans="1:7" x14ac:dyDescent="0.25">
      <c r="C39" s="11" t="s">
        <v>112</v>
      </c>
      <c r="E39" s="1"/>
      <c r="F39" s="1"/>
      <c r="G39" s="1"/>
    </row>
    <row r="40" spans="1:7" x14ac:dyDescent="0.25">
      <c r="C40" t="s">
        <v>44</v>
      </c>
      <c r="E40" s="1"/>
      <c r="F40" s="1"/>
      <c r="G40" s="1"/>
    </row>
    <row r="41" spans="1:7" x14ac:dyDescent="0.25">
      <c r="C41" t="s">
        <v>47</v>
      </c>
      <c r="E41" s="1"/>
      <c r="F41" s="1"/>
      <c r="G41" s="1"/>
    </row>
    <row r="42" spans="1:7" x14ac:dyDescent="0.25">
      <c r="C42" t="s">
        <v>45</v>
      </c>
      <c r="E42" s="1"/>
      <c r="F42" s="1"/>
      <c r="G42" s="1"/>
    </row>
    <row r="43" spans="1:7" x14ac:dyDescent="0.25">
      <c r="C43" t="s">
        <v>46</v>
      </c>
      <c r="E43" s="1"/>
      <c r="F43" s="1"/>
      <c r="G43" s="1"/>
    </row>
  </sheetData>
  <pageMargins left="0.7" right="0.7" top="0.75" bottom="0.75" header="0.3" footer="0.3"/>
  <pageSetup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5" workbookViewId="0">
      <selection activeCell="C39" sqref="C39"/>
    </sheetView>
  </sheetViews>
  <sheetFormatPr defaultRowHeight="15.75" x14ac:dyDescent="0.25"/>
  <cols>
    <col min="1" max="1" width="5.625" customWidth="1"/>
    <col min="2" max="2" width="1" customWidth="1"/>
    <col min="3" max="3" width="52.25" customWidth="1"/>
    <col min="5" max="5" width="14.5" customWidth="1"/>
    <col min="6" max="6" width="1.75" customWidth="1"/>
    <col min="7" max="7" width="12.625" customWidth="1"/>
    <col min="8" max="8" width="5.125" customWidth="1"/>
  </cols>
  <sheetData>
    <row r="1" spans="1:7" x14ac:dyDescent="0.25">
      <c r="A1" t="s">
        <v>19</v>
      </c>
      <c r="G1" s="21" t="s">
        <v>37</v>
      </c>
    </row>
    <row r="2" spans="1:7" x14ac:dyDescent="0.25">
      <c r="A2" t="s">
        <v>20</v>
      </c>
    </row>
    <row r="3" spans="1:7" x14ac:dyDescent="0.25">
      <c r="A3" t="s">
        <v>22</v>
      </c>
    </row>
    <row r="4" spans="1:7" x14ac:dyDescent="0.25">
      <c r="A4" t="s">
        <v>36</v>
      </c>
    </row>
    <row r="5" spans="1:7" x14ac:dyDescent="0.25">
      <c r="A5" s="15" t="s">
        <v>27</v>
      </c>
    </row>
    <row r="6" spans="1:7" x14ac:dyDescent="0.25">
      <c r="E6" s="13" t="s">
        <v>51</v>
      </c>
      <c r="F6" s="13"/>
      <c r="G6" s="13" t="s">
        <v>51</v>
      </c>
    </row>
    <row r="7" spans="1:7" x14ac:dyDescent="0.25">
      <c r="E7" s="13" t="s">
        <v>39</v>
      </c>
      <c r="F7" s="13"/>
      <c r="G7" s="13" t="s">
        <v>41</v>
      </c>
    </row>
    <row r="8" spans="1:7" x14ac:dyDescent="0.25">
      <c r="A8" s="11" t="s">
        <v>23</v>
      </c>
      <c r="C8" s="12" t="s">
        <v>24</v>
      </c>
      <c r="E8" s="22" t="s">
        <v>40</v>
      </c>
      <c r="F8" s="13"/>
      <c r="G8" s="22" t="s">
        <v>43</v>
      </c>
    </row>
    <row r="9" spans="1:7" x14ac:dyDescent="0.25">
      <c r="A9" s="11"/>
      <c r="C9" s="47"/>
      <c r="E9" s="48"/>
      <c r="F9" s="13"/>
      <c r="G9" s="48"/>
    </row>
    <row r="10" spans="1:7" x14ac:dyDescent="0.25">
      <c r="C10" s="49" t="s">
        <v>127</v>
      </c>
    </row>
    <row r="11" spans="1:7" x14ac:dyDescent="0.25">
      <c r="A11">
        <v>1</v>
      </c>
      <c r="C11" t="s">
        <v>25</v>
      </c>
    </row>
    <row r="12" spans="1:7" x14ac:dyDescent="0.25">
      <c r="C12" t="s">
        <v>26</v>
      </c>
      <c r="E12" s="1">
        <v>38087</v>
      </c>
      <c r="F12" s="1"/>
      <c r="G12" s="1">
        <v>38087</v>
      </c>
    </row>
    <row r="13" spans="1:7" x14ac:dyDescent="0.25">
      <c r="A13">
        <v>2</v>
      </c>
      <c r="C13" t="s">
        <v>30</v>
      </c>
      <c r="E13" s="17">
        <v>1.0115700000000001</v>
      </c>
      <c r="F13" s="1"/>
      <c r="G13" s="17">
        <v>1.0115700000000001</v>
      </c>
    </row>
    <row r="14" spans="1:7" x14ac:dyDescent="0.25">
      <c r="A14">
        <v>3</v>
      </c>
      <c r="C14" t="s">
        <v>31</v>
      </c>
      <c r="E14" s="1">
        <f>E12/E13</f>
        <v>37651.37360736281</v>
      </c>
      <c r="F14" s="1"/>
      <c r="G14" s="1">
        <f>G12/G13</f>
        <v>37651.37360736281</v>
      </c>
    </row>
    <row r="15" spans="1:7" x14ac:dyDescent="0.25">
      <c r="A15">
        <v>4</v>
      </c>
      <c r="C15" t="s">
        <v>29</v>
      </c>
      <c r="E15" s="8">
        <v>7.2900000000000006E-2</v>
      </c>
      <c r="F15" s="16"/>
      <c r="G15" s="8">
        <v>7.2900000000000006E-2</v>
      </c>
    </row>
    <row r="16" spans="1:7" x14ac:dyDescent="0.25">
      <c r="A16">
        <v>5</v>
      </c>
      <c r="C16" t="s">
        <v>32</v>
      </c>
      <c r="E16" s="1">
        <f>E14*E15</f>
        <v>2744.7851359767492</v>
      </c>
      <c r="F16" s="1"/>
      <c r="G16" s="1">
        <f>G14*G15</f>
        <v>2744.7851359767492</v>
      </c>
    </row>
    <row r="17" spans="1:7" x14ac:dyDescent="0.25">
      <c r="A17">
        <v>6</v>
      </c>
      <c r="C17" t="s">
        <v>68</v>
      </c>
      <c r="E17" s="17">
        <v>0.62031999999999998</v>
      </c>
      <c r="F17" s="1"/>
      <c r="G17" s="17">
        <f>GRFC_WP!G23</f>
        <v>0.75392000000000003</v>
      </c>
    </row>
    <row r="18" spans="1:7" x14ac:dyDescent="0.25">
      <c r="A18">
        <v>7</v>
      </c>
      <c r="C18" t="s">
        <v>33</v>
      </c>
      <c r="E18" s="1">
        <f>E16/E17</f>
        <v>4424.7890378784323</v>
      </c>
      <c r="F18" s="1"/>
      <c r="G18" s="1">
        <f>G16/G17</f>
        <v>3640.6848683902126</v>
      </c>
    </row>
    <row r="19" spans="1:7" x14ac:dyDescent="0.25">
      <c r="E19" s="1"/>
      <c r="F19" s="1"/>
      <c r="G19" s="1"/>
    </row>
    <row r="20" spans="1:7" x14ac:dyDescent="0.25">
      <c r="A20">
        <v>8</v>
      </c>
      <c r="C20" t="s">
        <v>28</v>
      </c>
      <c r="E20" s="8">
        <v>2.6800000000000001E-2</v>
      </c>
      <c r="F20" s="1"/>
      <c r="G20" s="8">
        <v>2.6800000000000001E-2</v>
      </c>
    </row>
    <row r="21" spans="1:7" x14ac:dyDescent="0.25">
      <c r="A21">
        <v>9</v>
      </c>
      <c r="C21" t="s">
        <v>50</v>
      </c>
      <c r="E21" s="5">
        <f>E14*E20*-0.35/E17</f>
        <v>-569.33499554594914</v>
      </c>
      <c r="F21" s="1"/>
      <c r="G21" s="5">
        <f>G14*G20*-0.21/G17</f>
        <v>-281.06686473662711</v>
      </c>
    </row>
    <row r="22" spans="1:7" x14ac:dyDescent="0.25">
      <c r="E22" s="19"/>
      <c r="F22" s="1"/>
      <c r="G22" s="19"/>
    </row>
    <row r="23" spans="1:7" x14ac:dyDescent="0.25">
      <c r="A23">
        <v>10</v>
      </c>
      <c r="C23" t="s">
        <v>35</v>
      </c>
    </row>
    <row r="24" spans="1:7" ht="16.5" thickBot="1" x14ac:dyDescent="0.3">
      <c r="C24" t="s">
        <v>34</v>
      </c>
      <c r="E24" s="18">
        <f>E18+E21</f>
        <v>3855.4540423324834</v>
      </c>
      <c r="F24" s="1"/>
      <c r="G24" s="18">
        <f>G18+G21</f>
        <v>3359.6180036535857</v>
      </c>
    </row>
    <row r="25" spans="1:7" ht="16.5" thickTop="1" x14ac:dyDescent="0.25">
      <c r="E25" s="46"/>
      <c r="F25" s="1"/>
      <c r="G25" s="46"/>
    </row>
    <row r="26" spans="1:7" x14ac:dyDescent="0.25">
      <c r="C26" s="49" t="s">
        <v>78</v>
      </c>
      <c r="E26" s="1"/>
      <c r="F26" s="1"/>
      <c r="G26" s="1"/>
    </row>
    <row r="27" spans="1:7" x14ac:dyDescent="0.25">
      <c r="A27">
        <v>11</v>
      </c>
      <c r="C27" t="s">
        <v>75</v>
      </c>
      <c r="E27" s="8">
        <f>355/365</f>
        <v>0.9726027397260274</v>
      </c>
      <c r="F27" s="1"/>
      <c r="G27" s="1"/>
    </row>
    <row r="28" spans="1:7" x14ac:dyDescent="0.25">
      <c r="A28">
        <v>12</v>
      </c>
      <c r="C28" t="s">
        <v>76</v>
      </c>
      <c r="E28" s="5">
        <f>E24*E27</f>
        <v>3749.8251644603606</v>
      </c>
      <c r="F28" s="1"/>
      <c r="G28" s="1"/>
    </row>
    <row r="29" spans="1:7" x14ac:dyDescent="0.25">
      <c r="E29" s="46"/>
      <c r="F29" s="1"/>
      <c r="G29" s="1"/>
    </row>
    <row r="30" spans="1:7" x14ac:dyDescent="0.25">
      <c r="A30">
        <v>13</v>
      </c>
      <c r="C30" t="s">
        <v>77</v>
      </c>
      <c r="E30" s="10">
        <v>1</v>
      </c>
      <c r="F30" s="1"/>
      <c r="G30" s="1"/>
    </row>
    <row r="31" spans="1:7" x14ac:dyDescent="0.25">
      <c r="A31">
        <v>14</v>
      </c>
      <c r="C31" t="s">
        <v>79</v>
      </c>
      <c r="E31" s="5">
        <f>E24*E30</f>
        <v>3855.4540423324834</v>
      </c>
      <c r="F31" s="1"/>
      <c r="G31" s="1"/>
    </row>
    <row r="32" spans="1:7" x14ac:dyDescent="0.25">
      <c r="E32" s="46"/>
      <c r="F32" s="1"/>
      <c r="G32" s="1"/>
    </row>
    <row r="33" spans="1:7" x14ac:dyDescent="0.25">
      <c r="A33">
        <v>15</v>
      </c>
      <c r="C33" t="s">
        <v>129</v>
      </c>
      <c r="E33" s="1"/>
      <c r="F33" s="1"/>
      <c r="G33" s="8">
        <f>(31+28+31+30)/365</f>
        <v>0.32876712328767121</v>
      </c>
    </row>
    <row r="34" spans="1:7" x14ac:dyDescent="0.25">
      <c r="A34">
        <v>16</v>
      </c>
      <c r="C34" t="s">
        <v>130</v>
      </c>
      <c r="E34" s="1"/>
      <c r="F34" s="1"/>
      <c r="G34" s="5">
        <f>G24*G33</f>
        <v>1104.5319464066583</v>
      </c>
    </row>
    <row r="35" spans="1:7" x14ac:dyDescent="0.25">
      <c r="E35" s="1"/>
      <c r="F35" s="1"/>
      <c r="G35" s="1"/>
    </row>
    <row r="36" spans="1:7" x14ac:dyDescent="0.25">
      <c r="A36">
        <v>17</v>
      </c>
      <c r="C36" t="s">
        <v>81</v>
      </c>
      <c r="E36" s="50">
        <f>E28+E31+G34</f>
        <v>8709.8111531995019</v>
      </c>
      <c r="F36" s="1"/>
      <c r="G36" s="1"/>
    </row>
    <row r="37" spans="1:7" x14ac:dyDescent="0.25">
      <c r="E37" s="1"/>
      <c r="F37" s="1"/>
      <c r="G37" s="1"/>
    </row>
    <row r="38" spans="1:7" x14ac:dyDescent="0.25">
      <c r="C38" s="11" t="s">
        <v>112</v>
      </c>
      <c r="E38" s="1"/>
      <c r="F38" s="1"/>
      <c r="G38" s="1"/>
    </row>
    <row r="39" spans="1:7" x14ac:dyDescent="0.25">
      <c r="C39" t="s">
        <v>49</v>
      </c>
      <c r="E39" s="1"/>
      <c r="F39" s="1"/>
      <c r="G39" s="1"/>
    </row>
    <row r="40" spans="1:7" x14ac:dyDescent="0.25">
      <c r="C40" t="s">
        <v>48</v>
      </c>
      <c r="E40" s="1"/>
      <c r="F40" s="1"/>
      <c r="G40" s="1"/>
    </row>
    <row r="41" spans="1:7" x14ac:dyDescent="0.25">
      <c r="C41" t="s">
        <v>45</v>
      </c>
      <c r="E41" s="1"/>
      <c r="F41" s="1"/>
      <c r="G41" s="1"/>
    </row>
    <row r="42" spans="1:7" x14ac:dyDescent="0.25">
      <c r="C42" t="s">
        <v>46</v>
      </c>
    </row>
  </sheetData>
  <pageMargins left="0.7" right="0.7" top="0.75" bottom="0.75" header="0.3" footer="0.3"/>
  <pageSetup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B35" sqref="B35"/>
    </sheetView>
  </sheetViews>
  <sheetFormatPr defaultRowHeight="15.75" x14ac:dyDescent="0.25"/>
  <cols>
    <col min="1" max="1" width="5.625" customWidth="1"/>
    <col min="2" max="2" width="52" customWidth="1"/>
    <col min="4" max="4" width="9.375" customWidth="1"/>
    <col min="5" max="5" width="1.125" customWidth="1"/>
    <col min="7" max="7" width="1.125" customWidth="1"/>
  </cols>
  <sheetData>
    <row r="1" spans="1:8" x14ac:dyDescent="0.25">
      <c r="A1" t="s">
        <v>19</v>
      </c>
      <c r="H1" s="21" t="s">
        <v>83</v>
      </c>
    </row>
    <row r="2" spans="1:8" x14ac:dyDescent="0.25">
      <c r="A2" t="s">
        <v>20</v>
      </c>
    </row>
    <row r="3" spans="1:8" x14ac:dyDescent="0.25">
      <c r="A3" s="1" t="s">
        <v>82</v>
      </c>
      <c r="C3" s="1"/>
      <c r="D3" s="1"/>
      <c r="E3" s="1"/>
      <c r="F3" s="1"/>
      <c r="G3" s="1"/>
    </row>
    <row r="4" spans="1:8" x14ac:dyDescent="0.25">
      <c r="A4" s="2" t="s">
        <v>92</v>
      </c>
      <c r="C4" s="1"/>
      <c r="D4" s="1"/>
      <c r="E4" s="1"/>
      <c r="F4" s="1"/>
      <c r="G4" s="1"/>
    </row>
    <row r="5" spans="1:8" x14ac:dyDescent="0.25">
      <c r="A5" s="1"/>
      <c r="B5" s="2"/>
      <c r="C5" s="1"/>
      <c r="D5" s="1"/>
      <c r="E5" s="1"/>
      <c r="F5" s="1"/>
      <c r="G5" s="1"/>
    </row>
    <row r="6" spans="1:8" x14ac:dyDescent="0.25">
      <c r="A6" s="1"/>
      <c r="B6" s="2"/>
      <c r="C6" s="1"/>
      <c r="D6" s="1"/>
      <c r="E6" s="1"/>
      <c r="F6" s="1"/>
      <c r="G6" s="1"/>
    </row>
    <row r="7" spans="1:8" ht="18" x14ac:dyDescent="0.4">
      <c r="A7" s="51" t="s">
        <v>23</v>
      </c>
      <c r="B7" s="3" t="s">
        <v>24</v>
      </c>
      <c r="C7" s="1"/>
      <c r="D7" s="7" t="s">
        <v>2</v>
      </c>
      <c r="E7" s="6"/>
      <c r="F7" s="7" t="s">
        <v>3</v>
      </c>
      <c r="G7" s="1"/>
      <c r="H7" s="7" t="s">
        <v>15</v>
      </c>
    </row>
    <row r="8" spans="1:8" x14ac:dyDescent="0.25">
      <c r="A8" s="1">
        <v>1</v>
      </c>
      <c r="B8" t="s">
        <v>35</v>
      </c>
      <c r="C8" s="1"/>
      <c r="D8" s="1"/>
      <c r="E8" s="1"/>
      <c r="F8" s="1"/>
      <c r="G8" s="1"/>
      <c r="H8" s="1"/>
    </row>
    <row r="9" spans="1:8" x14ac:dyDescent="0.25">
      <c r="A9" s="1"/>
      <c r="B9" t="s">
        <v>85</v>
      </c>
      <c r="C9" s="1"/>
      <c r="D9" s="1">
        <f>'DMR-29'!E24</f>
        <v>3855.4540423324834</v>
      </c>
      <c r="E9" s="1"/>
      <c r="F9" s="1">
        <f>D9</f>
        <v>3855.4540423324834</v>
      </c>
      <c r="G9" s="1"/>
      <c r="H9" s="1">
        <f>'DMR-29'!G24</f>
        <v>3359.6180036535857</v>
      </c>
    </row>
    <row r="10" spans="1:8" x14ac:dyDescent="0.25">
      <c r="A10" s="1"/>
      <c r="B10" s="1"/>
      <c r="C10" s="1"/>
      <c r="D10" s="1"/>
      <c r="E10" s="1"/>
      <c r="F10" s="1"/>
      <c r="G10" s="1"/>
    </row>
    <row r="11" spans="1:8" x14ac:dyDescent="0.25">
      <c r="A11" s="1">
        <v>2</v>
      </c>
      <c r="B11" s="1" t="s">
        <v>90</v>
      </c>
      <c r="C11" s="1"/>
      <c r="D11" s="1">
        <v>5854.7</v>
      </c>
      <c r="E11" s="1"/>
      <c r="F11" s="1">
        <v>5199.8</v>
      </c>
      <c r="G11" s="1"/>
      <c r="H11" s="13" t="s">
        <v>86</v>
      </c>
    </row>
    <row r="12" spans="1:8" x14ac:dyDescent="0.25">
      <c r="A12" s="1">
        <v>3</v>
      </c>
      <c r="B12" s="1" t="s">
        <v>91</v>
      </c>
      <c r="C12" s="1"/>
      <c r="D12" s="3">
        <f>-D9</f>
        <v>-3855.4540423324834</v>
      </c>
      <c r="E12" s="1"/>
      <c r="F12" s="3">
        <f>-F9</f>
        <v>-3855.4540423324834</v>
      </c>
      <c r="G12" s="1"/>
    </row>
    <row r="13" spans="1:8" x14ac:dyDescent="0.25">
      <c r="A13" s="1">
        <v>4</v>
      </c>
      <c r="B13" s="1" t="s">
        <v>5</v>
      </c>
      <c r="C13" s="1"/>
      <c r="D13" s="1">
        <f>SUM(D11:D12)</f>
        <v>1999.2459576675164</v>
      </c>
      <c r="E13" s="1"/>
      <c r="F13" s="1">
        <f>SUM(F11:F12)</f>
        <v>1344.3459576675168</v>
      </c>
      <c r="G13" s="1"/>
    </row>
    <row r="14" spans="1:8" x14ac:dyDescent="0.25">
      <c r="A14" s="1">
        <v>5</v>
      </c>
      <c r="B14" s="2" t="s">
        <v>7</v>
      </c>
      <c r="C14" s="1"/>
      <c r="D14" s="1">
        <f>D13*0.5</f>
        <v>999.62297883375822</v>
      </c>
      <c r="E14" s="1"/>
      <c r="F14" s="1">
        <f>F13*0.5</f>
        <v>672.17297883375841</v>
      </c>
      <c r="G14" s="1"/>
    </row>
    <row r="15" spans="1:8" x14ac:dyDescent="0.25">
      <c r="A15" s="1"/>
      <c r="B15" s="1"/>
      <c r="C15" s="1"/>
      <c r="D15" s="1"/>
      <c r="E15" s="1"/>
      <c r="F15" s="1"/>
      <c r="G15" s="1"/>
    </row>
    <row r="16" spans="1:8" x14ac:dyDescent="0.25">
      <c r="A16" s="1">
        <v>6</v>
      </c>
      <c r="B16" s="1" t="s">
        <v>12</v>
      </c>
      <c r="C16" s="1"/>
      <c r="D16" s="1">
        <f>D11*0.5</f>
        <v>2927.35</v>
      </c>
      <c r="E16" s="1"/>
      <c r="F16" s="1">
        <f>F11*0.5</f>
        <v>2599.9</v>
      </c>
      <c r="G16" s="1"/>
    </row>
    <row r="17" spans="1:8" x14ac:dyDescent="0.25">
      <c r="A17" s="1">
        <v>7</v>
      </c>
      <c r="B17" s="2" t="s">
        <v>10</v>
      </c>
      <c r="C17" s="1"/>
      <c r="D17" s="3">
        <f>-D14</f>
        <v>-999.62297883375822</v>
      </c>
      <c r="E17" s="1"/>
      <c r="F17" s="3">
        <f>-F14</f>
        <v>-672.17297883375841</v>
      </c>
      <c r="G17" s="1"/>
    </row>
    <row r="18" spans="1:8" x14ac:dyDescent="0.25">
      <c r="A18" s="1">
        <v>8</v>
      </c>
      <c r="B18" s="1" t="s">
        <v>8</v>
      </c>
      <c r="C18" s="1"/>
      <c r="D18" s="1">
        <f>D16+D17</f>
        <v>1927.7270211662417</v>
      </c>
      <c r="E18" s="1"/>
      <c r="F18" s="1">
        <f>F16+F17</f>
        <v>1927.7270211662417</v>
      </c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ht="20.25" x14ac:dyDescent="0.55000000000000004">
      <c r="A21" s="1"/>
      <c r="B21" s="4" t="s">
        <v>17</v>
      </c>
      <c r="C21" s="1"/>
      <c r="D21" s="1"/>
      <c r="E21" s="1"/>
      <c r="F21" s="1"/>
      <c r="G21" s="1"/>
    </row>
    <row r="22" spans="1:8" x14ac:dyDescent="0.25">
      <c r="A22" s="1">
        <v>9</v>
      </c>
      <c r="B22" s="1" t="s">
        <v>89</v>
      </c>
      <c r="C22" s="1"/>
      <c r="D22" s="1">
        <f>D9</f>
        <v>3855.4540423324834</v>
      </c>
      <c r="E22" s="1"/>
      <c r="F22" s="1">
        <f>F9</f>
        <v>3855.4540423324834</v>
      </c>
      <c r="G22" s="1"/>
      <c r="H22" s="52">
        <f>H9</f>
        <v>3359.6180036535857</v>
      </c>
    </row>
    <row r="23" spans="1:8" x14ac:dyDescent="0.25">
      <c r="A23" s="1">
        <v>10</v>
      </c>
      <c r="B23" s="2" t="s">
        <v>11</v>
      </c>
      <c r="C23" s="1"/>
      <c r="D23" s="3">
        <f>D14</f>
        <v>999.62297883375822</v>
      </c>
      <c r="E23" s="1"/>
      <c r="F23" s="3">
        <f>F14</f>
        <v>672.17297883375841</v>
      </c>
      <c r="G23" s="1"/>
    </row>
    <row r="24" spans="1:8" x14ac:dyDescent="0.25">
      <c r="A24" s="1">
        <v>11</v>
      </c>
      <c r="B24" s="1" t="s">
        <v>113</v>
      </c>
      <c r="C24" s="1"/>
      <c r="D24" s="1">
        <f>SUM(D22:D23)</f>
        <v>4855.077021166242</v>
      </c>
      <c r="E24" s="1"/>
      <c r="F24" s="1">
        <f>SUM(F22:F23)</f>
        <v>4527.6270211662413</v>
      </c>
      <c r="G24" s="1"/>
    </row>
    <row r="25" spans="1:8" x14ac:dyDescent="0.25">
      <c r="A25" s="1">
        <v>12</v>
      </c>
      <c r="B25" s="1" t="s">
        <v>13</v>
      </c>
      <c r="C25" s="1"/>
      <c r="D25" s="3">
        <f>D16</f>
        <v>2927.35</v>
      </c>
      <c r="E25" s="1"/>
      <c r="F25" s="3">
        <f>F16</f>
        <v>2599.9</v>
      </c>
      <c r="G25" s="1"/>
    </row>
    <row r="26" spans="1:8" x14ac:dyDescent="0.25">
      <c r="A26" s="1">
        <v>13</v>
      </c>
      <c r="B26" s="1" t="s">
        <v>14</v>
      </c>
      <c r="C26" s="1"/>
      <c r="D26" s="5">
        <f>D24-D25</f>
        <v>1927.7270211662421</v>
      </c>
      <c r="E26" s="1"/>
      <c r="F26" s="5">
        <f>F24-F25</f>
        <v>1927.7270211662412</v>
      </c>
      <c r="G26" s="1"/>
      <c r="H26" s="52">
        <f>H22</f>
        <v>3359.6180036535857</v>
      </c>
    </row>
    <row r="27" spans="1:8" x14ac:dyDescent="0.25">
      <c r="A27" s="1"/>
      <c r="B27" s="1"/>
      <c r="C27" s="1"/>
      <c r="D27" s="1"/>
      <c r="E27" s="1"/>
      <c r="F27" s="1"/>
      <c r="G27" s="1"/>
    </row>
    <row r="28" spans="1:8" x14ac:dyDescent="0.25">
      <c r="A28" s="1">
        <v>14</v>
      </c>
      <c r="B28" s="1" t="s">
        <v>87</v>
      </c>
      <c r="C28" s="1"/>
      <c r="D28" s="8">
        <f>355/365</f>
        <v>0.9726027397260274</v>
      </c>
      <c r="E28" s="1"/>
      <c r="F28" s="10">
        <v>1</v>
      </c>
      <c r="G28" s="1"/>
      <c r="H28" s="8">
        <f>(31+28+31+30)/365</f>
        <v>0.32876712328767121</v>
      </c>
    </row>
    <row r="29" spans="1:8" x14ac:dyDescent="0.25">
      <c r="A29" s="1">
        <v>15</v>
      </c>
      <c r="B29" s="1" t="s">
        <v>18</v>
      </c>
      <c r="C29" s="1"/>
      <c r="D29" s="5">
        <f>D26*D28</f>
        <v>1874.9125822301808</v>
      </c>
      <c r="E29" s="1"/>
      <c r="F29" s="5">
        <f>F26*F28</f>
        <v>1927.7270211662412</v>
      </c>
      <c r="G29" s="1"/>
      <c r="H29" s="5">
        <f>H26*H28</f>
        <v>1104.5319464066583</v>
      </c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6.5" thickBot="1" x14ac:dyDescent="0.3">
      <c r="A31" s="1">
        <v>16</v>
      </c>
      <c r="B31" s="1" t="s">
        <v>16</v>
      </c>
      <c r="C31" s="1"/>
      <c r="D31" s="1"/>
      <c r="E31" s="1"/>
      <c r="F31" s="9">
        <f>D29+F29+H29</f>
        <v>4907.1715498030808</v>
      </c>
      <c r="G31" s="1"/>
      <c r="H31" s="1"/>
    </row>
    <row r="32" spans="1:8" ht="16.5" thickTop="1" x14ac:dyDescent="0.25">
      <c r="A32" s="1"/>
      <c r="B32" s="1"/>
      <c r="C32" s="1"/>
      <c r="D32" s="1"/>
      <c r="E32" s="1"/>
      <c r="F32" s="1"/>
      <c r="G32" s="1"/>
      <c r="H32" s="1"/>
    </row>
    <row r="33" spans="1:8" ht="18" x14ac:dyDescent="0.4">
      <c r="A33" s="1"/>
      <c r="B33" s="51" t="s">
        <v>107</v>
      </c>
      <c r="C33" s="1"/>
      <c r="D33" s="1"/>
      <c r="E33" s="1"/>
      <c r="F33" s="1"/>
      <c r="G33" s="1"/>
      <c r="H33" s="1"/>
    </row>
    <row r="34" spans="1:8" x14ac:dyDescent="0.25">
      <c r="B34" s="1" t="s">
        <v>84</v>
      </c>
    </row>
    <row r="35" spans="1:8" x14ac:dyDescent="0.25">
      <c r="B35" s="1" t="s">
        <v>114</v>
      </c>
    </row>
    <row r="36" spans="1:8" x14ac:dyDescent="0.25">
      <c r="B36" s="1" t="s">
        <v>115</v>
      </c>
    </row>
  </sheetData>
  <pageMargins left="0.7" right="0.7" top="0.75" bottom="0.75" header="0.3" footer="0.3"/>
  <pageSetup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4" workbookViewId="0">
      <selection activeCell="B31" sqref="B31"/>
    </sheetView>
  </sheetViews>
  <sheetFormatPr defaultRowHeight="15.75" x14ac:dyDescent="0.25"/>
  <cols>
    <col min="1" max="1" width="5.375" style="1" customWidth="1"/>
    <col min="2" max="2" width="46" style="1" customWidth="1"/>
    <col min="3" max="3" width="9" style="1"/>
    <col min="4" max="4" width="10.75" style="1" customWidth="1"/>
    <col min="5" max="5" width="1.25" style="1" customWidth="1"/>
    <col min="6" max="6" width="9" style="1"/>
    <col min="7" max="7" width="1.375" style="1" customWidth="1"/>
    <col min="8" max="8" width="9.625" style="1" customWidth="1"/>
    <col min="9" max="9" width="6.375" style="1" customWidth="1"/>
    <col min="10" max="16384" width="9" style="1"/>
  </cols>
  <sheetData>
    <row r="1" spans="1:9" x14ac:dyDescent="0.25">
      <c r="A1" s="1" t="s">
        <v>19</v>
      </c>
      <c r="I1" s="53" t="s">
        <v>106</v>
      </c>
    </row>
    <row r="2" spans="1:9" x14ac:dyDescent="0.25">
      <c r="A2" s="1" t="s">
        <v>20</v>
      </c>
    </row>
    <row r="3" spans="1:9" x14ac:dyDescent="0.25">
      <c r="A3" s="1" t="s">
        <v>133</v>
      </c>
    </row>
    <row r="4" spans="1:9" x14ac:dyDescent="0.25">
      <c r="A4" t="s">
        <v>38</v>
      </c>
    </row>
    <row r="5" spans="1:9" x14ac:dyDescent="0.25">
      <c r="A5" s="2" t="s">
        <v>92</v>
      </c>
      <c r="B5" s="2"/>
    </row>
    <row r="8" spans="1:9" x14ac:dyDescent="0.25">
      <c r="A8" s="54" t="s">
        <v>23</v>
      </c>
      <c r="B8" s="3" t="s">
        <v>24</v>
      </c>
      <c r="D8" s="7" t="s">
        <v>2</v>
      </c>
      <c r="E8" s="6"/>
      <c r="F8" s="7" t="s">
        <v>3</v>
      </c>
      <c r="G8" s="6"/>
      <c r="H8" s="7" t="s">
        <v>15</v>
      </c>
    </row>
    <row r="9" spans="1:9" ht="18" x14ac:dyDescent="0.4">
      <c r="B9" s="51" t="s">
        <v>134</v>
      </c>
    </row>
    <row r="10" spans="1:9" x14ac:dyDescent="0.25">
      <c r="A10" s="1">
        <v>1</v>
      </c>
      <c r="B10" s="1" t="s">
        <v>94</v>
      </c>
      <c r="D10" s="1">
        <v>11696</v>
      </c>
      <c r="F10" s="1">
        <f>D10</f>
        <v>11696</v>
      </c>
      <c r="H10" s="1">
        <f>D10</f>
        <v>11696</v>
      </c>
    </row>
    <row r="11" spans="1:9" x14ac:dyDescent="0.25">
      <c r="A11" s="1">
        <v>2</v>
      </c>
      <c r="B11" s="1" t="s">
        <v>95</v>
      </c>
      <c r="D11" s="3">
        <f>D10*0.35</f>
        <v>4093.6</v>
      </c>
      <c r="F11" s="3">
        <f>F10*0.35</f>
        <v>4093.6</v>
      </c>
      <c r="H11" s="3">
        <f>H10*0.21</f>
        <v>2456.16</v>
      </c>
    </row>
    <row r="12" spans="1:9" x14ac:dyDescent="0.25">
      <c r="A12" s="1">
        <v>3</v>
      </c>
      <c r="B12" s="1" t="s">
        <v>135</v>
      </c>
      <c r="D12" s="1">
        <f>D10-D11</f>
        <v>7602.4</v>
      </c>
      <c r="F12" s="1">
        <f>F10-F11</f>
        <v>7602.4</v>
      </c>
      <c r="H12" s="1">
        <f>H10-H11</f>
        <v>9239.84</v>
      </c>
    </row>
    <row r="13" spans="1:9" x14ac:dyDescent="0.25">
      <c r="A13" s="1">
        <v>4</v>
      </c>
      <c r="B13" s="1" t="s">
        <v>93</v>
      </c>
      <c r="D13" s="17">
        <v>0.62017999999999995</v>
      </c>
      <c r="F13" s="17">
        <v>0.62017999999999995</v>
      </c>
      <c r="H13" s="17">
        <v>0.75375999999999999</v>
      </c>
    </row>
    <row r="14" spans="1:9" x14ac:dyDescent="0.25">
      <c r="A14" s="1">
        <v>5</v>
      </c>
      <c r="B14" s="1" t="s">
        <v>131</v>
      </c>
      <c r="D14" s="55"/>
      <c r="F14" s="55"/>
      <c r="H14" s="55"/>
    </row>
    <row r="15" spans="1:9" x14ac:dyDescent="0.25">
      <c r="B15" s="1" t="s">
        <v>132</v>
      </c>
      <c r="D15" s="1">
        <f>D12/D13</f>
        <v>12258.376600341837</v>
      </c>
      <c r="F15" s="1">
        <f>F12/F13</f>
        <v>12258.376600341837</v>
      </c>
      <c r="H15" s="1">
        <f>H12/H13</f>
        <v>12258.33156442369</v>
      </c>
    </row>
    <row r="17" spans="1:8" x14ac:dyDescent="0.25">
      <c r="A17" s="1">
        <v>6</v>
      </c>
      <c r="B17" s="1" t="s">
        <v>87</v>
      </c>
      <c r="D17" s="8">
        <f>355/365</f>
        <v>0.9726027397260274</v>
      </c>
      <c r="F17" s="10">
        <v>1</v>
      </c>
      <c r="H17" s="8">
        <f>(31+28+31+30)/365</f>
        <v>0.32876712328767121</v>
      </c>
    </row>
    <row r="18" spans="1:8" x14ac:dyDescent="0.25">
      <c r="A18" s="1">
        <v>7</v>
      </c>
      <c r="B18" s="1" t="s">
        <v>136</v>
      </c>
      <c r="D18" s="5">
        <f>D15*D17</f>
        <v>11922.530666085897</v>
      </c>
      <c r="F18" s="5">
        <f>F15*F17</f>
        <v>12258.376600341837</v>
      </c>
      <c r="H18" s="5">
        <f>H15*H17</f>
        <v>4030.1364047420348</v>
      </c>
    </row>
    <row r="20" spans="1:8" x14ac:dyDescent="0.25">
      <c r="A20" s="1">
        <v>8</v>
      </c>
      <c r="B20" s="1" t="s">
        <v>137</v>
      </c>
      <c r="F20" s="46">
        <f>D18+F18+H18</f>
        <v>28211.043671169769</v>
      </c>
      <c r="H20" s="1" t="s">
        <v>109</v>
      </c>
    </row>
    <row r="21" spans="1:8" x14ac:dyDescent="0.25">
      <c r="A21" s="1">
        <v>9</v>
      </c>
      <c r="B21" s="1" t="s">
        <v>138</v>
      </c>
      <c r="F21" s="3">
        <f>'DMR-28'!E36</f>
        <v>11996.347870676589</v>
      </c>
      <c r="H21" s="1" t="s">
        <v>108</v>
      </c>
    </row>
    <row r="22" spans="1:8" x14ac:dyDescent="0.25">
      <c r="A22" s="1">
        <v>10</v>
      </c>
      <c r="B22" s="1" t="s">
        <v>139</v>
      </c>
      <c r="F22" s="5">
        <f>SUM(F20:F21)</f>
        <v>40207.391541846358</v>
      </c>
    </row>
    <row r="24" spans="1:8" x14ac:dyDescent="0.25">
      <c r="A24" s="1">
        <v>11</v>
      </c>
      <c r="B24" s="1" t="s">
        <v>97</v>
      </c>
      <c r="F24" s="3">
        <f>(2597*355/365)+1493</f>
        <v>4018.8493150684931</v>
      </c>
    </row>
    <row r="25" spans="1:8" ht="16.5" thickBot="1" x14ac:dyDescent="0.3">
      <c r="A25" s="1">
        <v>12</v>
      </c>
      <c r="B25" s="1" t="s">
        <v>140</v>
      </c>
      <c r="F25" s="18">
        <f>F22-F24</f>
        <v>36188.542226777863</v>
      </c>
    </row>
    <row r="26" spans="1:8" ht="16.5" thickTop="1" x14ac:dyDescent="0.25"/>
    <row r="28" spans="1:8" ht="18" x14ac:dyDescent="0.4">
      <c r="B28" s="51" t="s">
        <v>107</v>
      </c>
    </row>
    <row r="29" spans="1:8" x14ac:dyDescent="0.25">
      <c r="B29" s="1" t="s">
        <v>110</v>
      </c>
    </row>
    <row r="30" spans="1:8" x14ac:dyDescent="0.25">
      <c r="B30" s="1" t="s">
        <v>128</v>
      </c>
    </row>
    <row r="31" spans="1:8" x14ac:dyDescent="0.25">
      <c r="B31" s="1" t="s">
        <v>111</v>
      </c>
    </row>
  </sheetData>
  <pageMargins left="0.7" right="0.7" top="0.75" bottom="0.75" header="0.3" footer="0.3"/>
  <pageSetup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" workbookViewId="0">
      <selection activeCell="H32" sqref="H32"/>
    </sheetView>
  </sheetViews>
  <sheetFormatPr defaultRowHeight="15.75" x14ac:dyDescent="0.25"/>
  <cols>
    <col min="1" max="1" width="5.625" style="1" customWidth="1"/>
    <col min="2" max="2" width="49.75" style="1" customWidth="1"/>
    <col min="3" max="4" width="9" style="1"/>
    <col min="5" max="5" width="1.125" style="1" customWidth="1"/>
    <col min="6" max="6" width="11" style="1" customWidth="1"/>
    <col min="7" max="7" width="1.125" style="1" customWidth="1"/>
    <col min="8" max="16384" width="9" style="1"/>
  </cols>
  <sheetData>
    <row r="1" spans="1:8" x14ac:dyDescent="0.25">
      <c r="A1" t="s">
        <v>19</v>
      </c>
      <c r="B1"/>
      <c r="C1"/>
      <c r="D1"/>
      <c r="E1"/>
      <c r="F1"/>
      <c r="H1" s="21" t="s">
        <v>99</v>
      </c>
    </row>
    <row r="2" spans="1:8" x14ac:dyDescent="0.25">
      <c r="A2" t="s">
        <v>20</v>
      </c>
      <c r="B2"/>
      <c r="C2"/>
      <c r="D2"/>
      <c r="E2"/>
      <c r="F2"/>
      <c r="G2"/>
    </row>
    <row r="3" spans="1:8" x14ac:dyDescent="0.25">
      <c r="A3" s="1" t="s">
        <v>98</v>
      </c>
    </row>
    <row r="4" spans="1:8" x14ac:dyDescent="0.25">
      <c r="A4" t="s">
        <v>38</v>
      </c>
      <c r="B4" s="2"/>
    </row>
    <row r="5" spans="1:8" x14ac:dyDescent="0.25">
      <c r="A5" s="2" t="s">
        <v>92</v>
      </c>
      <c r="B5" s="2"/>
    </row>
    <row r="6" spans="1:8" x14ac:dyDescent="0.25">
      <c r="A6"/>
      <c r="B6" s="2"/>
    </row>
    <row r="7" spans="1:8" x14ac:dyDescent="0.25">
      <c r="A7" s="54" t="s">
        <v>23</v>
      </c>
      <c r="B7" s="3" t="s">
        <v>24</v>
      </c>
      <c r="D7" s="7" t="s">
        <v>2</v>
      </c>
      <c r="E7" s="6"/>
      <c r="F7" s="7" t="s">
        <v>3</v>
      </c>
      <c r="H7" s="7" t="s">
        <v>15</v>
      </c>
    </row>
    <row r="8" spans="1:8" x14ac:dyDescent="0.25">
      <c r="A8" s="1">
        <v>1</v>
      </c>
      <c r="B8" s="1" t="s">
        <v>141</v>
      </c>
    </row>
    <row r="9" spans="1:8" x14ac:dyDescent="0.25">
      <c r="B9" s="1" t="s">
        <v>101</v>
      </c>
      <c r="D9" s="1">
        <v>2865</v>
      </c>
      <c r="F9" s="1">
        <f>D9</f>
        <v>2865</v>
      </c>
      <c r="H9" s="1">
        <v>2497</v>
      </c>
    </row>
    <row r="11" spans="1:8" x14ac:dyDescent="0.25">
      <c r="A11" s="1">
        <v>2</v>
      </c>
      <c r="B11" s="1" t="s">
        <v>121</v>
      </c>
      <c r="D11" s="1">
        <v>5194</v>
      </c>
      <c r="F11" s="1">
        <v>2986.5</v>
      </c>
      <c r="H11" s="1">
        <v>0</v>
      </c>
    </row>
    <row r="12" spans="1:8" x14ac:dyDescent="0.25">
      <c r="A12" s="1">
        <v>3</v>
      </c>
      <c r="B12" s="1" t="s">
        <v>6</v>
      </c>
      <c r="D12" s="3">
        <f>-D9</f>
        <v>-2865</v>
      </c>
      <c r="F12" s="3">
        <f>-F9</f>
        <v>-2865</v>
      </c>
    </row>
    <row r="13" spans="1:8" x14ac:dyDescent="0.25">
      <c r="A13" s="1">
        <v>4</v>
      </c>
      <c r="B13" s="1" t="s">
        <v>5</v>
      </c>
      <c r="D13" s="1">
        <f>SUM(D11:D12)</f>
        <v>2329</v>
      </c>
      <c r="F13" s="1">
        <f>SUM(F11:F12)</f>
        <v>121.5</v>
      </c>
    </row>
    <row r="14" spans="1:8" x14ac:dyDescent="0.25">
      <c r="A14" s="1">
        <v>5</v>
      </c>
      <c r="B14" s="2" t="s">
        <v>7</v>
      </c>
      <c r="D14" s="1">
        <f>D13*0.5</f>
        <v>1164.5</v>
      </c>
      <c r="F14" s="1">
        <f>F13*0.5</f>
        <v>60.75</v>
      </c>
    </row>
    <row r="16" spans="1:8" x14ac:dyDescent="0.25">
      <c r="A16" s="1">
        <v>6</v>
      </c>
      <c r="B16" s="1" t="s">
        <v>12</v>
      </c>
      <c r="D16" s="1">
        <f>D11*0.5</f>
        <v>2597</v>
      </c>
      <c r="F16" s="1">
        <f>F11*0.5</f>
        <v>1493.25</v>
      </c>
    </row>
    <row r="17" spans="1:8" x14ac:dyDescent="0.25">
      <c r="A17" s="1">
        <v>7</v>
      </c>
      <c r="B17" s="2" t="s">
        <v>10</v>
      </c>
      <c r="D17" s="3">
        <f>-D14</f>
        <v>-1164.5</v>
      </c>
      <c r="F17" s="3">
        <f>-F14</f>
        <v>-60.75</v>
      </c>
    </row>
    <row r="18" spans="1:8" x14ac:dyDescent="0.25">
      <c r="A18" s="1">
        <v>8</v>
      </c>
      <c r="B18" s="1" t="s">
        <v>8</v>
      </c>
      <c r="D18" s="1">
        <f>D16+D17</f>
        <v>1432.5</v>
      </c>
      <c r="F18" s="1">
        <f>F16+F17</f>
        <v>1432.5</v>
      </c>
    </row>
    <row r="21" spans="1:8" ht="20.25" x14ac:dyDescent="0.55000000000000004">
      <c r="B21" s="4" t="s">
        <v>17</v>
      </c>
    </row>
    <row r="22" spans="1:8" x14ac:dyDescent="0.25">
      <c r="A22" s="1">
        <v>9</v>
      </c>
      <c r="B22" s="1" t="s">
        <v>9</v>
      </c>
      <c r="D22" s="1">
        <f>D9</f>
        <v>2865</v>
      </c>
      <c r="F22" s="1">
        <f>F9</f>
        <v>2865</v>
      </c>
      <c r="H22" s="1">
        <f>H9</f>
        <v>2497</v>
      </c>
    </row>
    <row r="23" spans="1:8" x14ac:dyDescent="0.25">
      <c r="A23" s="1">
        <v>10</v>
      </c>
      <c r="B23" s="2" t="s">
        <v>11</v>
      </c>
      <c r="D23" s="3">
        <f>D14</f>
        <v>1164.5</v>
      </c>
      <c r="F23" s="3">
        <f>F14</f>
        <v>60.75</v>
      </c>
      <c r="H23" s="3">
        <v>0</v>
      </c>
    </row>
    <row r="24" spans="1:8" x14ac:dyDescent="0.25">
      <c r="A24" s="1">
        <v>11</v>
      </c>
      <c r="B24" s="1" t="s">
        <v>113</v>
      </c>
      <c r="D24" s="1">
        <f>SUM(D22:D23)</f>
        <v>4029.5</v>
      </c>
      <c r="F24" s="1">
        <f>SUM(F22:F23)</f>
        <v>2925.75</v>
      </c>
      <c r="H24" s="1">
        <f>SUM(H22:H23)</f>
        <v>2497</v>
      </c>
    </row>
    <row r="25" spans="1:8" x14ac:dyDescent="0.25">
      <c r="A25" s="1">
        <v>12</v>
      </c>
      <c r="B25" s="1" t="s">
        <v>13</v>
      </c>
      <c r="D25" s="3">
        <f>D16</f>
        <v>2597</v>
      </c>
      <c r="F25" s="3">
        <f>F16</f>
        <v>1493.25</v>
      </c>
      <c r="H25" s="3">
        <v>0</v>
      </c>
    </row>
    <row r="26" spans="1:8" x14ac:dyDescent="0.25">
      <c r="A26" s="1">
        <v>13</v>
      </c>
      <c r="B26" s="1" t="s">
        <v>14</v>
      </c>
      <c r="D26" s="5">
        <f>D24-D25</f>
        <v>1432.5</v>
      </c>
      <c r="F26" s="5">
        <f>F24-F25</f>
        <v>1432.5</v>
      </c>
      <c r="H26" s="5">
        <f>H9</f>
        <v>2497</v>
      </c>
    </row>
    <row r="28" spans="1:8" x14ac:dyDescent="0.25">
      <c r="A28" s="1">
        <v>14</v>
      </c>
      <c r="B28" s="1" t="s">
        <v>87</v>
      </c>
      <c r="D28" s="8">
        <f>355/365</f>
        <v>0.9726027397260274</v>
      </c>
      <c r="F28" s="10">
        <v>1</v>
      </c>
      <c r="H28" s="8">
        <f>(31+28+31+30)/365</f>
        <v>0.32876712328767121</v>
      </c>
    </row>
    <row r="29" spans="1:8" x14ac:dyDescent="0.25">
      <c r="A29" s="1">
        <v>15</v>
      </c>
      <c r="B29" s="1" t="s">
        <v>18</v>
      </c>
      <c r="D29" s="5">
        <f>D26*D28</f>
        <v>1393.2534246575342</v>
      </c>
      <c r="F29" s="5">
        <f>F26*F28</f>
        <v>1432.5</v>
      </c>
      <c r="H29" s="5">
        <f>H26*H28</f>
        <v>820.93150684931504</v>
      </c>
    </row>
    <row r="31" spans="1:8" ht="16.5" thickBot="1" x14ac:dyDescent="0.3">
      <c r="A31" s="1">
        <v>16</v>
      </c>
      <c r="B31" s="1" t="s">
        <v>142</v>
      </c>
      <c r="F31" s="9">
        <f>D29+F29+H29</f>
        <v>3646.6849315068494</v>
      </c>
    </row>
    <row r="32" spans="1:8" ht="16.5" thickTop="1" x14ac:dyDescent="0.25"/>
    <row r="35" spans="2:2" ht="18" x14ac:dyDescent="0.4">
      <c r="B35" s="51" t="s">
        <v>112</v>
      </c>
    </row>
    <row r="36" spans="2:2" x14ac:dyDescent="0.25">
      <c r="B36" s="1" t="s">
        <v>119</v>
      </c>
    </row>
    <row r="37" spans="2:2" x14ac:dyDescent="0.25">
      <c r="B37" s="2" t="s">
        <v>116</v>
      </c>
    </row>
    <row r="38" spans="2:2" x14ac:dyDescent="0.25">
      <c r="B38" s="2" t="s">
        <v>117</v>
      </c>
    </row>
    <row r="39" spans="2:2" x14ac:dyDescent="0.25">
      <c r="B39" s="1" t="s">
        <v>118</v>
      </c>
    </row>
  </sheetData>
  <pageMargins left="0.7" right="0.7" top="0.75" bottom="0.75" header="0.3" footer="0.3"/>
  <pageSetup scale="78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B21" sqref="B21"/>
    </sheetView>
  </sheetViews>
  <sheetFormatPr defaultRowHeight="15.75" x14ac:dyDescent="0.25"/>
  <cols>
    <col min="1" max="1" width="5.625" customWidth="1"/>
    <col min="2" max="2" width="48.625" customWidth="1"/>
    <col min="4" max="4" width="10.375" bestFit="1" customWidth="1"/>
    <col min="5" max="5" width="1.125" customWidth="1"/>
    <col min="6" max="6" width="11" customWidth="1"/>
    <col min="7" max="7" width="1.125" customWidth="1"/>
  </cols>
  <sheetData>
    <row r="1" spans="1:8" x14ac:dyDescent="0.25">
      <c r="A1" t="s">
        <v>19</v>
      </c>
      <c r="G1" s="1"/>
      <c r="H1" s="21" t="s">
        <v>105</v>
      </c>
    </row>
    <row r="2" spans="1:8" x14ac:dyDescent="0.25">
      <c r="A2" t="s">
        <v>20</v>
      </c>
      <c r="H2" s="1"/>
    </row>
    <row r="3" spans="1:8" x14ac:dyDescent="0.25">
      <c r="A3" s="1" t="s">
        <v>100</v>
      </c>
      <c r="B3" s="1"/>
      <c r="C3" s="1"/>
      <c r="D3" s="1"/>
      <c r="E3" s="1"/>
      <c r="F3" s="1"/>
      <c r="G3" s="1"/>
      <c r="H3" s="1"/>
    </row>
    <row r="4" spans="1:8" x14ac:dyDescent="0.25">
      <c r="A4" t="s">
        <v>38</v>
      </c>
      <c r="B4" s="2"/>
      <c r="C4" s="1"/>
      <c r="D4" s="1"/>
      <c r="E4" s="1"/>
      <c r="F4" s="1"/>
      <c r="G4" s="1"/>
      <c r="H4" s="1"/>
    </row>
    <row r="5" spans="1:8" x14ac:dyDescent="0.25">
      <c r="A5" s="2" t="s">
        <v>92</v>
      </c>
      <c r="B5" s="2"/>
      <c r="C5" s="1"/>
      <c r="D5" s="1"/>
      <c r="E5" s="1"/>
      <c r="F5" s="1"/>
      <c r="G5" s="1"/>
      <c r="H5" s="1"/>
    </row>
    <row r="6" spans="1:8" x14ac:dyDescent="0.25">
      <c r="B6" s="2"/>
      <c r="C6" s="1"/>
      <c r="D6" s="1"/>
      <c r="E6" s="1"/>
      <c r="F6" s="1"/>
      <c r="G6" s="1"/>
      <c r="H6" s="1"/>
    </row>
    <row r="7" spans="1:8" x14ac:dyDescent="0.25">
      <c r="A7" s="54" t="s">
        <v>23</v>
      </c>
      <c r="B7" s="3" t="s">
        <v>24</v>
      </c>
      <c r="C7" s="1"/>
      <c r="D7" s="7" t="s">
        <v>2</v>
      </c>
      <c r="E7" s="6"/>
      <c r="F7" s="7" t="s">
        <v>3</v>
      </c>
      <c r="G7" s="1"/>
      <c r="H7" s="7" t="s">
        <v>15</v>
      </c>
    </row>
    <row r="8" spans="1:8" x14ac:dyDescent="0.25">
      <c r="A8" s="1">
        <v>1</v>
      </c>
      <c r="B8" s="1" t="s">
        <v>0</v>
      </c>
      <c r="C8" s="1"/>
      <c r="D8" s="1"/>
      <c r="E8" s="1"/>
      <c r="F8" s="1"/>
      <c r="G8" s="1"/>
      <c r="H8" s="1"/>
    </row>
    <row r="9" spans="1:8" x14ac:dyDescent="0.25">
      <c r="A9" s="1"/>
      <c r="B9" s="1" t="s">
        <v>101</v>
      </c>
      <c r="C9" s="1"/>
      <c r="D9" s="1">
        <v>2865</v>
      </c>
      <c r="E9" s="1"/>
      <c r="F9" s="1">
        <f>D9</f>
        <v>2865</v>
      </c>
      <c r="G9" s="1"/>
      <c r="H9" s="1">
        <v>2497</v>
      </c>
    </row>
    <row r="11" spans="1:8" x14ac:dyDescent="0.25">
      <c r="A11">
        <v>2</v>
      </c>
      <c r="B11" s="1" t="s">
        <v>96</v>
      </c>
      <c r="D11" s="3">
        <f>'DMR-31'!D15</f>
        <v>12258.376600341837</v>
      </c>
      <c r="E11" s="1"/>
      <c r="F11" s="3">
        <f>'DMR-31'!F15</f>
        <v>12258.376600341837</v>
      </c>
      <c r="G11" s="1"/>
      <c r="H11" s="3">
        <f>'DMR-31'!H15</f>
        <v>12258.33156442369</v>
      </c>
    </row>
    <row r="12" spans="1:8" x14ac:dyDescent="0.25">
      <c r="D12" s="1"/>
      <c r="E12" s="1"/>
      <c r="F12" s="1"/>
      <c r="G12" s="1"/>
      <c r="H12" s="1"/>
    </row>
    <row r="13" spans="1:8" x14ac:dyDescent="0.25">
      <c r="A13">
        <v>3</v>
      </c>
      <c r="B13" s="1" t="s">
        <v>102</v>
      </c>
      <c r="D13" s="1">
        <f>SUM(D9:D11)</f>
        <v>15123.376600341837</v>
      </c>
      <c r="E13" s="1"/>
      <c r="F13" s="1">
        <f>SUM(F9:F11)</f>
        <v>15123.376600341837</v>
      </c>
      <c r="G13" s="1"/>
      <c r="H13" s="1">
        <f>SUM(H9:H11)</f>
        <v>14755.33156442369</v>
      </c>
    </row>
    <row r="14" spans="1:8" x14ac:dyDescent="0.25">
      <c r="A14">
        <v>4</v>
      </c>
      <c r="B14" t="s">
        <v>103</v>
      </c>
      <c r="D14" s="3">
        <f>-'DMR-32'!D16</f>
        <v>-2597</v>
      </c>
      <c r="E14" s="1"/>
      <c r="F14" s="3">
        <f>-'DMR-32'!F16</f>
        <v>-1493.25</v>
      </c>
      <c r="G14" s="1"/>
      <c r="H14" s="3">
        <v>0</v>
      </c>
    </row>
    <row r="15" spans="1:8" x14ac:dyDescent="0.25">
      <c r="A15">
        <v>5</v>
      </c>
      <c r="B15" t="s">
        <v>102</v>
      </c>
      <c r="D15" s="1">
        <f>SUM(D13:D14)</f>
        <v>12526.376600341837</v>
      </c>
      <c r="E15" s="1"/>
      <c r="F15" s="1">
        <f>SUM(F13:F14)</f>
        <v>13630.126600341837</v>
      </c>
      <c r="G15" s="1"/>
      <c r="H15" s="1">
        <f>SUM(H13:H14)</f>
        <v>14755.33156442369</v>
      </c>
    </row>
    <row r="16" spans="1:8" x14ac:dyDescent="0.25">
      <c r="A16">
        <v>6</v>
      </c>
      <c r="B16" s="1" t="s">
        <v>88</v>
      </c>
      <c r="C16" s="1"/>
      <c r="D16" s="8">
        <f>355/365</f>
        <v>0.9726027397260274</v>
      </c>
      <c r="E16" s="1"/>
      <c r="F16" s="10">
        <v>1</v>
      </c>
      <c r="G16" s="1"/>
      <c r="H16" s="8">
        <f>(31+28+31+30)/365</f>
        <v>0.32876712328767121</v>
      </c>
    </row>
    <row r="17" spans="1:8" x14ac:dyDescent="0.25">
      <c r="A17">
        <v>7</v>
      </c>
      <c r="B17" s="1" t="s">
        <v>18</v>
      </c>
      <c r="C17" s="1"/>
      <c r="D17" s="5">
        <f>D15*D16</f>
        <v>12183.188200332472</v>
      </c>
      <c r="E17" s="1"/>
      <c r="F17" s="5">
        <f>F15*F16</f>
        <v>13630.126600341837</v>
      </c>
      <c r="G17" s="1"/>
      <c r="H17" s="5">
        <f>H15*H16</f>
        <v>4851.0679115913499</v>
      </c>
    </row>
    <row r="18" spans="1:8" x14ac:dyDescent="0.25">
      <c r="B18" s="1"/>
      <c r="C18" s="1"/>
      <c r="D18" s="1"/>
      <c r="E18" s="1"/>
      <c r="F18" s="1"/>
      <c r="G18" s="1"/>
      <c r="H18" s="1"/>
    </row>
    <row r="19" spans="1:8" ht="16.5" thickBot="1" x14ac:dyDescent="0.3">
      <c r="A19">
        <v>8</v>
      </c>
      <c r="B19" s="1" t="s">
        <v>142</v>
      </c>
      <c r="C19" s="1"/>
      <c r="D19" s="1"/>
      <c r="E19" s="1"/>
      <c r="F19" s="9">
        <f>D17+F17+H17</f>
        <v>30664.382712265658</v>
      </c>
      <c r="G19" s="1"/>
      <c r="H19" s="1"/>
    </row>
    <row r="20" spans="1:8" ht="16.5" thickTop="1" x14ac:dyDescent="0.25">
      <c r="D20" s="1"/>
      <c r="E20" s="1"/>
      <c r="F20" s="1"/>
      <c r="G20" s="1"/>
      <c r="H20" s="1"/>
    </row>
    <row r="21" spans="1:8" x14ac:dyDescent="0.25">
      <c r="D21" s="1"/>
      <c r="E21" s="1"/>
      <c r="F21" s="1"/>
      <c r="G21" s="1"/>
      <c r="H21" s="1"/>
    </row>
    <row r="22" spans="1:8" x14ac:dyDescent="0.25">
      <c r="B22" s="11" t="s">
        <v>112</v>
      </c>
      <c r="D22" s="1"/>
      <c r="E22" s="1"/>
      <c r="F22" s="1"/>
      <c r="G22" s="1"/>
      <c r="H22" s="1"/>
    </row>
    <row r="23" spans="1:8" x14ac:dyDescent="0.25">
      <c r="B23" s="1" t="s">
        <v>119</v>
      </c>
      <c r="D23" s="1"/>
      <c r="E23" s="1"/>
      <c r="F23" s="1"/>
      <c r="G23" s="1"/>
      <c r="H23" s="1"/>
    </row>
    <row r="24" spans="1:8" x14ac:dyDescent="0.25">
      <c r="B24" t="s">
        <v>120</v>
      </c>
    </row>
    <row r="25" spans="1:8" x14ac:dyDescent="0.25">
      <c r="B25" t="s">
        <v>122</v>
      </c>
    </row>
    <row r="26" spans="1:8" x14ac:dyDescent="0.25">
      <c r="B26" t="s">
        <v>123</v>
      </c>
    </row>
  </sheetData>
  <pageMargins left="0.7" right="0.7" top="0.75" bottom="0.75" header="0.3" footer="0.3"/>
  <pageSetup scale="81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3" workbookViewId="0">
      <selection activeCell="H18" sqref="H18"/>
    </sheetView>
  </sheetViews>
  <sheetFormatPr defaultRowHeight="15.75" x14ac:dyDescent="0.25"/>
  <cols>
    <col min="1" max="1" width="5.625" customWidth="1"/>
    <col min="2" max="2" width="48.875" customWidth="1"/>
    <col min="5" max="5" width="1.125" customWidth="1"/>
    <col min="7" max="7" width="1.125" customWidth="1"/>
  </cols>
  <sheetData>
    <row r="1" spans="1:11" x14ac:dyDescent="0.25">
      <c r="A1" t="s">
        <v>19</v>
      </c>
      <c r="H1" s="21" t="s">
        <v>104</v>
      </c>
    </row>
    <row r="2" spans="1:11" x14ac:dyDescent="0.25">
      <c r="A2" s="1" t="s">
        <v>98</v>
      </c>
    </row>
    <row r="3" spans="1:11" x14ac:dyDescent="0.25">
      <c r="A3" t="s">
        <v>36</v>
      </c>
      <c r="C3" s="1"/>
      <c r="D3" s="1"/>
      <c r="E3" s="1"/>
      <c r="F3" s="1"/>
      <c r="G3" s="1"/>
    </row>
    <row r="4" spans="1:11" x14ac:dyDescent="0.25">
      <c r="A4" s="2" t="s">
        <v>92</v>
      </c>
      <c r="B4" s="2"/>
      <c r="C4" s="1"/>
      <c r="D4" s="1"/>
      <c r="E4" s="1"/>
      <c r="F4" s="1"/>
      <c r="G4" s="1"/>
    </row>
    <row r="5" spans="1:11" x14ac:dyDescent="0.25">
      <c r="A5" s="1"/>
      <c r="B5" s="2"/>
      <c r="C5" s="1"/>
      <c r="D5" s="1"/>
      <c r="E5" s="1"/>
      <c r="F5" s="1"/>
      <c r="G5" s="1"/>
      <c r="K5" s="2"/>
    </row>
    <row r="6" spans="1:11" x14ac:dyDescent="0.25">
      <c r="A6" s="1"/>
      <c r="B6" s="2"/>
      <c r="C6" s="1"/>
      <c r="D6" s="1"/>
      <c r="E6" s="1"/>
      <c r="F6" s="1"/>
      <c r="G6" s="1"/>
      <c r="K6" s="2"/>
    </row>
    <row r="7" spans="1:11" x14ac:dyDescent="0.25">
      <c r="A7" s="1"/>
      <c r="B7" s="1"/>
      <c r="C7" s="1"/>
      <c r="D7" s="7" t="s">
        <v>2</v>
      </c>
      <c r="E7" s="6"/>
      <c r="F7" s="7" t="s">
        <v>3</v>
      </c>
      <c r="G7" s="1"/>
      <c r="H7" s="7" t="s">
        <v>15</v>
      </c>
    </row>
    <row r="8" spans="1:11" x14ac:dyDescent="0.25">
      <c r="A8" s="1">
        <v>1</v>
      </c>
      <c r="B8" s="1" t="s">
        <v>0</v>
      </c>
      <c r="C8" s="1"/>
      <c r="D8" s="1"/>
      <c r="E8" s="1"/>
      <c r="F8" s="1"/>
      <c r="G8" s="1"/>
      <c r="H8" s="1"/>
    </row>
    <row r="9" spans="1:11" x14ac:dyDescent="0.25">
      <c r="A9" s="1"/>
      <c r="B9" s="1" t="s">
        <v>1</v>
      </c>
      <c r="C9" s="1"/>
      <c r="D9" s="1">
        <v>3416</v>
      </c>
      <c r="E9" s="1"/>
      <c r="F9" s="1">
        <f>D9</f>
        <v>3416</v>
      </c>
      <c r="G9" s="1"/>
      <c r="H9" s="1">
        <v>2976</v>
      </c>
    </row>
    <row r="10" spans="1:11" x14ac:dyDescent="0.25">
      <c r="A10" s="1"/>
      <c r="B10" s="1"/>
      <c r="C10" s="1"/>
      <c r="D10" s="1"/>
      <c r="E10" s="1"/>
      <c r="F10" s="1"/>
      <c r="G10" s="1"/>
    </row>
    <row r="11" spans="1:11" x14ac:dyDescent="0.25">
      <c r="A11" s="1">
        <v>2</v>
      </c>
      <c r="B11" s="1" t="s">
        <v>4</v>
      </c>
      <c r="C11" s="1"/>
      <c r="D11" s="1">
        <v>5854.7</v>
      </c>
      <c r="E11" s="1"/>
      <c r="F11" s="1">
        <v>5199.8</v>
      </c>
      <c r="G11" s="1"/>
      <c r="H11" s="13" t="s">
        <v>86</v>
      </c>
    </row>
    <row r="12" spans="1:11" x14ac:dyDescent="0.25">
      <c r="A12" s="1">
        <v>3</v>
      </c>
      <c r="B12" s="1" t="s">
        <v>6</v>
      </c>
      <c r="C12" s="1"/>
      <c r="D12" s="3">
        <f>-D9</f>
        <v>-3416</v>
      </c>
      <c r="E12" s="1"/>
      <c r="F12" s="3">
        <f>-F9</f>
        <v>-3416</v>
      </c>
      <c r="G12" s="1"/>
    </row>
    <row r="13" spans="1:11" x14ac:dyDescent="0.25">
      <c r="A13" s="1">
        <v>4</v>
      </c>
      <c r="B13" s="1" t="s">
        <v>5</v>
      </c>
      <c r="C13" s="1"/>
      <c r="D13" s="1">
        <f>SUM(D11:D12)</f>
        <v>2438.6999999999998</v>
      </c>
      <c r="E13" s="1"/>
      <c r="F13" s="1">
        <f>SUM(F11:F12)</f>
        <v>1783.8000000000002</v>
      </c>
      <c r="G13" s="1"/>
    </row>
    <row r="14" spans="1:11" x14ac:dyDescent="0.25">
      <c r="A14" s="1">
        <v>5</v>
      </c>
      <c r="B14" s="2" t="s">
        <v>7</v>
      </c>
      <c r="C14" s="1"/>
      <c r="D14" s="1">
        <f>D13*0.5</f>
        <v>1219.3499999999999</v>
      </c>
      <c r="E14" s="1"/>
      <c r="F14" s="1">
        <f>F13*0.5</f>
        <v>891.90000000000009</v>
      </c>
      <c r="G14" s="1"/>
    </row>
    <row r="15" spans="1:11" x14ac:dyDescent="0.25">
      <c r="A15" s="1"/>
      <c r="B15" s="1"/>
      <c r="C15" s="1"/>
      <c r="D15" s="1"/>
      <c r="E15" s="1"/>
      <c r="F15" s="1"/>
      <c r="G15" s="1"/>
    </row>
    <row r="16" spans="1:11" x14ac:dyDescent="0.25">
      <c r="A16" s="1">
        <v>6</v>
      </c>
      <c r="B16" s="1" t="s">
        <v>12</v>
      </c>
      <c r="C16" s="1"/>
      <c r="D16" s="1">
        <f>D11*0.5</f>
        <v>2927.35</v>
      </c>
      <c r="E16" s="1"/>
      <c r="F16" s="1">
        <f>F11*0.5</f>
        <v>2599.9</v>
      </c>
      <c r="G16" s="1"/>
    </row>
    <row r="17" spans="1:8" x14ac:dyDescent="0.25">
      <c r="A17" s="1">
        <v>7</v>
      </c>
      <c r="B17" s="2" t="s">
        <v>10</v>
      </c>
      <c r="C17" s="1"/>
      <c r="D17" s="3">
        <f>-D14</f>
        <v>-1219.3499999999999</v>
      </c>
      <c r="E17" s="1"/>
      <c r="F17" s="3">
        <f>-F14</f>
        <v>-891.90000000000009</v>
      </c>
      <c r="G17" s="1"/>
    </row>
    <row r="18" spans="1:8" x14ac:dyDescent="0.25">
      <c r="A18" s="1">
        <v>8</v>
      </c>
      <c r="B18" s="1" t="s">
        <v>8</v>
      </c>
      <c r="C18" s="1"/>
      <c r="D18" s="1">
        <f>D16+D17</f>
        <v>1708</v>
      </c>
      <c r="E18" s="1"/>
      <c r="F18" s="1">
        <f>F16+F17</f>
        <v>1708</v>
      </c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ht="20.25" x14ac:dyDescent="0.55000000000000004">
      <c r="A21" s="1"/>
      <c r="B21" s="4" t="s">
        <v>17</v>
      </c>
      <c r="C21" s="1"/>
      <c r="D21" s="1"/>
      <c r="E21" s="1"/>
      <c r="F21" s="1"/>
      <c r="G21" s="1"/>
    </row>
    <row r="22" spans="1:8" x14ac:dyDescent="0.25">
      <c r="A22" s="1">
        <v>9</v>
      </c>
      <c r="B22" s="1" t="s">
        <v>9</v>
      </c>
      <c r="C22" s="1"/>
      <c r="D22" s="1">
        <f>D9</f>
        <v>3416</v>
      </c>
      <c r="E22" s="1"/>
      <c r="F22" s="1">
        <f>F9</f>
        <v>3416</v>
      </c>
      <c r="G22" s="1"/>
      <c r="H22" s="52">
        <f>H9</f>
        <v>2976</v>
      </c>
    </row>
    <row r="23" spans="1:8" x14ac:dyDescent="0.25">
      <c r="A23" s="1">
        <v>10</v>
      </c>
      <c r="B23" s="2" t="s">
        <v>11</v>
      </c>
      <c r="C23" s="1"/>
      <c r="D23" s="3">
        <f>D14</f>
        <v>1219.3499999999999</v>
      </c>
      <c r="E23" s="1"/>
      <c r="F23" s="3">
        <f>F14</f>
        <v>891.90000000000009</v>
      </c>
      <c r="G23" s="1"/>
    </row>
    <row r="24" spans="1:8" x14ac:dyDescent="0.25">
      <c r="A24" s="1">
        <v>11</v>
      </c>
      <c r="B24" s="1" t="s">
        <v>113</v>
      </c>
      <c r="C24" s="1"/>
      <c r="D24" s="1">
        <f>SUM(D22:D23)</f>
        <v>4635.3500000000004</v>
      </c>
      <c r="E24" s="1"/>
      <c r="F24" s="1">
        <f>SUM(F22:F23)</f>
        <v>4307.8999999999996</v>
      </c>
      <c r="G24" s="1"/>
    </row>
    <row r="25" spans="1:8" x14ac:dyDescent="0.25">
      <c r="A25" s="1">
        <v>12</v>
      </c>
      <c r="B25" s="1" t="s">
        <v>13</v>
      </c>
      <c r="C25" s="1"/>
      <c r="D25" s="3">
        <f>D16</f>
        <v>2927.35</v>
      </c>
      <c r="E25" s="1"/>
      <c r="F25" s="3">
        <f>F16</f>
        <v>2599.9</v>
      </c>
      <c r="G25" s="1"/>
      <c r="H25" s="3"/>
    </row>
    <row r="26" spans="1:8" x14ac:dyDescent="0.25">
      <c r="A26" s="1">
        <v>13</v>
      </c>
      <c r="B26" s="1" t="s">
        <v>14</v>
      </c>
      <c r="C26" s="1"/>
      <c r="D26" s="5">
        <f>D24-D25</f>
        <v>1708.0000000000005</v>
      </c>
      <c r="E26" s="1"/>
      <c r="F26" s="5">
        <f>F24-F25</f>
        <v>1707.9999999999995</v>
      </c>
      <c r="G26" s="1"/>
      <c r="H26" s="5">
        <f>H9</f>
        <v>2976</v>
      </c>
    </row>
    <row r="27" spans="1:8" x14ac:dyDescent="0.25">
      <c r="A27" s="1"/>
      <c r="B27" s="1"/>
      <c r="C27" s="1"/>
      <c r="D27" s="1"/>
      <c r="E27" s="1"/>
      <c r="F27" s="1"/>
      <c r="G27" s="1"/>
    </row>
    <row r="28" spans="1:8" x14ac:dyDescent="0.25">
      <c r="A28" s="1">
        <v>14</v>
      </c>
      <c r="B28" s="1" t="s">
        <v>87</v>
      </c>
      <c r="C28" s="1"/>
      <c r="D28" s="8">
        <f>355/365</f>
        <v>0.9726027397260274</v>
      </c>
      <c r="E28" s="1"/>
      <c r="F28" s="10">
        <v>1</v>
      </c>
      <c r="G28" s="1"/>
      <c r="H28" s="8">
        <f>(31+28+31+30)/365</f>
        <v>0.32876712328767121</v>
      </c>
    </row>
    <row r="29" spans="1:8" x14ac:dyDescent="0.25">
      <c r="A29" s="1">
        <v>15</v>
      </c>
      <c r="B29" s="1" t="s">
        <v>18</v>
      </c>
      <c r="C29" s="1"/>
      <c r="D29" s="5">
        <f>D26*D28</f>
        <v>1661.2054794520552</v>
      </c>
      <c r="E29" s="1"/>
      <c r="F29" s="5">
        <f>F26*F28</f>
        <v>1707.9999999999995</v>
      </c>
      <c r="G29" s="1"/>
      <c r="H29" s="5">
        <f>H26*H28</f>
        <v>978.41095890410952</v>
      </c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ht="16.5" thickBot="1" x14ac:dyDescent="0.3">
      <c r="A31" s="1">
        <v>16</v>
      </c>
      <c r="B31" s="1" t="s">
        <v>143</v>
      </c>
      <c r="C31" s="1"/>
      <c r="D31" s="1"/>
      <c r="E31" s="1"/>
      <c r="F31" s="9">
        <f>D29+F29+H29</f>
        <v>4347.6164383561645</v>
      </c>
      <c r="G31" s="1"/>
      <c r="H31" s="1"/>
    </row>
    <row r="32" spans="1:8" ht="16.5" thickTop="1" x14ac:dyDescent="0.25">
      <c r="B32" s="1"/>
      <c r="C32" s="1"/>
      <c r="D32" s="1"/>
      <c r="E32" s="1"/>
      <c r="F32" s="1"/>
      <c r="G32" s="1"/>
      <c r="H32" s="1"/>
    </row>
    <row r="33" spans="2:8" ht="18" x14ac:dyDescent="0.4">
      <c r="B33" s="51" t="s">
        <v>112</v>
      </c>
      <c r="C33" s="1"/>
      <c r="D33" s="1"/>
      <c r="E33" s="1"/>
      <c r="F33" s="1"/>
      <c r="G33" s="1"/>
      <c r="H33" s="1"/>
    </row>
    <row r="34" spans="2:8" x14ac:dyDescent="0.25">
      <c r="B34" s="1" t="s">
        <v>124</v>
      </c>
    </row>
    <row r="35" spans="2:8" x14ac:dyDescent="0.25">
      <c r="B35" s="2" t="s">
        <v>125</v>
      </c>
    </row>
    <row r="36" spans="2:8" x14ac:dyDescent="0.25">
      <c r="B36" s="2" t="s">
        <v>126</v>
      </c>
    </row>
  </sheetData>
  <pageMargins left="0.7" right="0.7" top="0.75" bottom="0.75" header="0.3" footer="0.3"/>
  <pageSetup scale="7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I9" sqref="I9"/>
    </sheetView>
  </sheetViews>
  <sheetFormatPr defaultRowHeight="15.75" x14ac:dyDescent="0.25"/>
  <cols>
    <col min="1" max="1" width="4.75" customWidth="1"/>
    <col min="2" max="2" width="2.875" customWidth="1"/>
    <col min="4" max="4" width="21.125" customWidth="1"/>
    <col min="5" max="5" width="10.375" bestFit="1" customWidth="1"/>
    <col min="6" max="6" width="1.75" customWidth="1"/>
    <col min="7" max="7" width="13.375" customWidth="1"/>
  </cols>
  <sheetData>
    <row r="1" spans="1:7" x14ac:dyDescent="0.25">
      <c r="A1" s="23" t="s">
        <v>52</v>
      </c>
      <c r="B1" s="23"/>
      <c r="C1" s="23"/>
      <c r="D1" s="23"/>
      <c r="E1" s="24"/>
    </row>
    <row r="2" spans="1:7" x14ac:dyDescent="0.25">
      <c r="A2" s="23" t="s">
        <v>53</v>
      </c>
      <c r="B2" s="23"/>
      <c r="C2" s="23"/>
      <c r="D2" s="23"/>
      <c r="E2" s="24"/>
    </row>
    <row r="3" spans="1:7" x14ac:dyDescent="0.25">
      <c r="A3" s="25" t="s">
        <v>54</v>
      </c>
      <c r="B3" s="25"/>
      <c r="C3" s="25"/>
      <c r="D3" s="25"/>
      <c r="E3" s="26"/>
    </row>
    <row r="4" spans="1:7" x14ac:dyDescent="0.25">
      <c r="A4" s="27"/>
      <c r="B4" s="27"/>
      <c r="C4" s="27"/>
      <c r="D4" s="27"/>
      <c r="E4" s="28"/>
    </row>
    <row r="5" spans="1:7" x14ac:dyDescent="0.25">
      <c r="A5" s="29" t="s">
        <v>55</v>
      </c>
      <c r="B5" s="29"/>
      <c r="C5" s="29"/>
      <c r="D5" s="29"/>
      <c r="E5" s="30"/>
      <c r="G5" s="13" t="s">
        <v>66</v>
      </c>
    </row>
    <row r="6" spans="1:7" x14ac:dyDescent="0.25">
      <c r="A6" s="31" t="s">
        <v>56</v>
      </c>
      <c r="B6" s="29"/>
      <c r="C6" s="31" t="s">
        <v>24</v>
      </c>
      <c r="D6" s="32"/>
      <c r="E6" s="33" t="s">
        <v>57</v>
      </c>
      <c r="G6" s="14" t="s">
        <v>42</v>
      </c>
    </row>
    <row r="7" spans="1:7" x14ac:dyDescent="0.25">
      <c r="A7" s="27"/>
      <c r="B7" s="27"/>
      <c r="C7" s="27"/>
      <c r="D7" s="27"/>
      <c r="E7" s="28" t="s">
        <v>70</v>
      </c>
      <c r="G7" t="s">
        <v>71</v>
      </c>
    </row>
    <row r="8" spans="1:7" x14ac:dyDescent="0.25">
      <c r="A8" s="34">
        <v>1</v>
      </c>
      <c r="B8" s="27"/>
      <c r="C8" s="35" t="s">
        <v>58</v>
      </c>
      <c r="D8" s="27"/>
      <c r="E8" s="36">
        <v>1</v>
      </c>
      <c r="G8" s="36">
        <v>1</v>
      </c>
    </row>
    <row r="9" spans="1:7" x14ac:dyDescent="0.25">
      <c r="A9" s="34"/>
      <c r="B9" s="27"/>
      <c r="C9" s="27"/>
      <c r="D9" s="27"/>
      <c r="E9" s="36"/>
      <c r="G9" s="36"/>
    </row>
    <row r="10" spans="1:7" x14ac:dyDescent="0.25">
      <c r="A10" s="34"/>
      <c r="B10" s="27"/>
      <c r="C10" s="37" t="s">
        <v>59</v>
      </c>
      <c r="D10" s="38"/>
      <c r="E10" s="36"/>
      <c r="G10" s="36"/>
    </row>
    <row r="11" spans="1:7" x14ac:dyDescent="0.25">
      <c r="A11" s="34">
        <v>2</v>
      </c>
      <c r="B11" s="27"/>
      <c r="C11" s="38" t="s">
        <v>60</v>
      </c>
      <c r="D11" s="38"/>
      <c r="E11" s="38">
        <v>5.3540000000000003E-3</v>
      </c>
      <c r="G11" s="38">
        <v>5.3540000000000003E-3</v>
      </c>
    </row>
    <row r="12" spans="1:7" x14ac:dyDescent="0.25">
      <c r="A12" s="34"/>
      <c r="B12" s="27"/>
      <c r="C12" s="38"/>
      <c r="D12" s="38"/>
      <c r="E12" s="38"/>
      <c r="G12" s="38"/>
    </row>
    <row r="13" spans="1:7" x14ac:dyDescent="0.25">
      <c r="A13" s="34">
        <v>3</v>
      </c>
      <c r="B13" s="27"/>
      <c r="C13" s="38" t="s">
        <v>61</v>
      </c>
      <c r="D13" s="38"/>
      <c r="E13" s="38">
        <v>2E-3</v>
      </c>
      <c r="G13" s="38">
        <v>2E-3</v>
      </c>
    </row>
    <row r="14" spans="1:7" x14ac:dyDescent="0.25">
      <c r="A14" s="34"/>
      <c r="B14" s="27"/>
      <c r="C14" s="38"/>
      <c r="D14" s="38"/>
      <c r="E14" s="38"/>
      <c r="G14" s="38"/>
    </row>
    <row r="15" spans="1:7" x14ac:dyDescent="0.25">
      <c r="A15" s="34">
        <v>4</v>
      </c>
      <c r="B15" s="27"/>
      <c r="C15" s="38" t="s">
        <v>62</v>
      </c>
      <c r="D15" s="38"/>
      <c r="E15" s="38">
        <v>3.8314000000000001E-2</v>
      </c>
      <c r="G15" s="38">
        <v>3.8314000000000001E-2</v>
      </c>
    </row>
    <row r="16" spans="1:7" x14ac:dyDescent="0.25">
      <c r="A16" s="34"/>
      <c r="B16" s="27"/>
      <c r="C16" s="38"/>
      <c r="D16" s="38"/>
      <c r="E16" s="38"/>
      <c r="G16" s="38"/>
    </row>
    <row r="17" spans="1:7" x14ac:dyDescent="0.25">
      <c r="A17" s="34">
        <v>5</v>
      </c>
      <c r="B17" s="27"/>
      <c r="C17" s="38" t="s">
        <v>63</v>
      </c>
      <c r="D17" s="38"/>
      <c r="E17" s="39">
        <f>SUM(E11:E15)</f>
        <v>4.5668E-2</v>
      </c>
      <c r="G17" s="39">
        <f>SUM(G11:G15)</f>
        <v>4.5668E-2</v>
      </c>
    </row>
    <row r="18" spans="1:7" x14ac:dyDescent="0.25">
      <c r="A18" s="34"/>
      <c r="B18" s="27"/>
      <c r="C18" s="38"/>
      <c r="D18" s="38"/>
      <c r="E18" s="40"/>
      <c r="G18" s="40"/>
    </row>
    <row r="19" spans="1:7" x14ac:dyDescent="0.25">
      <c r="A19" s="34">
        <v>6</v>
      </c>
      <c r="B19" s="27"/>
      <c r="C19" s="38" t="s">
        <v>64</v>
      </c>
      <c r="D19" s="38"/>
      <c r="E19" s="40">
        <f>E8-E17</f>
        <v>0.95433199999999996</v>
      </c>
      <c r="G19" s="40">
        <f>G8-G17</f>
        <v>0.95433199999999996</v>
      </c>
    </row>
    <row r="20" spans="1:7" x14ac:dyDescent="0.25">
      <c r="A20" s="27"/>
      <c r="B20" s="27"/>
      <c r="C20" s="38"/>
      <c r="D20" s="38"/>
      <c r="E20" s="40"/>
      <c r="G20" s="40"/>
    </row>
    <row r="21" spans="1:7" x14ac:dyDescent="0.25">
      <c r="A21" s="34">
        <v>7</v>
      </c>
      <c r="B21" s="27"/>
      <c r="C21" s="38" t="s">
        <v>67</v>
      </c>
      <c r="D21" s="41"/>
      <c r="E21" s="42">
        <f>ROUND(E19*0.35,6)</f>
        <v>0.33401599999999998</v>
      </c>
      <c r="G21" s="42">
        <f>ROUND(G19*0.21,6)</f>
        <v>0.20041</v>
      </c>
    </row>
    <row r="22" spans="1:7" x14ac:dyDescent="0.25">
      <c r="A22" s="27"/>
      <c r="B22" s="27"/>
      <c r="C22" s="38"/>
      <c r="D22" s="38"/>
      <c r="E22" s="40"/>
      <c r="G22" s="40"/>
    </row>
    <row r="23" spans="1:7" ht="16.5" thickBot="1" x14ac:dyDescent="0.3">
      <c r="A23" s="34">
        <v>8</v>
      </c>
      <c r="B23" s="27"/>
      <c r="C23" s="37" t="s">
        <v>65</v>
      </c>
      <c r="D23" s="38"/>
      <c r="E23" s="43">
        <f>ROUND(E19-E21,5)</f>
        <v>0.62031999999999998</v>
      </c>
      <c r="G23" s="43">
        <f>ROUND(G19-G21,5)</f>
        <v>0.75392000000000003</v>
      </c>
    </row>
    <row r="24" spans="1:7" ht="16.5" thickTop="1" x14ac:dyDescent="0.25"/>
    <row r="26" spans="1:7" x14ac:dyDescent="0.25">
      <c r="C26" t="s">
        <v>72</v>
      </c>
    </row>
    <row r="27" spans="1:7" x14ac:dyDescent="0.25">
      <c r="C27" t="s">
        <v>73</v>
      </c>
    </row>
    <row r="28" spans="1:7" x14ac:dyDescent="0.25">
      <c r="A28" s="23"/>
      <c r="B28" s="23"/>
      <c r="C28" s="23"/>
      <c r="D28" s="23"/>
      <c r="E28" s="24"/>
    </row>
    <row r="29" spans="1:7" x14ac:dyDescent="0.25">
      <c r="A29" s="56" t="s">
        <v>52</v>
      </c>
      <c r="B29" s="56"/>
      <c r="C29" s="56"/>
      <c r="D29" s="56"/>
      <c r="E29" s="56"/>
    </row>
    <row r="30" spans="1:7" x14ac:dyDescent="0.25">
      <c r="A30" s="56" t="s">
        <v>69</v>
      </c>
      <c r="B30" s="56"/>
      <c r="C30" s="56"/>
      <c r="D30" s="56"/>
      <c r="E30" s="56"/>
    </row>
    <row r="31" spans="1:7" x14ac:dyDescent="0.25">
      <c r="A31" s="57" t="s">
        <v>54</v>
      </c>
      <c r="B31" s="58"/>
      <c r="C31" s="57"/>
      <c r="D31" s="57"/>
      <c r="E31" s="57"/>
    </row>
    <row r="32" spans="1:7" x14ac:dyDescent="0.25">
      <c r="A32" s="27"/>
      <c r="B32" s="27"/>
      <c r="C32" s="27"/>
      <c r="D32" s="27"/>
      <c r="E32" s="28"/>
    </row>
    <row r="33" spans="1:7" x14ac:dyDescent="0.25">
      <c r="A33" s="29" t="s">
        <v>55</v>
      </c>
      <c r="B33" s="29"/>
      <c r="C33" s="29"/>
      <c r="D33" s="29"/>
      <c r="E33" s="30"/>
      <c r="G33" s="13" t="s">
        <v>66</v>
      </c>
    </row>
    <row r="34" spans="1:7" x14ac:dyDescent="0.25">
      <c r="A34" s="31" t="s">
        <v>56</v>
      </c>
      <c r="B34" s="29"/>
      <c r="C34" s="31" t="s">
        <v>24</v>
      </c>
      <c r="D34" s="32"/>
      <c r="E34" s="33" t="s">
        <v>57</v>
      </c>
      <c r="G34" s="14" t="s">
        <v>42</v>
      </c>
    </row>
    <row r="35" spans="1:7" x14ac:dyDescent="0.25">
      <c r="A35" s="27"/>
      <c r="B35" s="27"/>
      <c r="C35" s="27"/>
      <c r="D35" s="27"/>
      <c r="E35" s="28" t="s">
        <v>70</v>
      </c>
      <c r="G35" t="s">
        <v>71</v>
      </c>
    </row>
    <row r="36" spans="1:7" x14ac:dyDescent="0.25">
      <c r="A36" s="34">
        <v>1</v>
      </c>
      <c r="B36" s="27"/>
      <c r="C36" s="35" t="s">
        <v>58</v>
      </c>
      <c r="D36" s="27"/>
      <c r="E36" s="36">
        <v>1</v>
      </c>
      <c r="G36" s="36">
        <v>1</v>
      </c>
    </row>
    <row r="37" spans="1:7" x14ac:dyDescent="0.25">
      <c r="A37" s="34"/>
      <c r="B37" s="27"/>
      <c r="C37" s="27"/>
      <c r="D37" s="27"/>
      <c r="E37" s="36"/>
      <c r="G37" s="36"/>
    </row>
    <row r="38" spans="1:7" x14ac:dyDescent="0.25">
      <c r="A38" s="34"/>
      <c r="B38" s="27"/>
      <c r="C38" s="37" t="s">
        <v>59</v>
      </c>
      <c r="D38" s="38"/>
      <c r="E38" s="36"/>
      <c r="G38" s="36"/>
    </row>
    <row r="39" spans="1:7" x14ac:dyDescent="0.25">
      <c r="A39" s="34">
        <v>2</v>
      </c>
      <c r="B39" s="27"/>
      <c r="C39" s="38" t="s">
        <v>60</v>
      </c>
      <c r="D39" s="38"/>
      <c r="E39" s="38">
        <v>5.3530000000000001E-3</v>
      </c>
      <c r="G39" s="38">
        <v>5.3530000000000001E-3</v>
      </c>
    </row>
    <row r="40" spans="1:7" x14ac:dyDescent="0.25">
      <c r="A40" s="34"/>
      <c r="B40" s="27"/>
      <c r="C40" s="38"/>
      <c r="D40" s="38"/>
      <c r="E40" s="38"/>
      <c r="G40" s="38"/>
    </row>
    <row r="41" spans="1:7" x14ac:dyDescent="0.25">
      <c r="A41" s="34">
        <v>3</v>
      </c>
      <c r="B41" s="27"/>
      <c r="C41" s="38" t="s">
        <v>61</v>
      </c>
      <c r="D41" s="38"/>
      <c r="E41" s="38">
        <v>2E-3</v>
      </c>
      <c r="G41" s="38">
        <v>2E-3</v>
      </c>
    </row>
    <row r="42" spans="1:7" x14ac:dyDescent="0.25">
      <c r="A42" s="34"/>
      <c r="B42" s="27"/>
      <c r="C42" s="38"/>
      <c r="D42" s="38"/>
      <c r="E42" s="38"/>
      <c r="G42" s="38"/>
    </row>
    <row r="43" spans="1:7" x14ac:dyDescent="0.25">
      <c r="A43" s="34">
        <v>4</v>
      </c>
      <c r="B43" s="27"/>
      <c r="C43" s="38" t="s">
        <v>62</v>
      </c>
      <c r="D43" s="38"/>
      <c r="E43" s="38">
        <v>3.8526999999999999E-2</v>
      </c>
      <c r="G43" s="38">
        <v>3.8526999999999999E-2</v>
      </c>
    </row>
    <row r="44" spans="1:7" x14ac:dyDescent="0.25">
      <c r="A44" s="34"/>
      <c r="B44" s="27"/>
      <c r="C44" s="38"/>
      <c r="D44" s="38"/>
      <c r="E44" s="38"/>
      <c r="G44" s="38"/>
    </row>
    <row r="45" spans="1:7" x14ac:dyDescent="0.25">
      <c r="A45" s="34">
        <v>5</v>
      </c>
      <c r="B45" s="27"/>
      <c r="C45" s="38" t="s">
        <v>63</v>
      </c>
      <c r="D45" s="38"/>
      <c r="E45" s="39">
        <f>SUM(E39:E43)</f>
        <v>4.5879999999999997E-2</v>
      </c>
      <c r="G45" s="39">
        <f>SUM(G39:G43)</f>
        <v>4.5879999999999997E-2</v>
      </c>
    </row>
    <row r="46" spans="1:7" x14ac:dyDescent="0.25">
      <c r="A46" s="34"/>
      <c r="B46" s="27"/>
      <c r="C46" s="38"/>
      <c r="D46" s="38"/>
      <c r="E46" s="40"/>
      <c r="G46" s="40"/>
    </row>
    <row r="47" spans="1:7" x14ac:dyDescent="0.25">
      <c r="A47" s="34">
        <v>6</v>
      </c>
      <c r="B47" s="27"/>
      <c r="C47" s="38" t="s">
        <v>64</v>
      </c>
      <c r="D47" s="38"/>
      <c r="E47" s="40">
        <f>E36-E45</f>
        <v>0.95411999999999997</v>
      </c>
      <c r="G47" s="40">
        <f>G36-G45</f>
        <v>0.95411999999999997</v>
      </c>
    </row>
    <row r="48" spans="1:7" x14ac:dyDescent="0.25">
      <c r="A48" s="27"/>
      <c r="B48" s="27"/>
      <c r="C48" s="38"/>
      <c r="D48" s="38"/>
      <c r="E48" s="40"/>
      <c r="G48" s="40"/>
    </row>
    <row r="49" spans="1:7" x14ac:dyDescent="0.25">
      <c r="A49" s="34">
        <v>7</v>
      </c>
      <c r="B49" s="27"/>
      <c r="C49" s="38" t="s">
        <v>67</v>
      </c>
      <c r="D49" s="41"/>
      <c r="E49" s="42">
        <f>ROUND(E47*0.35,6)</f>
        <v>0.33394200000000002</v>
      </c>
      <c r="G49" s="42">
        <f>ROUND(G47*0.21,6)</f>
        <v>0.20036499999999999</v>
      </c>
    </row>
    <row r="50" spans="1:7" x14ac:dyDescent="0.25">
      <c r="A50" s="27"/>
      <c r="B50" s="27"/>
      <c r="C50" s="38"/>
      <c r="D50" s="38"/>
      <c r="E50" s="40"/>
      <c r="G50" s="40"/>
    </row>
    <row r="51" spans="1:7" ht="16.5" thickBot="1" x14ac:dyDescent="0.3">
      <c r="A51" s="34">
        <v>8</v>
      </c>
      <c r="B51" s="27"/>
      <c r="C51" s="37" t="s">
        <v>65</v>
      </c>
      <c r="D51" s="38"/>
      <c r="E51" s="44">
        <f>ROUND(E47-E49,5)</f>
        <v>0.62017999999999995</v>
      </c>
      <c r="G51" s="44">
        <f>ROUND(G47-G49,5)</f>
        <v>0.75375999999999999</v>
      </c>
    </row>
    <row r="52" spans="1:7" ht="16.5" thickTop="1" x14ac:dyDescent="0.25">
      <c r="A52" s="45"/>
      <c r="B52" s="45"/>
      <c r="C52" s="45"/>
      <c r="D52" s="45"/>
      <c r="E52" s="45"/>
    </row>
    <row r="53" spans="1:7" x14ac:dyDescent="0.25">
      <c r="A53" s="45"/>
      <c r="B53" s="45"/>
      <c r="C53" t="s">
        <v>74</v>
      </c>
      <c r="D53" s="45"/>
      <c r="E53" s="45"/>
    </row>
    <row r="54" spans="1:7" x14ac:dyDescent="0.25">
      <c r="C54" t="s">
        <v>73</v>
      </c>
    </row>
  </sheetData>
  <mergeCells count="3">
    <mergeCell ref="A29:E29"/>
    <mergeCell ref="A30:E30"/>
    <mergeCell ref="A31:E31"/>
  </mergeCells>
  <pageMargins left="0.7" right="0.7" top="0.75" bottom="0.75" header="0.3" footer="0.3"/>
  <pageSetup scale="83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SignificantOrder xmlns="dc463f71-b30c-4ab2-9473-d307f9d35888">false</SignificantOrder>
    <Date1 xmlns="dc463f71-b30c-4ab2-9473-d307f9d35888">2019-09-13T07:00:00+00:00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B69A0C-348B-465A-8C7A-92C40719B9A2}"/>
</file>

<file path=customXml/itemProps2.xml><?xml version="1.0" encoding="utf-8"?>
<ds:datastoreItem xmlns:ds="http://schemas.openxmlformats.org/officeDocument/2006/customXml" ds:itemID="{531B6F68-3089-4CE2-8616-AD3E70C83CDB}"/>
</file>

<file path=customXml/itemProps3.xml><?xml version="1.0" encoding="utf-8"?>
<ds:datastoreItem xmlns:ds="http://schemas.openxmlformats.org/officeDocument/2006/customXml" ds:itemID="{E742B94A-D923-406C-B768-27968C4FCB42}"/>
</file>

<file path=customXml/itemProps4.xml><?xml version="1.0" encoding="utf-8"?>
<ds:datastoreItem xmlns:ds="http://schemas.openxmlformats.org/officeDocument/2006/customXml" ds:itemID="{C2339E70-5F75-41FF-8638-50B45AFAA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DMR-28</vt:lpstr>
      <vt:lpstr>DMR-29</vt:lpstr>
      <vt:lpstr>DMR-30</vt:lpstr>
      <vt:lpstr>DMR-31</vt:lpstr>
      <vt:lpstr>DMR-32</vt:lpstr>
      <vt:lpstr>DMR-33</vt:lpstr>
      <vt:lpstr>DMR-34</vt:lpstr>
      <vt:lpstr>GRFC_WP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Mak, Chanda (ATG)</cp:lastModifiedBy>
  <cp:lastPrinted>2019-08-29T20:22:54Z</cp:lastPrinted>
  <dcterms:created xsi:type="dcterms:W3CDTF">2019-08-05T16:06:09Z</dcterms:created>
  <dcterms:modified xsi:type="dcterms:W3CDTF">2019-09-10T17:00:48Z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