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tyles.xml" ContentType="application/vnd.openxmlformats-officedocument.spreadsheetml.styles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2019 GRC Supplemental Filing WP\"/>
    </mc:Choice>
  </mc:AlternateContent>
  <bookViews>
    <workbookView xWindow="9585" yWindow="-15" windowWidth="9600" windowHeight="7320" tabRatio="890" firstSheet="3" activeTab="3"/>
  </bookViews>
  <sheets>
    <sheet name="PPXLFunctions" sheetId="20" state="veryHidden" r:id="rId1"/>
    <sheet name="PPXLSaveData0" sheetId="22" state="veryHidden" r:id="rId2"/>
    <sheet name="PPXLOpen" sheetId="23" state="veryHidden" r:id="rId3"/>
    <sheet name="Lead E" sheetId="159" r:id="rId4"/>
    <sheet name="TY Reg Assets RB" sheetId="160" r:id="rId5"/>
    <sheet name="RB-IS by FERC" sheetId="162" r:id="rId6"/>
    <sheet name="WRPC 2004 GRC" sheetId="164" r:id="rId7"/>
    <sheet name="Ferndale" sheetId="134" r:id="rId8"/>
    <sheet name="Mint Farm Def" sheetId="95" r:id="rId9"/>
    <sheet name="LSR Prepaid carrying charges " sheetId="114" r:id="rId10"/>
    <sheet name="Snoq" sheetId="135" r:id="rId11"/>
    <sheet name="Baker" sheetId="133" r:id="rId12"/>
    <sheet name="Electron Deferral" sheetId="156" r:id="rId13"/>
    <sheet name="T-Grant Snoq Deferral" sheetId="147" r:id="rId14"/>
    <sheet name="T-Grant Baker Deferral" sheetId="148" r:id="rId15"/>
    <sheet name="BNP" sheetId="78" r:id="rId16"/>
    <sheet name="FB Energy" sheetId="77" r:id="rId17"/>
    <sheet name="$89M Chelan PUD" sheetId="88" r:id="rId18"/>
    <sheet name="Chelan PUD" sheetId="110" r:id="rId19"/>
    <sheet name="$18.5M Chelan" sheetId="93" r:id="rId20"/>
    <sheet name="Colstrip 1&amp;2 Prepaid" sheetId="91" r:id="rId21"/>
    <sheet name="LSR Prepaid BPA interest" sheetId="112" r:id="rId22"/>
    <sheet name="LSR Prepaid Principal" sheetId="113" r:id="rId23"/>
    <sheet name="LSR Prepaid Bill Credits" sheetId="111" r:id="rId24"/>
  </sheets>
  <externalReferences>
    <externalReference r:id="rId25"/>
    <externalReference r:id="rId26"/>
  </externalReferences>
  <calcPr calcId="162913"/>
</workbook>
</file>

<file path=xl/calcChain.xml><?xml version="1.0" encoding="utf-8"?>
<calcChain xmlns="http://schemas.openxmlformats.org/spreadsheetml/2006/main">
  <c r="H8" i="159" l="1"/>
  <c r="H17" i="156" l="1"/>
  <c r="L17" i="156" s="1"/>
  <c r="I17" i="156"/>
  <c r="J17" i="156" s="1"/>
  <c r="D18" i="156"/>
  <c r="F18" i="156"/>
  <c r="I18" i="156"/>
  <c r="D19" i="156"/>
  <c r="E19" i="156"/>
  <c r="E20" i="156" s="1"/>
  <c r="I20" i="156" s="1"/>
  <c r="D20" i="156"/>
  <c r="D11" i="133"/>
  <c r="J11" i="133"/>
  <c r="K11" i="133"/>
  <c r="H18" i="156" l="1"/>
  <c r="M17" i="156"/>
  <c r="J18" i="156"/>
  <c r="M18" i="156" s="1"/>
  <c r="I19" i="156"/>
  <c r="F19" i="156"/>
  <c r="G19" i="156" s="1"/>
  <c r="H19" i="156" s="1"/>
  <c r="G18" i="156"/>
  <c r="F20" i="156"/>
  <c r="K18" i="156" l="1"/>
  <c r="L18" i="156" s="1"/>
  <c r="J19" i="156"/>
  <c r="G20" i="156"/>
  <c r="H20" i="156" s="1"/>
  <c r="K19" i="156" l="1"/>
  <c r="L19" i="156" s="1"/>
  <c r="J20" i="156"/>
  <c r="M19" i="156"/>
  <c r="K20" i="156" l="1"/>
  <c r="L20" i="156" s="1"/>
  <c r="M20" i="156"/>
  <c r="D80" i="162" l="1"/>
  <c r="C80" i="162"/>
  <c r="D79" i="162"/>
  <c r="C79" i="162"/>
  <c r="D78" i="162"/>
  <c r="C78" i="162"/>
  <c r="D77" i="162"/>
  <c r="C77" i="162"/>
  <c r="D79" i="160"/>
  <c r="C79" i="160"/>
  <c r="D78" i="160"/>
  <c r="C78" i="160"/>
  <c r="D77" i="160"/>
  <c r="C77" i="160"/>
  <c r="D76" i="160"/>
  <c r="C76" i="160"/>
  <c r="D73" i="160"/>
  <c r="C73" i="160"/>
  <c r="D72" i="160"/>
  <c r="C72" i="160"/>
  <c r="D69" i="160"/>
  <c r="C69" i="160"/>
  <c r="D68" i="160"/>
  <c r="C68" i="160"/>
  <c r="D65" i="160"/>
  <c r="C65" i="160"/>
  <c r="D64" i="160"/>
  <c r="C64" i="160"/>
  <c r="D61" i="160"/>
  <c r="C61" i="160"/>
  <c r="D60" i="160"/>
  <c r="C60" i="160"/>
  <c r="D53" i="160"/>
  <c r="C53" i="160"/>
  <c r="D52" i="160"/>
  <c r="C52" i="160"/>
  <c r="D46" i="160"/>
  <c r="C46" i="160"/>
  <c r="D45" i="160"/>
  <c r="C45" i="160"/>
  <c r="D40" i="160"/>
  <c r="C40" i="160"/>
  <c r="D39" i="160"/>
  <c r="C39" i="160"/>
  <c r="D35" i="160"/>
  <c r="C35" i="160"/>
  <c r="D31" i="160"/>
  <c r="C31" i="160"/>
  <c r="D27" i="160"/>
  <c r="C27" i="160"/>
  <c r="D24" i="160"/>
  <c r="C24" i="160"/>
  <c r="D23" i="160"/>
  <c r="C23" i="160"/>
  <c r="D20" i="160"/>
  <c r="C20" i="160"/>
  <c r="D17" i="160"/>
  <c r="C17" i="160"/>
  <c r="D10" i="160"/>
  <c r="C10" i="160"/>
  <c r="D9" i="160"/>
  <c r="C9" i="160"/>
  <c r="D6" i="160"/>
  <c r="C6" i="160"/>
  <c r="D5" i="160"/>
  <c r="C5" i="160"/>
  <c r="F47" i="159" l="1"/>
  <c r="D44" i="159" l="1"/>
  <c r="E44" i="159" s="1"/>
  <c r="L115" i="147"/>
  <c r="L116" i="147" s="1"/>
  <c r="L117" i="147" s="1"/>
  <c r="L118" i="147" s="1"/>
  <c r="L119" i="147" s="1"/>
  <c r="L120" i="147" s="1"/>
  <c r="L121" i="147" s="1"/>
  <c r="L122" i="147" s="1"/>
  <c r="L123" i="147" s="1"/>
  <c r="L124" i="147" s="1"/>
  <c r="L125" i="147" s="1"/>
  <c r="L126" i="147" s="1"/>
  <c r="D43" i="159" l="1"/>
  <c r="E43" i="159" s="1"/>
  <c r="K109" i="148"/>
  <c r="K110" i="148" s="1"/>
  <c r="K111" i="148" s="1"/>
  <c r="K112" i="148" s="1"/>
  <c r="K113" i="148" s="1"/>
  <c r="K114" i="148" s="1"/>
  <c r="K115" i="148" s="1"/>
  <c r="K116" i="148" s="1"/>
  <c r="K117" i="148" s="1"/>
  <c r="K118" i="148" s="1"/>
  <c r="K119" i="148" s="1"/>
  <c r="K120" i="148" s="1"/>
  <c r="K60" i="164" l="1"/>
  <c r="K61" i="164" s="1"/>
  <c r="K62" i="164" s="1"/>
  <c r="K63" i="164" s="1"/>
  <c r="K64" i="164" s="1"/>
  <c r="K65" i="164" s="1"/>
  <c r="K66" i="164" s="1"/>
  <c r="K67" i="164" s="1"/>
  <c r="K68" i="164" s="1"/>
  <c r="K69" i="164" s="1"/>
  <c r="K70" i="164" s="1"/>
  <c r="K71" i="164" s="1"/>
  <c r="K72" i="164" s="1"/>
  <c r="K73" i="164" s="1"/>
  <c r="K74" i="164" s="1"/>
  <c r="K75" i="164" s="1"/>
  <c r="K76" i="164" s="1"/>
  <c r="K77" i="164" s="1"/>
  <c r="K78" i="164" s="1"/>
  <c r="K79" i="164" s="1"/>
  <c r="K80" i="164" s="1"/>
  <c r="I19" i="164" l="1"/>
  <c r="K55" i="164"/>
  <c r="K56" i="164" s="1"/>
  <c r="K47" i="164"/>
  <c r="K48" i="164" s="1"/>
  <c r="K49" i="164" s="1"/>
  <c r="K50" i="164" s="1"/>
  <c r="K51" i="164" s="1"/>
  <c r="K52" i="164" s="1"/>
  <c r="K93" i="164"/>
  <c r="B93" i="164"/>
  <c r="K92" i="164"/>
  <c r="B92" i="164"/>
  <c r="K91" i="164"/>
  <c r="B91" i="164"/>
  <c r="K90" i="164"/>
  <c r="B90" i="164"/>
  <c r="K89" i="164"/>
  <c r="B89" i="164"/>
  <c r="K88" i="164"/>
  <c r="B88" i="164"/>
  <c r="K87" i="164"/>
  <c r="B87" i="164"/>
  <c r="K86" i="164"/>
  <c r="B86" i="164"/>
  <c r="K85" i="164"/>
  <c r="B85" i="164"/>
  <c r="K84" i="164"/>
  <c r="B84" i="164"/>
  <c r="K83" i="164"/>
  <c r="B83" i="164"/>
  <c r="K82" i="164"/>
  <c r="B82" i="164"/>
  <c r="B81" i="164"/>
  <c r="B80" i="164"/>
  <c r="B79" i="164"/>
  <c r="B78" i="164"/>
  <c r="B77" i="164"/>
  <c r="B76" i="164"/>
  <c r="B75" i="164"/>
  <c r="B74" i="164"/>
  <c r="B73" i="164"/>
  <c r="B72" i="164"/>
  <c r="B71" i="164"/>
  <c r="G70" i="164"/>
  <c r="G71" i="164" s="1"/>
  <c r="G72" i="164" s="1"/>
  <c r="G73" i="164" s="1"/>
  <c r="G74" i="164" s="1"/>
  <c r="G75" i="164" s="1"/>
  <c r="G76" i="164" s="1"/>
  <c r="G77" i="164" s="1"/>
  <c r="G78" i="164" s="1"/>
  <c r="G79" i="164" s="1"/>
  <c r="G80" i="164" s="1"/>
  <c r="G81" i="164" s="1"/>
  <c r="G82" i="164" s="1"/>
  <c r="G83" i="164" s="1"/>
  <c r="G84" i="164" s="1"/>
  <c r="G85" i="164" s="1"/>
  <c r="G86" i="164" s="1"/>
  <c r="G87" i="164" s="1"/>
  <c r="G88" i="164" s="1"/>
  <c r="G89" i="164" s="1"/>
  <c r="G90" i="164" s="1"/>
  <c r="G91" i="164" s="1"/>
  <c r="G92" i="164" s="1"/>
  <c r="G93" i="164" s="1"/>
  <c r="B70" i="164"/>
  <c r="B69" i="164"/>
  <c r="B68" i="164"/>
  <c r="B67" i="164"/>
  <c r="B66" i="164"/>
  <c r="B65" i="164"/>
  <c r="B64" i="164"/>
  <c r="B63" i="164"/>
  <c r="B62" i="164"/>
  <c r="B61" i="164"/>
  <c r="B60" i="164"/>
  <c r="B59" i="164"/>
  <c r="B58" i="164"/>
  <c r="B57" i="164"/>
  <c r="B56" i="164"/>
  <c r="B55" i="164"/>
  <c r="B54" i="164"/>
  <c r="B53" i="164"/>
  <c r="B52" i="164"/>
  <c r="B51" i="164"/>
  <c r="B50" i="164"/>
  <c r="B49" i="164"/>
  <c r="B48" i="164"/>
  <c r="B47" i="164"/>
  <c r="B46" i="164"/>
  <c r="B45" i="164"/>
  <c r="K44" i="164"/>
  <c r="B44" i="164"/>
  <c r="K43" i="164"/>
  <c r="B43" i="164"/>
  <c r="K42" i="164"/>
  <c r="B42" i="164"/>
  <c r="K41" i="164"/>
  <c r="B41" i="164"/>
  <c r="K40" i="164"/>
  <c r="B40" i="164"/>
  <c r="K39" i="164"/>
  <c r="B39" i="164"/>
  <c r="K38" i="164"/>
  <c r="B38" i="164"/>
  <c r="B37" i="164"/>
  <c r="B36" i="164"/>
  <c r="B35" i="164"/>
  <c r="B34" i="164"/>
  <c r="B33" i="164"/>
  <c r="B32" i="164"/>
  <c r="B31" i="164"/>
  <c r="B30" i="164"/>
  <c r="B29" i="164"/>
  <c r="B28" i="164"/>
  <c r="B27" i="164"/>
  <c r="B26" i="164"/>
  <c r="B25" i="164"/>
  <c r="B24" i="164"/>
  <c r="B23" i="164"/>
  <c r="B22" i="164"/>
  <c r="B21" i="164"/>
  <c r="B20" i="164"/>
  <c r="L19" i="164"/>
  <c r="L20" i="164" s="1"/>
  <c r="L21" i="164" s="1"/>
  <c r="L22" i="164" s="1"/>
  <c r="L23" i="164" s="1"/>
  <c r="L24" i="164" s="1"/>
  <c r="L25" i="164" s="1"/>
  <c r="L26" i="164" s="1"/>
  <c r="L27" i="164" s="1"/>
  <c r="L28" i="164" s="1"/>
  <c r="L29" i="164" s="1"/>
  <c r="L30" i="164" s="1"/>
  <c r="I20" i="164"/>
  <c r="I21" i="164" s="1"/>
  <c r="I22" i="164" s="1"/>
  <c r="I23" i="164" s="1"/>
  <c r="I24" i="164" s="1"/>
  <c r="I25" i="164" s="1"/>
  <c r="I26" i="164" s="1"/>
  <c r="I27" i="164" s="1"/>
  <c r="I28" i="164" s="1"/>
  <c r="I29" i="164" s="1"/>
  <c r="I30" i="164" s="1"/>
  <c r="F19" i="164"/>
  <c r="F20" i="164" s="1"/>
  <c r="F21" i="164" s="1"/>
  <c r="F22" i="164" s="1"/>
  <c r="F23" i="164" s="1"/>
  <c r="F24" i="164" s="1"/>
  <c r="F25" i="164" s="1"/>
  <c r="F26" i="164" s="1"/>
  <c r="F27" i="164" s="1"/>
  <c r="F28" i="164" s="1"/>
  <c r="F29" i="164" s="1"/>
  <c r="F30" i="164" s="1"/>
  <c r="F31" i="164" s="1"/>
  <c r="F32" i="164" s="1"/>
  <c r="F33" i="164" s="1"/>
  <c r="F34" i="164" s="1"/>
  <c r="F35" i="164" s="1"/>
  <c r="F36" i="164" s="1"/>
  <c r="F37" i="164" s="1"/>
  <c r="F38" i="164" s="1"/>
  <c r="F39" i="164" s="1"/>
  <c r="F40" i="164" s="1"/>
  <c r="F41" i="164" s="1"/>
  <c r="F42" i="164" s="1"/>
  <c r="F43" i="164" s="1"/>
  <c r="F44" i="164" s="1"/>
  <c r="F45" i="164" s="1"/>
  <c r="F46" i="164" s="1"/>
  <c r="F47" i="164" s="1"/>
  <c r="F48" i="164" s="1"/>
  <c r="F49" i="164" s="1"/>
  <c r="F50" i="164" s="1"/>
  <c r="F51" i="164" s="1"/>
  <c r="F52" i="164" s="1"/>
  <c r="F53" i="164" s="1"/>
  <c r="F54" i="164" s="1"/>
  <c r="F55" i="164" s="1"/>
  <c r="F56" i="164" s="1"/>
  <c r="F57" i="164" s="1"/>
  <c r="F58" i="164" s="1"/>
  <c r="F59" i="164" s="1"/>
  <c r="F60" i="164" s="1"/>
  <c r="F61" i="164" s="1"/>
  <c r="F62" i="164" s="1"/>
  <c r="F63" i="164" s="1"/>
  <c r="F64" i="164" s="1"/>
  <c r="F65" i="164" s="1"/>
  <c r="F66" i="164" s="1"/>
  <c r="F67" i="164" s="1"/>
  <c r="F68" i="164" s="1"/>
  <c r="F69" i="164" s="1"/>
  <c r="F70" i="164" s="1"/>
  <c r="F71" i="164" s="1"/>
  <c r="F72" i="164" s="1"/>
  <c r="F73" i="164" s="1"/>
  <c r="F74" i="164" s="1"/>
  <c r="F75" i="164" s="1"/>
  <c r="F76" i="164" s="1"/>
  <c r="F77" i="164" s="1"/>
  <c r="F78" i="164" s="1"/>
  <c r="F79" i="164" s="1"/>
  <c r="F80" i="164" s="1"/>
  <c r="F81" i="164" s="1"/>
  <c r="F82" i="164" s="1"/>
  <c r="F83" i="164" s="1"/>
  <c r="F84" i="164" s="1"/>
  <c r="F85" i="164" s="1"/>
  <c r="F86" i="164" s="1"/>
  <c r="F87" i="164" s="1"/>
  <c r="F88" i="164" s="1"/>
  <c r="F89" i="164" s="1"/>
  <c r="F90" i="164" s="1"/>
  <c r="F91" i="164" s="1"/>
  <c r="F92" i="164" s="1"/>
  <c r="F93" i="164" s="1"/>
  <c r="D19" i="164"/>
  <c r="D20" i="164" s="1"/>
  <c r="B19" i="164"/>
  <c r="H18" i="164"/>
  <c r="J18" i="164" s="1"/>
  <c r="M18" i="164" s="1"/>
  <c r="B18" i="164"/>
  <c r="L95" i="164" l="1"/>
  <c r="L31" i="164"/>
  <c r="Q30" i="164"/>
  <c r="I95" i="164"/>
  <c r="I31" i="164"/>
  <c r="I32" i="164" s="1"/>
  <c r="I33" i="164" s="1"/>
  <c r="I34" i="164" s="1"/>
  <c r="I35" i="164" s="1"/>
  <c r="I36" i="164" s="1"/>
  <c r="I37" i="164" s="1"/>
  <c r="I38" i="164" s="1"/>
  <c r="I39" i="164" s="1"/>
  <c r="I40" i="164" s="1"/>
  <c r="I41" i="164" s="1"/>
  <c r="I42" i="164" s="1"/>
  <c r="I43" i="164" s="1"/>
  <c r="I44" i="164" s="1"/>
  <c r="I45" i="164" s="1"/>
  <c r="D21" i="164"/>
  <c r="H20" i="164"/>
  <c r="J20" i="164" s="1"/>
  <c r="M20" i="164" s="1"/>
  <c r="H19" i="164"/>
  <c r="J19" i="164" s="1"/>
  <c r="M19" i="164" s="1"/>
  <c r="H21" i="164" l="1"/>
  <c r="J21" i="164" s="1"/>
  <c r="M21" i="164" s="1"/>
  <c r="D22" i="164"/>
  <c r="L32" i="164"/>
  <c r="Q31" i="164"/>
  <c r="L33" i="164" l="1"/>
  <c r="Q32" i="164"/>
  <c r="H22" i="164"/>
  <c r="J22" i="164" s="1"/>
  <c r="M22" i="164" s="1"/>
  <c r="D23" i="164"/>
  <c r="H23" i="164" l="1"/>
  <c r="J23" i="164" s="1"/>
  <c r="M23" i="164" s="1"/>
  <c r="D24" i="164"/>
  <c r="L34" i="164"/>
  <c r="Q33" i="164"/>
  <c r="Q34" i="164" l="1"/>
  <c r="L35" i="164"/>
  <c r="H24" i="164"/>
  <c r="J24" i="164" s="1"/>
  <c r="M24" i="164" s="1"/>
  <c r="D25" i="164"/>
  <c r="H25" i="164" l="1"/>
  <c r="J25" i="164" s="1"/>
  <c r="M25" i="164" s="1"/>
  <c r="D26" i="164"/>
  <c r="L36" i="164"/>
  <c r="Q35" i="164"/>
  <c r="Q36" i="164" l="1"/>
  <c r="L37" i="164"/>
  <c r="H26" i="164"/>
  <c r="J26" i="164" s="1"/>
  <c r="M26" i="164" s="1"/>
  <c r="D27" i="164"/>
  <c r="H27" i="164" l="1"/>
  <c r="J27" i="164" s="1"/>
  <c r="M27" i="164" s="1"/>
  <c r="D28" i="164"/>
  <c r="L38" i="164"/>
  <c r="Q37" i="164"/>
  <c r="L39" i="164" l="1"/>
  <c r="Q38" i="164"/>
  <c r="H28" i="164"/>
  <c r="J28" i="164" s="1"/>
  <c r="M28" i="164" s="1"/>
  <c r="D29" i="164"/>
  <c r="H29" i="164" l="1"/>
  <c r="J29" i="164" s="1"/>
  <c r="M29" i="164" s="1"/>
  <c r="D30" i="164"/>
  <c r="Q39" i="164"/>
  <c r="L40" i="164"/>
  <c r="D31" i="164" l="1"/>
  <c r="H30" i="164"/>
  <c r="L41" i="164"/>
  <c r="Q40" i="164"/>
  <c r="J30" i="164" l="1"/>
  <c r="M30" i="164" s="1"/>
  <c r="H95" i="164"/>
  <c r="L42" i="164"/>
  <c r="Q41" i="164"/>
  <c r="H31" i="164"/>
  <c r="J31" i="164" s="1"/>
  <c r="M31" i="164" s="1"/>
  <c r="D32" i="164"/>
  <c r="L43" i="164" l="1"/>
  <c r="Q42" i="164"/>
  <c r="H32" i="164"/>
  <c r="J32" i="164" s="1"/>
  <c r="M32" i="164" s="1"/>
  <c r="D33" i="164"/>
  <c r="O31" i="164"/>
  <c r="O30" i="164"/>
  <c r="D34" i="164" l="1"/>
  <c r="H33" i="164"/>
  <c r="J33" i="164" s="1"/>
  <c r="M33" i="164" s="1"/>
  <c r="O32" i="164"/>
  <c r="L44" i="164"/>
  <c r="Q43" i="164"/>
  <c r="O33" i="164" l="1"/>
  <c r="L45" i="164"/>
  <c r="Q44" i="164"/>
  <c r="D35" i="164"/>
  <c r="H34" i="164"/>
  <c r="J34" i="164" s="1"/>
  <c r="M34" i="164" s="1"/>
  <c r="Q45" i="164" l="1"/>
  <c r="O34" i="164"/>
  <c r="H35" i="164"/>
  <c r="J35" i="164" s="1"/>
  <c r="M35" i="164" s="1"/>
  <c r="D36" i="164"/>
  <c r="O35" i="164" l="1"/>
  <c r="D37" i="164"/>
  <c r="H36" i="164"/>
  <c r="J36" i="164" s="1"/>
  <c r="M36" i="164" s="1"/>
  <c r="O36" i="164" l="1"/>
  <c r="D38" i="164"/>
  <c r="H37" i="164"/>
  <c r="J37" i="164" s="1"/>
  <c r="M37" i="164" s="1"/>
  <c r="O37" i="164" l="1"/>
  <c r="H38" i="164"/>
  <c r="J38" i="164" s="1"/>
  <c r="M38" i="164" s="1"/>
  <c r="D39" i="164"/>
  <c r="D40" i="164" l="1"/>
  <c r="H39" i="164"/>
  <c r="J39" i="164" s="1"/>
  <c r="M39" i="164" s="1"/>
  <c r="O38" i="164"/>
  <c r="O39" i="164" l="1"/>
  <c r="D41" i="164"/>
  <c r="H40" i="164"/>
  <c r="J40" i="164" s="1"/>
  <c r="M40" i="164" s="1"/>
  <c r="O40" i="164" l="1"/>
  <c r="H41" i="164"/>
  <c r="J41" i="164" s="1"/>
  <c r="M41" i="164" s="1"/>
  <c r="D42" i="164"/>
  <c r="O41" i="164" l="1"/>
  <c r="H42" i="164"/>
  <c r="J42" i="164" s="1"/>
  <c r="M42" i="164" s="1"/>
  <c r="D43" i="164"/>
  <c r="O42" i="164" l="1"/>
  <c r="D44" i="164"/>
  <c r="H43" i="164"/>
  <c r="J43" i="164" s="1"/>
  <c r="M43" i="164" s="1"/>
  <c r="O43" i="164" l="1"/>
  <c r="H44" i="164"/>
  <c r="J44" i="164" s="1"/>
  <c r="M44" i="164" s="1"/>
  <c r="O44" i="164" l="1"/>
  <c r="D46" i="164"/>
  <c r="H45" i="164"/>
  <c r="J45" i="164" l="1"/>
  <c r="P46" i="164" s="1"/>
  <c r="H46" i="164"/>
  <c r="D47" i="164"/>
  <c r="H47" i="164" l="1"/>
  <c r="D48" i="164"/>
  <c r="M45" i="164"/>
  <c r="O45" i="164" l="1"/>
  <c r="H48" i="164"/>
  <c r="D49" i="164"/>
  <c r="P47" i="164"/>
  <c r="L46" i="164"/>
  <c r="I17" i="164"/>
  <c r="I46" i="164"/>
  <c r="Q46" i="164" l="1"/>
  <c r="P48" i="164"/>
  <c r="L47" i="164"/>
  <c r="I47" i="164"/>
  <c r="J46" i="164"/>
  <c r="M46" i="164" s="1"/>
  <c r="H49" i="164"/>
  <c r="D50" i="164"/>
  <c r="Q47" i="164" l="1"/>
  <c r="H50" i="164"/>
  <c r="D51" i="164"/>
  <c r="P49" i="164"/>
  <c r="L48" i="164"/>
  <c r="O46" i="164"/>
  <c r="I48" i="164"/>
  <c r="J47" i="164"/>
  <c r="M47" i="164" s="1"/>
  <c r="Q48" i="164" l="1"/>
  <c r="O47" i="164"/>
  <c r="H51" i="164"/>
  <c r="D52" i="164"/>
  <c r="P50" i="164"/>
  <c r="L49" i="164"/>
  <c r="I49" i="164"/>
  <c r="J48" i="164"/>
  <c r="M48" i="164" s="1"/>
  <c r="Q49" i="164" l="1"/>
  <c r="O48" i="164"/>
  <c r="P51" i="164"/>
  <c r="L50" i="164"/>
  <c r="I50" i="164"/>
  <c r="J49" i="164"/>
  <c r="M49" i="164" s="1"/>
  <c r="H52" i="164"/>
  <c r="D53" i="164"/>
  <c r="Q50" i="164" l="1"/>
  <c r="I51" i="164"/>
  <c r="J50" i="164"/>
  <c r="M50" i="164" s="1"/>
  <c r="H53" i="164"/>
  <c r="D54" i="164"/>
  <c r="O49" i="164"/>
  <c r="P52" i="164"/>
  <c r="L51" i="164"/>
  <c r="Q51" i="164" l="1"/>
  <c r="I52" i="164"/>
  <c r="J51" i="164"/>
  <c r="M51" i="164" s="1"/>
  <c r="O50" i="164"/>
  <c r="P53" i="164"/>
  <c r="L52" i="164"/>
  <c r="H54" i="164"/>
  <c r="D55" i="164"/>
  <c r="Q52" i="164" l="1"/>
  <c r="I53" i="164"/>
  <c r="J52" i="164"/>
  <c r="M52" i="164" s="1"/>
  <c r="O51" i="164"/>
  <c r="H55" i="164"/>
  <c r="D56" i="164"/>
  <c r="P54" i="164"/>
  <c r="L53" i="164"/>
  <c r="Q53" i="164" l="1"/>
  <c r="H56" i="164"/>
  <c r="D57" i="164"/>
  <c r="I54" i="164"/>
  <c r="J53" i="164"/>
  <c r="M53" i="164" s="1"/>
  <c r="O52" i="164"/>
  <c r="P55" i="164"/>
  <c r="L54" i="164"/>
  <c r="Q54" i="164" l="1"/>
  <c r="O53" i="164"/>
  <c r="P56" i="164"/>
  <c r="L55" i="164"/>
  <c r="I55" i="164"/>
  <c r="J54" i="164"/>
  <c r="M54" i="164" s="1"/>
  <c r="H57" i="164"/>
  <c r="D58" i="164"/>
  <c r="Q55" i="164" l="1"/>
  <c r="H97" i="164"/>
  <c r="I56" i="164"/>
  <c r="J55" i="164"/>
  <c r="M55" i="164" s="1"/>
  <c r="H58" i="164"/>
  <c r="D59" i="164"/>
  <c r="P57" i="164"/>
  <c r="P94" i="164" s="1"/>
  <c r="D45" i="159" s="1"/>
  <c r="L56" i="164"/>
  <c r="O54" i="164"/>
  <c r="E45" i="159" l="1"/>
  <c r="Q56" i="164"/>
  <c r="H59" i="164"/>
  <c r="D60" i="164"/>
  <c r="O55" i="164"/>
  <c r="P58" i="164"/>
  <c r="L57" i="164"/>
  <c r="C80" i="160" s="1"/>
  <c r="C81" i="162" s="1"/>
  <c r="C82" i="162" s="1"/>
  <c r="D28" i="159" s="1"/>
  <c r="I57" i="164"/>
  <c r="J56" i="164"/>
  <c r="M56" i="164" s="1"/>
  <c r="E28" i="159" l="1"/>
  <c r="L58" i="164"/>
  <c r="Q57" i="164"/>
  <c r="D80" i="160" s="1"/>
  <c r="L97" i="164"/>
  <c r="O56" i="164"/>
  <c r="P59" i="164"/>
  <c r="H60" i="164"/>
  <c r="D61" i="164"/>
  <c r="I58" i="164"/>
  <c r="I97" i="164"/>
  <c r="J57" i="164"/>
  <c r="M57" i="164" s="1"/>
  <c r="F28" i="159" l="1"/>
  <c r="I59" i="164"/>
  <c r="J58" i="164"/>
  <c r="M58" i="164" s="1"/>
  <c r="P60" i="164"/>
  <c r="H61" i="164"/>
  <c r="D62" i="164"/>
  <c r="L59" i="164"/>
  <c r="Q58" i="164"/>
  <c r="O57" i="164"/>
  <c r="P61" i="164" l="1"/>
  <c r="H62" i="164"/>
  <c r="D63" i="164"/>
  <c r="O58" i="164"/>
  <c r="L60" i="164"/>
  <c r="Q59" i="164"/>
  <c r="I60" i="164"/>
  <c r="J59" i="164"/>
  <c r="M59" i="164" s="1"/>
  <c r="O59" i="164" l="1"/>
  <c r="Q60" i="164"/>
  <c r="H63" i="164"/>
  <c r="D64" i="164"/>
  <c r="I61" i="164"/>
  <c r="J60" i="164"/>
  <c r="M60" i="164" s="1"/>
  <c r="P62" i="164"/>
  <c r="L61" i="164"/>
  <c r="Q61" i="164" l="1"/>
  <c r="I62" i="164"/>
  <c r="J61" i="164"/>
  <c r="M61" i="164" s="1"/>
  <c r="P63" i="164"/>
  <c r="L62" i="164"/>
  <c r="H64" i="164"/>
  <c r="D65" i="164"/>
  <c r="O60" i="164"/>
  <c r="Q62" i="164" l="1"/>
  <c r="H65" i="164"/>
  <c r="D66" i="164"/>
  <c r="O61" i="164"/>
  <c r="I63" i="164"/>
  <c r="J62" i="164"/>
  <c r="M62" i="164" s="1"/>
  <c r="P64" i="164"/>
  <c r="L63" i="164"/>
  <c r="Q63" i="164" l="1"/>
  <c r="P65" i="164"/>
  <c r="L64" i="164"/>
  <c r="O62" i="164"/>
  <c r="I64" i="164"/>
  <c r="J63" i="164"/>
  <c r="M63" i="164" s="1"/>
  <c r="D67" i="164"/>
  <c r="H66" i="164"/>
  <c r="Q64" i="164" l="1"/>
  <c r="I65" i="164"/>
  <c r="J64" i="164"/>
  <c r="M64" i="164" s="1"/>
  <c r="P66" i="164"/>
  <c r="L65" i="164"/>
  <c r="D68" i="164"/>
  <c r="H67" i="164"/>
  <c r="O63" i="164"/>
  <c r="Q65" i="164" l="1"/>
  <c r="D69" i="164"/>
  <c r="H68" i="164"/>
  <c r="O64" i="164"/>
  <c r="I66" i="164"/>
  <c r="J65" i="164"/>
  <c r="M65" i="164" s="1"/>
  <c r="P67" i="164"/>
  <c r="L66" i="164"/>
  <c r="Q66" i="164" l="1"/>
  <c r="O65" i="164"/>
  <c r="I67" i="164"/>
  <c r="J66" i="164"/>
  <c r="M66" i="164" s="1"/>
  <c r="H69" i="164"/>
  <c r="D70" i="164"/>
  <c r="P68" i="164"/>
  <c r="L67" i="164"/>
  <c r="Q67" i="164" l="1"/>
  <c r="O66" i="164"/>
  <c r="P69" i="164"/>
  <c r="L68" i="164"/>
  <c r="I68" i="164"/>
  <c r="J67" i="164"/>
  <c r="M67" i="164" s="1"/>
  <c r="D71" i="164"/>
  <c r="H70" i="164"/>
  <c r="Q68" i="164" l="1"/>
  <c r="O67" i="164"/>
  <c r="I69" i="164"/>
  <c r="J68" i="164"/>
  <c r="M68" i="164" s="1"/>
  <c r="D72" i="164"/>
  <c r="H71" i="164"/>
  <c r="P70" i="164"/>
  <c r="L69" i="164"/>
  <c r="Q69" i="164" l="1"/>
  <c r="L70" i="164"/>
  <c r="P71" i="164"/>
  <c r="O68" i="164"/>
  <c r="H72" i="164"/>
  <c r="D73" i="164"/>
  <c r="I70" i="164"/>
  <c r="J69" i="164"/>
  <c r="M69" i="164" s="1"/>
  <c r="Q70" i="164" l="1"/>
  <c r="P72" i="164"/>
  <c r="L71" i="164"/>
  <c r="I71" i="164"/>
  <c r="J70" i="164"/>
  <c r="M70" i="164" s="1"/>
  <c r="H73" i="164"/>
  <c r="D74" i="164"/>
  <c r="O69" i="164"/>
  <c r="L72" i="164" l="1"/>
  <c r="Q71" i="164"/>
  <c r="P73" i="164"/>
  <c r="O70" i="164"/>
  <c r="I72" i="164"/>
  <c r="J71" i="164"/>
  <c r="M71" i="164" s="1"/>
  <c r="D75" i="164"/>
  <c r="H74" i="164"/>
  <c r="P74" i="164" l="1"/>
  <c r="L73" i="164"/>
  <c r="D76" i="164"/>
  <c r="H75" i="164"/>
  <c r="O71" i="164"/>
  <c r="I73" i="164"/>
  <c r="J72" i="164"/>
  <c r="M72" i="164" s="1"/>
  <c r="Q72" i="164"/>
  <c r="Q73" i="164" l="1"/>
  <c r="I74" i="164"/>
  <c r="J73" i="164"/>
  <c r="M73" i="164" s="1"/>
  <c r="H76" i="164"/>
  <c r="D77" i="164"/>
  <c r="L74" i="164"/>
  <c r="P75" i="164"/>
  <c r="O72" i="164"/>
  <c r="Q74" i="164" l="1"/>
  <c r="P76" i="164"/>
  <c r="L75" i="164"/>
  <c r="O73" i="164"/>
  <c r="I75" i="164"/>
  <c r="J74" i="164"/>
  <c r="M74" i="164" s="1"/>
  <c r="H77" i="164"/>
  <c r="D78" i="164"/>
  <c r="Q75" i="164" l="1"/>
  <c r="O74" i="164"/>
  <c r="I76" i="164"/>
  <c r="J75" i="164"/>
  <c r="M75" i="164" s="1"/>
  <c r="P77" i="164"/>
  <c r="L76" i="164"/>
  <c r="D79" i="164"/>
  <c r="H78" i="164"/>
  <c r="Q76" i="164" l="1"/>
  <c r="P78" i="164"/>
  <c r="L77" i="164"/>
  <c r="O75" i="164"/>
  <c r="D80" i="164"/>
  <c r="H79" i="164"/>
  <c r="I77" i="164"/>
  <c r="J76" i="164"/>
  <c r="M76" i="164" s="1"/>
  <c r="Q77" i="164" l="1"/>
  <c r="O76" i="164"/>
  <c r="I78" i="164"/>
  <c r="J77" i="164"/>
  <c r="M77" i="164" s="1"/>
  <c r="H80" i="164"/>
  <c r="D81" i="164"/>
  <c r="L78" i="164"/>
  <c r="P79" i="164"/>
  <c r="Q78" i="164" l="1"/>
  <c r="O77" i="164"/>
  <c r="H81" i="164"/>
  <c r="D82" i="164"/>
  <c r="P80" i="164"/>
  <c r="P81" i="164" s="1"/>
  <c r="P96" i="164" s="1"/>
  <c r="L79" i="164"/>
  <c r="I79" i="164"/>
  <c r="J78" i="164"/>
  <c r="M78" i="164" s="1"/>
  <c r="G45" i="159" l="1"/>
  <c r="L80" i="164"/>
  <c r="Q79" i="164"/>
  <c r="O78" i="164"/>
  <c r="I80" i="164"/>
  <c r="J79" i="164"/>
  <c r="M79" i="164" s="1"/>
  <c r="D83" i="164"/>
  <c r="H82" i="164"/>
  <c r="H45" i="159" l="1"/>
  <c r="I81" i="164"/>
  <c r="J80" i="164"/>
  <c r="M80" i="164" s="1"/>
  <c r="O79" i="164"/>
  <c r="D84" i="164"/>
  <c r="H83" i="164"/>
  <c r="L81" i="164"/>
  <c r="Q80" i="164"/>
  <c r="O80" i="164" l="1"/>
  <c r="Q81" i="164"/>
  <c r="L82" i="164"/>
  <c r="D85" i="164"/>
  <c r="H84" i="164"/>
  <c r="I82" i="164"/>
  <c r="J81" i="164"/>
  <c r="M81" i="164" s="1"/>
  <c r="I83" i="164" l="1"/>
  <c r="J82" i="164"/>
  <c r="M82" i="164" s="1"/>
  <c r="O82" i="164" s="1"/>
  <c r="D86" i="164"/>
  <c r="H85" i="164"/>
  <c r="O81" i="164"/>
  <c r="Q82" i="164"/>
  <c r="L83" i="164"/>
  <c r="D87" i="164" l="1"/>
  <c r="H86" i="164"/>
  <c r="Q83" i="164"/>
  <c r="L84" i="164"/>
  <c r="I84" i="164"/>
  <c r="J83" i="164"/>
  <c r="M83" i="164" s="1"/>
  <c r="O83" i="164" s="1"/>
  <c r="Q84" i="164" l="1"/>
  <c r="L85" i="164"/>
  <c r="I85" i="164"/>
  <c r="J84" i="164"/>
  <c r="M84" i="164" s="1"/>
  <c r="O84" i="164" s="1"/>
  <c r="D88" i="164"/>
  <c r="H87" i="164"/>
  <c r="I86" i="164" l="1"/>
  <c r="J85" i="164"/>
  <c r="M85" i="164" s="1"/>
  <c r="O85" i="164" s="1"/>
  <c r="D89" i="164"/>
  <c r="H88" i="164"/>
  <c r="Q85" i="164"/>
  <c r="L86" i="164"/>
  <c r="G28" i="159" l="1"/>
  <c r="D81" i="162"/>
  <c r="E81" i="162" s="1"/>
  <c r="D82" i="162"/>
  <c r="I87" i="164"/>
  <c r="J86" i="164"/>
  <c r="M86" i="164" s="1"/>
  <c r="O86" i="164" s="1"/>
  <c r="D90" i="164"/>
  <c r="H89" i="164"/>
  <c r="Q86" i="164"/>
  <c r="L87" i="164"/>
  <c r="H28" i="159" l="1"/>
  <c r="E82" i="162"/>
  <c r="D91" i="164"/>
  <c r="H90" i="164"/>
  <c r="Q87" i="164"/>
  <c r="L88" i="164"/>
  <c r="I88" i="164"/>
  <c r="J87" i="164"/>
  <c r="M87" i="164" s="1"/>
  <c r="O87" i="164" s="1"/>
  <c r="I89" i="164" l="1"/>
  <c r="J88" i="164"/>
  <c r="M88" i="164" s="1"/>
  <c r="O88" i="164" s="1"/>
  <c r="D92" i="164"/>
  <c r="H91" i="164"/>
  <c r="Q88" i="164"/>
  <c r="L89" i="164"/>
  <c r="Q89" i="164" l="1"/>
  <c r="L90" i="164"/>
  <c r="I90" i="164"/>
  <c r="J89" i="164"/>
  <c r="M89" i="164" s="1"/>
  <c r="O89" i="164" s="1"/>
  <c r="D93" i="164"/>
  <c r="H93" i="164" s="1"/>
  <c r="H92" i="164"/>
  <c r="I91" i="164" l="1"/>
  <c r="J90" i="164"/>
  <c r="M90" i="164" s="1"/>
  <c r="O90" i="164" s="1"/>
  <c r="Q90" i="164"/>
  <c r="L91" i="164"/>
  <c r="Q91" i="164" l="1"/>
  <c r="L92" i="164"/>
  <c r="I92" i="164"/>
  <c r="J91" i="164"/>
  <c r="M91" i="164" s="1"/>
  <c r="O91" i="164" s="1"/>
  <c r="I93" i="164" l="1"/>
  <c r="J93" i="164" s="1"/>
  <c r="J92" i="164"/>
  <c r="M92" i="164" s="1"/>
  <c r="O92" i="164" s="1"/>
  <c r="Q92" i="164"/>
  <c r="L93" i="164"/>
  <c r="Q93" i="164" s="1"/>
  <c r="M93" i="164" l="1"/>
  <c r="O93" i="164" s="1"/>
  <c r="E106" i="156" l="1"/>
  <c r="G108" i="147"/>
  <c r="G103" i="148"/>
  <c r="G122" i="134"/>
  <c r="G118" i="135"/>
  <c r="F116" i="133"/>
  <c r="I89" i="156"/>
  <c r="I90" i="156"/>
  <c r="I91" i="156"/>
  <c r="I92" i="156"/>
  <c r="I93" i="156"/>
  <c r="I94" i="156"/>
  <c r="I95" i="156"/>
  <c r="I96" i="156"/>
  <c r="I97" i="156"/>
  <c r="I98" i="156"/>
  <c r="K88" i="148"/>
  <c r="K89" i="148"/>
  <c r="K90" i="148"/>
  <c r="K91" i="148"/>
  <c r="K92" i="148"/>
  <c r="K93" i="148"/>
  <c r="K94" i="148"/>
  <c r="K95" i="148"/>
  <c r="K96" i="148"/>
  <c r="K97" i="148"/>
  <c r="K98" i="148"/>
  <c r="K99" i="148"/>
  <c r="K108" i="134"/>
  <c r="K109" i="134"/>
  <c r="K110" i="134"/>
  <c r="K111" i="134"/>
  <c r="K112" i="134"/>
  <c r="K113" i="134"/>
  <c r="K103" i="135"/>
  <c r="K104" i="135"/>
  <c r="K105" i="135"/>
  <c r="K106" i="135"/>
  <c r="K107" i="135"/>
  <c r="K108" i="135"/>
  <c r="J101" i="133"/>
  <c r="J102" i="133"/>
  <c r="J103" i="133"/>
  <c r="J104" i="133"/>
  <c r="J105" i="133"/>
  <c r="J106" i="133"/>
  <c r="A14" i="159" l="1"/>
  <c r="G46" i="159" l="1"/>
  <c r="G44" i="159"/>
  <c r="H44" i="159" s="1"/>
  <c r="G41" i="159"/>
  <c r="G40" i="159"/>
  <c r="G43" i="159"/>
  <c r="H43" i="159" s="1"/>
  <c r="G42" i="159"/>
  <c r="B46" i="159" l="1"/>
  <c r="B44" i="159"/>
  <c r="B43" i="159"/>
  <c r="B42" i="159"/>
  <c r="B41" i="159"/>
  <c r="B40" i="159"/>
  <c r="B39" i="159"/>
  <c r="B35" i="159"/>
  <c r="B34" i="159"/>
  <c r="B33" i="159"/>
  <c r="I71" i="156" l="1"/>
  <c r="I72" i="156"/>
  <c r="I73" i="156"/>
  <c r="I74" i="156"/>
  <c r="I75" i="156"/>
  <c r="I76" i="156"/>
  <c r="I77" i="156"/>
  <c r="I78" i="156"/>
  <c r="I79" i="156"/>
  <c r="I80" i="156"/>
  <c r="I81" i="156"/>
  <c r="I82" i="156"/>
  <c r="I83" i="156"/>
  <c r="I84" i="156"/>
  <c r="I85" i="156"/>
  <c r="I86" i="156"/>
  <c r="I87" i="156"/>
  <c r="I88" i="156"/>
  <c r="G69" i="148"/>
  <c r="K73" i="148"/>
  <c r="K74" i="148"/>
  <c r="K75" i="148"/>
  <c r="K76" i="148"/>
  <c r="K77" i="148"/>
  <c r="K78" i="148"/>
  <c r="K79" i="148"/>
  <c r="K80" i="148"/>
  <c r="K81" i="148"/>
  <c r="K82" i="148"/>
  <c r="K83" i="148"/>
  <c r="K84" i="148"/>
  <c r="K85" i="148"/>
  <c r="K86" i="148"/>
  <c r="K87" i="148"/>
  <c r="I70" i="156" l="1"/>
  <c r="C59" i="162" l="1"/>
  <c r="C58" i="162"/>
  <c r="C57" i="162"/>
  <c r="C56" i="162"/>
  <c r="C51" i="162"/>
  <c r="C50" i="162"/>
  <c r="C49" i="162"/>
  <c r="C44" i="162"/>
  <c r="C43" i="162"/>
  <c r="C38" i="162"/>
  <c r="C34" i="162"/>
  <c r="C30" i="162"/>
  <c r="C16" i="162"/>
  <c r="C18" i="162"/>
  <c r="C19" i="162"/>
  <c r="C15" i="162"/>
  <c r="C14" i="162"/>
  <c r="C11" i="162"/>
  <c r="K70" i="148" l="1"/>
  <c r="K71" i="148"/>
  <c r="K72" i="148"/>
  <c r="K79" i="135" l="1"/>
  <c r="K80" i="135"/>
  <c r="K81" i="135"/>
  <c r="K82" i="135"/>
  <c r="K83" i="135"/>
  <c r="K84" i="135"/>
  <c r="K85" i="135"/>
  <c r="K71" i="147" l="1"/>
  <c r="K70" i="147"/>
  <c r="D59" i="162" l="1"/>
  <c r="D58" i="162"/>
  <c r="D57" i="162"/>
  <c r="D56" i="162"/>
  <c r="D51" i="162"/>
  <c r="D50" i="162"/>
  <c r="D49" i="162"/>
  <c r="D44" i="162"/>
  <c r="D43" i="162"/>
  <c r="D38" i="162"/>
  <c r="D34" i="162"/>
  <c r="D30" i="162"/>
  <c r="D19" i="162"/>
  <c r="D18" i="162"/>
  <c r="D16" i="162"/>
  <c r="D15" i="162"/>
  <c r="D14" i="162"/>
  <c r="D11" i="162"/>
  <c r="D4" i="162"/>
  <c r="C4" i="162"/>
  <c r="K77" i="147" l="1"/>
  <c r="K76" i="147"/>
  <c r="K75" i="147"/>
  <c r="K74" i="147"/>
  <c r="K73" i="147"/>
  <c r="K72" i="147"/>
  <c r="A15" i="159" l="1"/>
  <c r="A16" i="159" s="1"/>
  <c r="A17" i="159" s="1"/>
  <c r="A18" i="159" s="1"/>
  <c r="A19" i="159" s="1"/>
  <c r="A20" i="159" l="1"/>
  <c r="A21" i="159" s="1"/>
  <c r="A22" i="159" s="1"/>
  <c r="A23" i="159" s="1"/>
  <c r="A24" i="159" s="1"/>
  <c r="A25" i="159" s="1"/>
  <c r="A26" i="159" s="1"/>
  <c r="A27" i="159" s="1"/>
  <c r="A28" i="159" s="1"/>
  <c r="A29" i="159" s="1"/>
  <c r="A30" i="159" s="1"/>
  <c r="A31" i="159" s="1"/>
  <c r="A32" i="159" s="1"/>
  <c r="A33" i="159" s="1"/>
  <c r="A34" i="159" s="1"/>
  <c r="A35" i="159" s="1"/>
  <c r="A36" i="159" s="1"/>
  <c r="A37" i="159" s="1"/>
  <c r="A38" i="159" s="1"/>
  <c r="A39" i="159" s="1"/>
  <c r="A40" i="159" s="1"/>
  <c r="A41" i="159" s="1"/>
  <c r="A42" i="159" s="1"/>
  <c r="A43" i="159" s="1"/>
  <c r="A44" i="159" s="1"/>
  <c r="A45" i="159" l="1"/>
  <c r="A46" i="159" s="1"/>
  <c r="A47" i="159" s="1"/>
  <c r="A48" i="159" s="1"/>
  <c r="A49" i="159" s="1"/>
  <c r="A50" i="159" s="1"/>
  <c r="A51" i="159" s="1"/>
  <c r="A52" i="159" s="1"/>
  <c r="A53" i="159" s="1"/>
  <c r="A54" i="159" s="1"/>
  <c r="A55" i="159" s="1"/>
  <c r="A56" i="159" s="1"/>
  <c r="A57" i="159" s="1"/>
  <c r="A58" i="159" s="1"/>
  <c r="A59" i="159" s="1"/>
  <c r="A60" i="159" s="1"/>
  <c r="A61" i="159" s="1"/>
  <c r="H105" i="112"/>
  <c r="H104" i="112" l="1"/>
  <c r="H103" i="112" l="1"/>
  <c r="H102" i="112" l="1"/>
  <c r="H101" i="112" l="1"/>
  <c r="H100" i="112" l="1"/>
  <c r="H99" i="112" l="1"/>
  <c r="H98" i="112"/>
  <c r="H97" i="112" l="1"/>
  <c r="H96" i="112" l="1"/>
  <c r="H95" i="112" l="1"/>
  <c r="H94" i="112" l="1"/>
  <c r="H93" i="112" l="1"/>
  <c r="H92" i="112" l="1"/>
  <c r="H91" i="112" l="1"/>
  <c r="H90" i="112" l="1"/>
  <c r="H89" i="112"/>
  <c r="H88" i="112" l="1"/>
  <c r="H87" i="112" l="1"/>
  <c r="H86" i="112" l="1"/>
  <c r="E23" i="156" l="1"/>
  <c r="E22" i="156"/>
  <c r="I24" i="156" l="1"/>
  <c r="K25" i="134"/>
  <c r="H85" i="112" l="1"/>
  <c r="H84" i="112" l="1"/>
  <c r="H83" i="112" l="1"/>
  <c r="E25" i="156"/>
  <c r="E26" i="156" s="1"/>
  <c r="I26" i="156" s="1"/>
  <c r="E27" i="156" l="1"/>
  <c r="E29" i="156" l="1"/>
  <c r="E30" i="156" s="1"/>
  <c r="E31" i="156" s="1"/>
  <c r="E32" i="156" s="1"/>
  <c r="E28" i="156"/>
  <c r="I28" i="156" s="1"/>
  <c r="D21" i="156"/>
  <c r="E34" i="156" l="1"/>
  <c r="E35" i="156" s="1"/>
  <c r="E36" i="156" s="1"/>
  <c r="E37" i="156" s="1"/>
  <c r="E38" i="156" s="1"/>
  <c r="E39" i="156" s="1"/>
  <c r="E40" i="156" s="1"/>
  <c r="E41" i="156" s="1"/>
  <c r="E42" i="156" s="1"/>
  <c r="E43" i="156" s="1"/>
  <c r="E44" i="156" s="1"/>
  <c r="E45" i="156" s="1"/>
  <c r="E46" i="156" s="1"/>
  <c r="E47" i="156" s="1"/>
  <c r="E48" i="156" s="1"/>
  <c r="E49" i="156" s="1"/>
  <c r="E50" i="156" s="1"/>
  <c r="E51" i="156" s="1"/>
  <c r="E52" i="156" s="1"/>
  <c r="E53" i="156" s="1"/>
  <c r="E54" i="156" s="1"/>
  <c r="E55" i="156" s="1"/>
  <c r="E56" i="156" s="1"/>
  <c r="E57" i="156" s="1"/>
  <c r="E58" i="156" s="1"/>
  <c r="E59" i="156" s="1"/>
  <c r="E60" i="156" s="1"/>
  <c r="E61" i="156" s="1"/>
  <c r="E62" i="156" s="1"/>
  <c r="E63" i="156" s="1"/>
  <c r="E64" i="156" s="1"/>
  <c r="E65" i="156" s="1"/>
  <c r="E33" i="156"/>
  <c r="E21" i="156" l="1"/>
  <c r="I21" i="156" s="1"/>
  <c r="F21" i="156" l="1"/>
  <c r="C22" i="156" l="1"/>
  <c r="D22" i="156" s="1"/>
  <c r="G21" i="156"/>
  <c r="J21" i="156"/>
  <c r="I57" i="156" l="1"/>
  <c r="I55" i="156"/>
  <c r="I53" i="156"/>
  <c r="I51" i="156"/>
  <c r="I49" i="156"/>
  <c r="I45" i="156"/>
  <c r="I43" i="156"/>
  <c r="I41" i="156"/>
  <c r="I39" i="156"/>
  <c r="I37" i="156"/>
  <c r="I33" i="156"/>
  <c r="I31" i="156"/>
  <c r="I58" i="156"/>
  <c r="I56" i="156"/>
  <c r="I54" i="156"/>
  <c r="I52" i="156"/>
  <c r="I50" i="156"/>
  <c r="I48" i="156"/>
  <c r="I46" i="156"/>
  <c r="I44" i="156"/>
  <c r="I42" i="156"/>
  <c r="I40" i="156"/>
  <c r="I38" i="156"/>
  <c r="I36" i="156"/>
  <c r="I34" i="156"/>
  <c r="I32" i="156"/>
  <c r="I29" i="156"/>
  <c r="I27" i="156"/>
  <c r="I25" i="156"/>
  <c r="C23" i="156"/>
  <c r="D23" i="156" s="1"/>
  <c r="I30" i="156"/>
  <c r="K21" i="156"/>
  <c r="H21" i="156"/>
  <c r="M21" i="156"/>
  <c r="L21" i="156" l="1"/>
  <c r="I35" i="156"/>
  <c r="I47" i="156"/>
  <c r="J22" i="156"/>
  <c r="F22" i="156"/>
  <c r="G22" i="156" s="1"/>
  <c r="C24" i="156"/>
  <c r="D24" i="156" s="1"/>
  <c r="H22" i="156" l="1"/>
  <c r="J23" i="156"/>
  <c r="K23" i="156" s="1"/>
  <c r="K22" i="156"/>
  <c r="C25" i="156"/>
  <c r="F23" i="156"/>
  <c r="M22" i="156"/>
  <c r="C26" i="156" l="1"/>
  <c r="D26" i="156" s="1"/>
  <c r="D25" i="156"/>
  <c r="G23" i="156"/>
  <c r="H23" i="156" s="1"/>
  <c r="L22" i="156"/>
  <c r="F24" i="156"/>
  <c r="G24" i="156" s="1"/>
  <c r="M23" i="156"/>
  <c r="J24" i="156"/>
  <c r="F25" i="156" l="1"/>
  <c r="G25" i="156" s="1"/>
  <c r="H24" i="156"/>
  <c r="M24" i="156"/>
  <c r="J25" i="156"/>
  <c r="J26" i="156" s="1"/>
  <c r="J27" i="156" s="1"/>
  <c r="K24" i="156"/>
  <c r="C27" i="156"/>
  <c r="D27" i="156" s="1"/>
  <c r="L23" i="156"/>
  <c r="C28" i="156" l="1"/>
  <c r="D28" i="156" s="1"/>
  <c r="L24" i="156"/>
  <c r="K25" i="156"/>
  <c r="F26" i="156"/>
  <c r="G26" i="156" s="1"/>
  <c r="H25" i="156"/>
  <c r="M25" i="156"/>
  <c r="L25" i="156" l="1"/>
  <c r="K26" i="156"/>
  <c r="F27" i="156"/>
  <c r="G27" i="156" s="1"/>
  <c r="H26" i="156"/>
  <c r="M26" i="156"/>
  <c r="C29" i="156"/>
  <c r="D29" i="156" l="1"/>
  <c r="L26" i="156"/>
  <c r="C30" i="156"/>
  <c r="F28" i="156"/>
  <c r="H27" i="156"/>
  <c r="M27" i="156"/>
  <c r="J28" i="156"/>
  <c r="K27" i="156"/>
  <c r="G28" i="156" l="1"/>
  <c r="H28" i="156" s="1"/>
  <c r="J29" i="156"/>
  <c r="K28" i="156"/>
  <c r="L27" i="156"/>
  <c r="C31" i="156"/>
  <c r="D30" i="156"/>
  <c r="F29" i="156"/>
  <c r="M28" i="156"/>
  <c r="G29" i="156" l="1"/>
  <c r="H29" i="156" s="1"/>
  <c r="L28" i="156"/>
  <c r="F30" i="156"/>
  <c r="G30" i="156" s="1"/>
  <c r="M29" i="156"/>
  <c r="C32" i="156"/>
  <c r="D31" i="156"/>
  <c r="J30" i="156"/>
  <c r="K29" i="156"/>
  <c r="J31" i="156" l="1"/>
  <c r="K30" i="156"/>
  <c r="C33" i="156"/>
  <c r="D33" i="156" s="1"/>
  <c r="D32" i="156"/>
  <c r="F31" i="156"/>
  <c r="H30" i="156"/>
  <c r="M30" i="156"/>
  <c r="L29" i="156"/>
  <c r="G31" i="156" l="1"/>
  <c r="H31" i="156" s="1"/>
  <c r="L30" i="156"/>
  <c r="J32" i="156"/>
  <c r="K31" i="156"/>
  <c r="F32" i="156"/>
  <c r="M31" i="156"/>
  <c r="C34" i="156"/>
  <c r="L31" i="156" l="1"/>
  <c r="J33" i="156"/>
  <c r="K32" i="156"/>
  <c r="C35" i="156"/>
  <c r="D34" i="156"/>
  <c r="F33" i="156"/>
  <c r="G32" i="156"/>
  <c r="H32" i="156" s="1"/>
  <c r="L32" i="156" s="1"/>
  <c r="M32" i="156"/>
  <c r="F34" i="156" l="1"/>
  <c r="G33" i="156"/>
  <c r="H33" i="156" s="1"/>
  <c r="M33" i="156"/>
  <c r="C36" i="156"/>
  <c r="D35" i="156"/>
  <c r="J34" i="156"/>
  <c r="K33" i="156"/>
  <c r="C37" i="156" l="1"/>
  <c r="D36" i="156"/>
  <c r="F35" i="156"/>
  <c r="G34" i="156"/>
  <c r="H34" i="156" s="1"/>
  <c r="M34" i="156"/>
  <c r="J35" i="156"/>
  <c r="K34" i="156"/>
  <c r="L33" i="156"/>
  <c r="L34" i="156" l="1"/>
  <c r="J36" i="156"/>
  <c r="K35" i="156"/>
  <c r="F36" i="156"/>
  <c r="G35" i="156"/>
  <c r="H35" i="156" s="1"/>
  <c r="M35" i="156"/>
  <c r="C38" i="156"/>
  <c r="D37" i="156"/>
  <c r="L35" i="156" l="1"/>
  <c r="C39" i="156"/>
  <c r="D38" i="156"/>
  <c r="F37" i="156"/>
  <c r="G36" i="156"/>
  <c r="H36" i="156" s="1"/>
  <c r="M36" i="156"/>
  <c r="J37" i="156"/>
  <c r="K36" i="156"/>
  <c r="F38" i="156" l="1"/>
  <c r="G37" i="156"/>
  <c r="H37" i="156" s="1"/>
  <c r="M37" i="156"/>
  <c r="C40" i="156"/>
  <c r="D39" i="156"/>
  <c r="J38" i="156"/>
  <c r="K37" i="156"/>
  <c r="L36" i="156"/>
  <c r="J39" i="156" l="1"/>
  <c r="K38" i="156"/>
  <c r="C41" i="156"/>
  <c r="D40" i="156"/>
  <c r="F39" i="156"/>
  <c r="G38" i="156"/>
  <c r="H38" i="156" s="1"/>
  <c r="M38" i="156"/>
  <c r="L37" i="156"/>
  <c r="L38" i="156" l="1"/>
  <c r="J40" i="156"/>
  <c r="K39" i="156"/>
  <c r="F40" i="156"/>
  <c r="G39" i="156"/>
  <c r="H39" i="156" s="1"/>
  <c r="M39" i="156"/>
  <c r="C42" i="156"/>
  <c r="D41" i="156"/>
  <c r="L39" i="156" l="1"/>
  <c r="J41" i="156"/>
  <c r="K40" i="156"/>
  <c r="C43" i="156"/>
  <c r="D42" i="156"/>
  <c r="F41" i="156"/>
  <c r="G40" i="156"/>
  <c r="H40" i="156" s="1"/>
  <c r="L40" i="156" s="1"/>
  <c r="M40" i="156"/>
  <c r="F42" i="156" l="1"/>
  <c r="G41" i="156"/>
  <c r="H41" i="156" s="1"/>
  <c r="M41" i="156"/>
  <c r="C44" i="156"/>
  <c r="D43" i="156"/>
  <c r="J42" i="156"/>
  <c r="K41" i="156"/>
  <c r="J43" i="156" l="1"/>
  <c r="K42" i="156"/>
  <c r="C45" i="156"/>
  <c r="D44" i="156"/>
  <c r="F43" i="156"/>
  <c r="G42" i="156"/>
  <c r="H42" i="156" s="1"/>
  <c r="M42" i="156"/>
  <c r="L41" i="156"/>
  <c r="L42" i="156" l="1"/>
  <c r="J44" i="156"/>
  <c r="K43" i="156"/>
  <c r="F44" i="156"/>
  <c r="G43" i="156"/>
  <c r="H43" i="156" s="1"/>
  <c r="M43" i="156"/>
  <c r="C46" i="156"/>
  <c r="D45" i="156"/>
  <c r="L43" i="156" l="1"/>
  <c r="J45" i="156"/>
  <c r="K44" i="156"/>
  <c r="C47" i="156"/>
  <c r="D46" i="156"/>
  <c r="F45" i="156"/>
  <c r="G44" i="156"/>
  <c r="H44" i="156" s="1"/>
  <c r="M44" i="156"/>
  <c r="L44" i="156" l="1"/>
  <c r="F46" i="156"/>
  <c r="G45" i="156"/>
  <c r="H45" i="156" s="1"/>
  <c r="M45" i="156"/>
  <c r="C48" i="156"/>
  <c r="D47" i="156"/>
  <c r="J46" i="156"/>
  <c r="K45" i="156"/>
  <c r="L45" i="156" l="1"/>
  <c r="C49" i="156"/>
  <c r="D48" i="156"/>
  <c r="F47" i="156"/>
  <c r="G46" i="156"/>
  <c r="H46" i="156" s="1"/>
  <c r="M46" i="156"/>
  <c r="J47" i="156"/>
  <c r="K46" i="156"/>
  <c r="L46" i="156" l="1"/>
  <c r="J48" i="156"/>
  <c r="K47" i="156"/>
  <c r="F48" i="156"/>
  <c r="G47" i="156"/>
  <c r="H47" i="156" s="1"/>
  <c r="M47" i="156"/>
  <c r="C50" i="156"/>
  <c r="D49" i="156"/>
  <c r="L47" i="156" l="1"/>
  <c r="C51" i="156"/>
  <c r="D50" i="156"/>
  <c r="F49" i="156"/>
  <c r="G48" i="156"/>
  <c r="H48" i="156" s="1"/>
  <c r="M48" i="156"/>
  <c r="J49" i="156"/>
  <c r="K48" i="156"/>
  <c r="L48" i="156" l="1"/>
  <c r="J50" i="156"/>
  <c r="K49" i="156"/>
  <c r="F50" i="156"/>
  <c r="G49" i="156"/>
  <c r="H49" i="156" s="1"/>
  <c r="M49" i="156"/>
  <c r="C52" i="156"/>
  <c r="D51" i="156"/>
  <c r="L49" i="156" l="1"/>
  <c r="C53" i="156"/>
  <c r="D52" i="156"/>
  <c r="F51" i="156"/>
  <c r="G50" i="156"/>
  <c r="H50" i="156" s="1"/>
  <c r="M50" i="156"/>
  <c r="J51" i="156"/>
  <c r="K50" i="156"/>
  <c r="L50" i="156" l="1"/>
  <c r="C54" i="156"/>
  <c r="D53" i="156"/>
  <c r="J52" i="156"/>
  <c r="K51" i="156"/>
  <c r="F52" i="156"/>
  <c r="G51" i="156"/>
  <c r="H51" i="156" s="1"/>
  <c r="M51" i="156"/>
  <c r="L51" i="156" l="1"/>
  <c r="J53" i="156"/>
  <c r="K52" i="156"/>
  <c r="F53" i="156"/>
  <c r="G52" i="156"/>
  <c r="H52" i="156" s="1"/>
  <c r="M52" i="156"/>
  <c r="C55" i="156"/>
  <c r="D54" i="156"/>
  <c r="L52" i="156" l="1"/>
  <c r="C56" i="156"/>
  <c r="D55" i="156"/>
  <c r="F54" i="156"/>
  <c r="G53" i="156"/>
  <c r="H53" i="156" s="1"/>
  <c r="M53" i="156"/>
  <c r="J54" i="156"/>
  <c r="K53" i="156"/>
  <c r="L53" i="156" l="1"/>
  <c r="C57" i="156"/>
  <c r="D56" i="156"/>
  <c r="J55" i="156"/>
  <c r="K54" i="156"/>
  <c r="F55" i="156"/>
  <c r="G54" i="156"/>
  <c r="H54" i="156" s="1"/>
  <c r="M54" i="156"/>
  <c r="L54" i="156" l="1"/>
  <c r="F56" i="156"/>
  <c r="G55" i="156"/>
  <c r="H55" i="156" s="1"/>
  <c r="M55" i="156"/>
  <c r="J56" i="156"/>
  <c r="K55" i="156"/>
  <c r="C58" i="156"/>
  <c r="D57" i="156"/>
  <c r="J57" i="156" l="1"/>
  <c r="K56" i="156"/>
  <c r="F57" i="156"/>
  <c r="G56" i="156"/>
  <c r="H56" i="156" s="1"/>
  <c r="M56" i="156"/>
  <c r="C59" i="156"/>
  <c r="D58" i="156"/>
  <c r="L55" i="156"/>
  <c r="L56" i="156" l="1"/>
  <c r="C60" i="156"/>
  <c r="D59" i="156"/>
  <c r="F58" i="156"/>
  <c r="E105" i="156" s="1"/>
  <c r="G57" i="156"/>
  <c r="H57" i="156" s="1"/>
  <c r="M57" i="156"/>
  <c r="J58" i="156"/>
  <c r="K57" i="156"/>
  <c r="I59" i="156" l="1"/>
  <c r="J59" i="156" s="1"/>
  <c r="I60" i="156"/>
  <c r="L57" i="156"/>
  <c r="C61" i="156"/>
  <c r="D60" i="156"/>
  <c r="K58" i="156"/>
  <c r="F59" i="156"/>
  <c r="G58" i="156"/>
  <c r="H58" i="156" s="1"/>
  <c r="M58" i="156"/>
  <c r="J60" i="156" l="1"/>
  <c r="L58" i="156"/>
  <c r="F60" i="156"/>
  <c r="G59" i="156"/>
  <c r="H59" i="156" s="1"/>
  <c r="M59" i="156"/>
  <c r="C62" i="156"/>
  <c r="D61" i="156"/>
  <c r="K59" i="156"/>
  <c r="I61" i="156" l="1"/>
  <c r="J61" i="156" s="1"/>
  <c r="I62" i="156"/>
  <c r="K60" i="156"/>
  <c r="C63" i="156"/>
  <c r="D62" i="156"/>
  <c r="F61" i="156"/>
  <c r="G60" i="156"/>
  <c r="H60" i="156" s="1"/>
  <c r="M60" i="156"/>
  <c r="L59" i="156"/>
  <c r="L60" i="156" l="1"/>
  <c r="F62" i="156"/>
  <c r="G61" i="156"/>
  <c r="H61" i="156" s="1"/>
  <c r="M61" i="156"/>
  <c r="J62" i="156"/>
  <c r="K61" i="156"/>
  <c r="C64" i="156"/>
  <c r="D63" i="156"/>
  <c r="I63" i="156" l="1"/>
  <c r="J63" i="156" s="1"/>
  <c r="L61" i="156"/>
  <c r="C65" i="156"/>
  <c r="D64" i="156"/>
  <c r="F63" i="156"/>
  <c r="G62" i="156"/>
  <c r="H62" i="156" s="1"/>
  <c r="M62" i="156"/>
  <c r="K62" i="156"/>
  <c r="I64" i="156" l="1"/>
  <c r="J64" i="156" s="1"/>
  <c r="D46" i="159"/>
  <c r="I65" i="156"/>
  <c r="L62" i="156"/>
  <c r="C66" i="156"/>
  <c r="D65" i="156"/>
  <c r="K63" i="156"/>
  <c r="F64" i="156"/>
  <c r="G63" i="156"/>
  <c r="H63" i="156" s="1"/>
  <c r="M63" i="156"/>
  <c r="E46" i="159" l="1"/>
  <c r="H46" i="159" s="1"/>
  <c r="I66" i="156"/>
  <c r="L63" i="156"/>
  <c r="F65" i="156"/>
  <c r="G64" i="156"/>
  <c r="H64" i="156" s="1"/>
  <c r="M64" i="156"/>
  <c r="J65" i="156"/>
  <c r="K64" i="156"/>
  <c r="C67" i="156"/>
  <c r="D66" i="156"/>
  <c r="J66" i="156" l="1"/>
  <c r="K65" i="156"/>
  <c r="F66" i="156"/>
  <c r="G65" i="156"/>
  <c r="H65" i="156" s="1"/>
  <c r="M65" i="156"/>
  <c r="C68" i="156"/>
  <c r="D67" i="156"/>
  <c r="L64" i="156"/>
  <c r="J67" i="156" l="1"/>
  <c r="L65" i="156"/>
  <c r="C69" i="156"/>
  <c r="D68" i="156"/>
  <c r="F67" i="156"/>
  <c r="G66" i="156"/>
  <c r="H66" i="156" s="1"/>
  <c r="M66" i="156"/>
  <c r="K66" i="156"/>
  <c r="L66" i="156" l="1"/>
  <c r="C70" i="156"/>
  <c r="D69" i="156"/>
  <c r="J68" i="156"/>
  <c r="K67" i="156"/>
  <c r="F68" i="156"/>
  <c r="G67" i="156"/>
  <c r="H67" i="156" s="1"/>
  <c r="M67" i="156"/>
  <c r="C71" i="156" l="1"/>
  <c r="J69" i="156"/>
  <c r="J70" i="156" s="1"/>
  <c r="L67" i="156"/>
  <c r="F69" i="156"/>
  <c r="G68" i="156"/>
  <c r="H68" i="156" s="1"/>
  <c r="M68" i="156"/>
  <c r="K68" i="156"/>
  <c r="D70" i="156"/>
  <c r="C72" i="156" l="1"/>
  <c r="D71" i="156"/>
  <c r="K69" i="156"/>
  <c r="F70" i="156"/>
  <c r="G69" i="156"/>
  <c r="H69" i="156" s="1"/>
  <c r="M69" i="156"/>
  <c r="L68" i="156"/>
  <c r="F71" i="156" l="1"/>
  <c r="J71" i="156"/>
  <c r="C73" i="156"/>
  <c r="D72" i="156"/>
  <c r="L69" i="156"/>
  <c r="G70" i="156"/>
  <c r="H70" i="156" s="1"/>
  <c r="M70" i="156"/>
  <c r="K70" i="156"/>
  <c r="J72" i="156" l="1"/>
  <c r="K71" i="156"/>
  <c r="C74" i="156"/>
  <c r="D73" i="156"/>
  <c r="F72" i="156"/>
  <c r="G71" i="156"/>
  <c r="H71" i="156" s="1"/>
  <c r="M71" i="156"/>
  <c r="L70" i="156"/>
  <c r="J73" i="156" l="1"/>
  <c r="K72" i="156"/>
  <c r="L71" i="156"/>
  <c r="F73" i="156"/>
  <c r="G72" i="156"/>
  <c r="H72" i="156" s="1"/>
  <c r="M72" i="156"/>
  <c r="C75" i="156"/>
  <c r="D74" i="156"/>
  <c r="L72" i="156" l="1"/>
  <c r="C76" i="156"/>
  <c r="D75" i="156"/>
  <c r="F74" i="156"/>
  <c r="G73" i="156"/>
  <c r="H73" i="156" s="1"/>
  <c r="M73" i="156"/>
  <c r="J74" i="156"/>
  <c r="K73" i="156"/>
  <c r="H82" i="112"/>
  <c r="L73" i="156" l="1"/>
  <c r="J75" i="156"/>
  <c r="K74" i="156"/>
  <c r="F75" i="156"/>
  <c r="G74" i="156"/>
  <c r="H74" i="156" s="1"/>
  <c r="M74" i="156"/>
  <c r="C77" i="156"/>
  <c r="D76" i="156"/>
  <c r="L74" i="156" l="1"/>
  <c r="J76" i="156"/>
  <c r="K75" i="156"/>
  <c r="C78" i="156"/>
  <c r="D77" i="156"/>
  <c r="F76" i="156"/>
  <c r="G75" i="156"/>
  <c r="H75" i="156" s="1"/>
  <c r="M75" i="156"/>
  <c r="H81" i="112"/>
  <c r="L75" i="156" l="1"/>
  <c r="C79" i="156"/>
  <c r="D78" i="156"/>
  <c r="J77" i="156"/>
  <c r="K76" i="156"/>
  <c r="F77" i="156"/>
  <c r="G76" i="156"/>
  <c r="H76" i="156" s="1"/>
  <c r="M76" i="156"/>
  <c r="L76" i="156" l="1"/>
  <c r="F78" i="156"/>
  <c r="G77" i="156"/>
  <c r="H77" i="156" s="1"/>
  <c r="M77" i="156"/>
  <c r="C80" i="156"/>
  <c r="D79" i="156"/>
  <c r="J78" i="156"/>
  <c r="K77" i="156"/>
  <c r="H80" i="112"/>
  <c r="C81" i="156" l="1"/>
  <c r="D80" i="156"/>
  <c r="J79" i="156"/>
  <c r="K78" i="156"/>
  <c r="L77" i="156"/>
  <c r="F79" i="156"/>
  <c r="G78" i="156"/>
  <c r="H78" i="156" s="1"/>
  <c r="M78" i="156"/>
  <c r="L78" i="156" l="1"/>
  <c r="F80" i="156"/>
  <c r="G79" i="156"/>
  <c r="H79" i="156" s="1"/>
  <c r="M79" i="156"/>
  <c r="J80" i="156"/>
  <c r="K79" i="156"/>
  <c r="C82" i="156"/>
  <c r="D81" i="156"/>
  <c r="L79" i="156" l="1"/>
  <c r="J81" i="156"/>
  <c r="K80" i="156"/>
  <c r="C83" i="156"/>
  <c r="D82" i="156"/>
  <c r="F81" i="156"/>
  <c r="G80" i="156"/>
  <c r="H80" i="156" s="1"/>
  <c r="M80" i="156"/>
  <c r="H79" i="112"/>
  <c r="L80" i="156" l="1"/>
  <c r="F82" i="156"/>
  <c r="G81" i="156"/>
  <c r="H81" i="156" s="1"/>
  <c r="M81" i="156"/>
  <c r="C84" i="156"/>
  <c r="D83" i="156"/>
  <c r="J82" i="156"/>
  <c r="K81" i="156"/>
  <c r="H78" i="112"/>
  <c r="L81" i="156" l="1"/>
  <c r="J83" i="156"/>
  <c r="K82" i="156"/>
  <c r="C85" i="156"/>
  <c r="D84" i="156"/>
  <c r="F83" i="156"/>
  <c r="G82" i="156"/>
  <c r="H82" i="156" s="1"/>
  <c r="M82" i="156"/>
  <c r="L82" i="156" l="1"/>
  <c r="C86" i="156"/>
  <c r="D85" i="156"/>
  <c r="F84" i="156"/>
  <c r="G83" i="156"/>
  <c r="H83" i="156" s="1"/>
  <c r="M83" i="156"/>
  <c r="J84" i="156"/>
  <c r="K83" i="156"/>
  <c r="H77" i="112"/>
  <c r="F85" i="156" l="1"/>
  <c r="G84" i="156"/>
  <c r="H84" i="156" s="1"/>
  <c r="M84" i="156"/>
  <c r="J85" i="156"/>
  <c r="K84" i="156"/>
  <c r="L83" i="156"/>
  <c r="C87" i="156"/>
  <c r="D86" i="156"/>
  <c r="H76" i="112"/>
  <c r="L84" i="156" l="1"/>
  <c r="C88" i="156"/>
  <c r="C89" i="156" s="1"/>
  <c r="D87" i="156"/>
  <c r="J86" i="156"/>
  <c r="K85" i="156"/>
  <c r="F86" i="156"/>
  <c r="G85" i="156"/>
  <c r="H85" i="156" s="1"/>
  <c r="M85" i="156"/>
  <c r="O370" i="114"/>
  <c r="D89" i="156" l="1"/>
  <c r="C90" i="156"/>
  <c r="L85" i="156"/>
  <c r="J87" i="156"/>
  <c r="K86" i="156"/>
  <c r="F87" i="156"/>
  <c r="G86" i="156"/>
  <c r="H86" i="156" s="1"/>
  <c r="M86" i="156"/>
  <c r="D88" i="156"/>
  <c r="K24" i="134"/>
  <c r="K27" i="134"/>
  <c r="K28" i="134"/>
  <c r="K29" i="134"/>
  <c r="K30" i="134"/>
  <c r="K31" i="134"/>
  <c r="K32" i="134"/>
  <c r="K33" i="134"/>
  <c r="K34" i="134"/>
  <c r="K35" i="134"/>
  <c r="K36" i="134"/>
  <c r="K107" i="134"/>
  <c r="K106" i="134"/>
  <c r="K105" i="134"/>
  <c r="K97" i="134"/>
  <c r="K98" i="134"/>
  <c r="K99" i="134"/>
  <c r="K100" i="134"/>
  <c r="K101" i="134"/>
  <c r="K102" i="134"/>
  <c r="K103" i="134"/>
  <c r="K104" i="134"/>
  <c r="K96" i="134"/>
  <c r="C91" i="156" l="1"/>
  <c r="D90" i="156"/>
  <c r="F88" i="156"/>
  <c r="F89" i="156" s="1"/>
  <c r="G87" i="156"/>
  <c r="H87" i="156" s="1"/>
  <c r="M87" i="156"/>
  <c r="L86" i="156"/>
  <c r="J88" i="156"/>
  <c r="K87" i="156"/>
  <c r="I60" i="111"/>
  <c r="C92" i="156" l="1"/>
  <c r="D91" i="156"/>
  <c r="F90" i="156"/>
  <c r="G89" i="156"/>
  <c r="H89" i="156" s="1"/>
  <c r="K88" i="156"/>
  <c r="J89" i="156"/>
  <c r="L87" i="156"/>
  <c r="G88" i="156"/>
  <c r="H88" i="156" s="1"/>
  <c r="M88" i="156"/>
  <c r="K22" i="148"/>
  <c r="K21" i="148"/>
  <c r="K20" i="148"/>
  <c r="K19" i="148"/>
  <c r="K18" i="148"/>
  <c r="K17" i="148"/>
  <c r="K16" i="148"/>
  <c r="K15" i="148"/>
  <c r="L15" i="148" s="1"/>
  <c r="E15" i="148"/>
  <c r="K22" i="147"/>
  <c r="K21" i="147"/>
  <c r="K20" i="147"/>
  <c r="K19" i="147"/>
  <c r="K18" i="147"/>
  <c r="K17" i="147"/>
  <c r="K16" i="147"/>
  <c r="K15" i="147"/>
  <c r="K14" i="147"/>
  <c r="L14" i="147" s="1"/>
  <c r="E14" i="147"/>
  <c r="C93" i="156" l="1"/>
  <c r="D92" i="156"/>
  <c r="G90" i="156"/>
  <c r="H90" i="156" s="1"/>
  <c r="F91" i="156"/>
  <c r="L88" i="156"/>
  <c r="J90" i="156"/>
  <c r="M89" i="156"/>
  <c r="K89" i="156"/>
  <c r="L89" i="156" s="1"/>
  <c r="E16" i="148"/>
  <c r="E17" i="148" s="1"/>
  <c r="E15" i="147"/>
  <c r="L15" i="147"/>
  <c r="L16" i="148"/>
  <c r="O16" i="148" l="1"/>
  <c r="C94" i="156"/>
  <c r="D93" i="156"/>
  <c r="F92" i="156"/>
  <c r="G91" i="156"/>
  <c r="H91" i="156" s="1"/>
  <c r="J91" i="156"/>
  <c r="M90" i="156"/>
  <c r="K90" i="156"/>
  <c r="L90" i="156" s="1"/>
  <c r="O15" i="147"/>
  <c r="E16" i="147"/>
  <c r="L16" i="147"/>
  <c r="L17" i="148"/>
  <c r="L18" i="148" s="1"/>
  <c r="E18" i="148"/>
  <c r="C95" i="156" l="1"/>
  <c r="D94" i="156"/>
  <c r="F93" i="156"/>
  <c r="G92" i="156"/>
  <c r="H92" i="156" s="1"/>
  <c r="J92" i="156"/>
  <c r="M91" i="156"/>
  <c r="K91" i="156"/>
  <c r="L91" i="156" s="1"/>
  <c r="O16" i="147"/>
  <c r="E17" i="147"/>
  <c r="L17" i="147"/>
  <c r="O17" i="147" s="1"/>
  <c r="O18" i="148"/>
  <c r="O17" i="148"/>
  <c r="E18" i="147"/>
  <c r="E19" i="148"/>
  <c r="C96" i="156" l="1"/>
  <c r="D95" i="156"/>
  <c r="F94" i="156"/>
  <c r="G93" i="156"/>
  <c r="H93" i="156" s="1"/>
  <c r="J93" i="156"/>
  <c r="M92" i="156"/>
  <c r="K92" i="156"/>
  <c r="L92" i="156" s="1"/>
  <c r="L18" i="147"/>
  <c r="O18" i="147" s="1"/>
  <c r="L19" i="148"/>
  <c r="O19" i="148" s="1"/>
  <c r="E20" i="148"/>
  <c r="E19" i="147"/>
  <c r="H75" i="112"/>
  <c r="D77" i="113" s="1"/>
  <c r="D11" i="114"/>
  <c r="D12" i="114" s="1"/>
  <c r="D13" i="114" s="1"/>
  <c r="D14" i="114" s="1"/>
  <c r="D15" i="114" s="1"/>
  <c r="D16" i="114" s="1"/>
  <c r="D17" i="114" s="1"/>
  <c r="D18" i="114" s="1"/>
  <c r="D19" i="114" s="1"/>
  <c r="D20" i="114" s="1"/>
  <c r="D21" i="114" s="1"/>
  <c r="D22" i="114" s="1"/>
  <c r="D23" i="114" s="1"/>
  <c r="D24" i="114" s="1"/>
  <c r="D25" i="114" s="1"/>
  <c r="D26" i="114" s="1"/>
  <c r="D27" i="114" s="1"/>
  <c r="D28" i="114" s="1"/>
  <c r="D29" i="114" s="1"/>
  <c r="D30" i="114" s="1"/>
  <c r="D31" i="114" s="1"/>
  <c r="D32" i="114" s="1"/>
  <c r="D33" i="114" s="1"/>
  <c r="D34" i="114" s="1"/>
  <c r="D35" i="114" s="1"/>
  <c r="D36" i="114" s="1"/>
  <c r="D37" i="114" s="1"/>
  <c r="D38" i="114" s="1"/>
  <c r="D39" i="114" s="1"/>
  <c r="D40" i="114" s="1"/>
  <c r="D41" i="114" s="1"/>
  <c r="D42" i="114" s="1"/>
  <c r="D43" i="114" s="1"/>
  <c r="D44" i="114" s="1"/>
  <c r="D45" i="114" s="1"/>
  <c r="D46" i="114" s="1"/>
  <c r="D47" i="114" s="1"/>
  <c r="D48" i="114" s="1"/>
  <c r="D49" i="114" s="1"/>
  <c r="D50" i="114" s="1"/>
  <c r="D51" i="114" s="1"/>
  <c r="D52" i="114" s="1"/>
  <c r="D53" i="114" s="1"/>
  <c r="D54" i="114" s="1"/>
  <c r="D55" i="114" s="1"/>
  <c r="D56" i="114" s="1"/>
  <c r="D57" i="114" s="1"/>
  <c r="D64" i="114"/>
  <c r="D63" i="114"/>
  <c r="D62" i="114"/>
  <c r="D61" i="114"/>
  <c r="D60" i="114"/>
  <c r="D59" i="114"/>
  <c r="D58" i="114"/>
  <c r="J56" i="114"/>
  <c r="M74" i="114"/>
  <c r="M76" i="114"/>
  <c r="H77" i="114"/>
  <c r="H78" i="114"/>
  <c r="H79" i="114" s="1"/>
  <c r="H80" i="114" s="1"/>
  <c r="H81" i="114" s="1"/>
  <c r="C76" i="113"/>
  <c r="H76" i="113" s="1"/>
  <c r="B76" i="113" s="1"/>
  <c r="H74" i="112"/>
  <c r="D76" i="113" s="1"/>
  <c r="G21" i="135"/>
  <c r="F19" i="133"/>
  <c r="G26" i="134"/>
  <c r="K26" i="134" s="1"/>
  <c r="H73" i="112"/>
  <c r="D75" i="113" s="1"/>
  <c r="H72" i="112"/>
  <c r="K12" i="134"/>
  <c r="L12" i="134" s="1"/>
  <c r="H19" i="135"/>
  <c r="I19" i="135" s="1"/>
  <c r="M75" i="114"/>
  <c r="H71" i="112"/>
  <c r="E12" i="134"/>
  <c r="H70" i="112"/>
  <c r="D72" i="113" s="1"/>
  <c r="K102" i="135"/>
  <c r="K101" i="135"/>
  <c r="K100" i="135"/>
  <c r="K99" i="135"/>
  <c r="K98" i="135"/>
  <c r="K97" i="135"/>
  <c r="K96" i="135"/>
  <c r="K95" i="135"/>
  <c r="K94" i="135"/>
  <c r="K93" i="135"/>
  <c r="K92" i="135"/>
  <c r="K91" i="135"/>
  <c r="K17" i="135"/>
  <c r="K11" i="135"/>
  <c r="L11" i="135" s="1"/>
  <c r="E11" i="135"/>
  <c r="K12" i="135"/>
  <c r="K14" i="135"/>
  <c r="K16" i="135"/>
  <c r="K18" i="135"/>
  <c r="K13" i="135"/>
  <c r="K15" i="135"/>
  <c r="K23" i="134"/>
  <c r="K22" i="134"/>
  <c r="K21" i="134"/>
  <c r="K20" i="134"/>
  <c r="K19" i="134"/>
  <c r="K18" i="134"/>
  <c r="K17" i="134"/>
  <c r="K16" i="134"/>
  <c r="H16" i="134"/>
  <c r="H17" i="134" s="1"/>
  <c r="H18" i="134" s="1"/>
  <c r="H19" i="134" s="1"/>
  <c r="H20" i="134" s="1"/>
  <c r="H21" i="134" s="1"/>
  <c r="H22" i="134" s="1"/>
  <c r="H23" i="134" s="1"/>
  <c r="H24" i="134" s="1"/>
  <c r="K15" i="134"/>
  <c r="K14" i="134"/>
  <c r="K13" i="134"/>
  <c r="E13" i="134"/>
  <c r="E14" i="134" s="1"/>
  <c r="E15" i="134" s="1"/>
  <c r="E16" i="134" s="1"/>
  <c r="E17" i="134" s="1"/>
  <c r="N113" i="133"/>
  <c r="J100" i="133"/>
  <c r="J99" i="133"/>
  <c r="J98" i="133"/>
  <c r="J97" i="133"/>
  <c r="J96" i="133"/>
  <c r="J95" i="133"/>
  <c r="J94" i="133"/>
  <c r="J93" i="133"/>
  <c r="J92" i="133"/>
  <c r="J91" i="133"/>
  <c r="J90" i="133"/>
  <c r="J89" i="133"/>
  <c r="G14" i="133"/>
  <c r="G15" i="133" s="1"/>
  <c r="G16" i="133" s="1"/>
  <c r="G17" i="133" s="1"/>
  <c r="H17" i="133" s="1"/>
  <c r="J16" i="133"/>
  <c r="D12" i="133"/>
  <c r="D13" i="133" s="1"/>
  <c r="J13" i="133"/>
  <c r="J15" i="133"/>
  <c r="J12" i="133"/>
  <c r="J14" i="133"/>
  <c r="C72" i="113"/>
  <c r="H72" i="113" s="1"/>
  <c r="B72" i="113" s="1"/>
  <c r="N72" i="113"/>
  <c r="H69" i="112"/>
  <c r="D71" i="113" s="1"/>
  <c r="G44" i="112"/>
  <c r="N46" i="113" s="1"/>
  <c r="H68" i="112"/>
  <c r="D70" i="113" s="1"/>
  <c r="H67" i="112"/>
  <c r="D69" i="113" s="1"/>
  <c r="H66" i="112"/>
  <c r="D68" i="113" s="1"/>
  <c r="H64" i="112"/>
  <c r="D66" i="113" s="1"/>
  <c r="H63" i="112"/>
  <c r="H62" i="112"/>
  <c r="D64" i="113" s="1"/>
  <c r="N295" i="113"/>
  <c r="N294" i="113"/>
  <c r="N293" i="113"/>
  <c r="N292" i="113"/>
  <c r="N291" i="113"/>
  <c r="N289" i="113"/>
  <c r="D289" i="113"/>
  <c r="C289" i="113"/>
  <c r="H289" i="113" s="1"/>
  <c r="B289" i="113" s="1"/>
  <c r="N288" i="113"/>
  <c r="D288" i="113"/>
  <c r="C288" i="113"/>
  <c r="H288" i="113" s="1"/>
  <c r="B288" i="113" s="1"/>
  <c r="N287" i="113"/>
  <c r="D287" i="113"/>
  <c r="C287" i="113"/>
  <c r="H287" i="113" s="1"/>
  <c r="B287" i="113" s="1"/>
  <c r="N286" i="113"/>
  <c r="C286" i="113"/>
  <c r="H286" i="113" s="1"/>
  <c r="B286" i="113" s="1"/>
  <c r="N285" i="113"/>
  <c r="N284" i="113"/>
  <c r="N283" i="113"/>
  <c r="N282" i="113"/>
  <c r="N281" i="113"/>
  <c r="N280" i="113"/>
  <c r="N279" i="113"/>
  <c r="N278" i="113"/>
  <c r="N277" i="113"/>
  <c r="N276" i="113"/>
  <c r="N275" i="113"/>
  <c r="N274" i="113"/>
  <c r="N273" i="113"/>
  <c r="N272" i="113"/>
  <c r="N271" i="113"/>
  <c r="N270" i="113"/>
  <c r="N269" i="113"/>
  <c r="N268" i="113"/>
  <c r="N267" i="113"/>
  <c r="N266" i="113"/>
  <c r="N265" i="113"/>
  <c r="N264" i="113"/>
  <c r="N263" i="113"/>
  <c r="N262" i="113"/>
  <c r="N261" i="113"/>
  <c r="N260" i="113"/>
  <c r="N259" i="113"/>
  <c r="N258" i="113"/>
  <c r="N257" i="113"/>
  <c r="N256" i="113"/>
  <c r="N255" i="113"/>
  <c r="N254" i="113"/>
  <c r="N253" i="113"/>
  <c r="N252" i="113"/>
  <c r="N251" i="113"/>
  <c r="N250" i="113"/>
  <c r="N249" i="113"/>
  <c r="N248" i="113"/>
  <c r="N247" i="113"/>
  <c r="N246" i="113"/>
  <c r="N245" i="113"/>
  <c r="N244" i="113"/>
  <c r="N243" i="113"/>
  <c r="N242" i="113"/>
  <c r="N241" i="113"/>
  <c r="N240" i="113"/>
  <c r="N239" i="113"/>
  <c r="N238" i="113"/>
  <c r="N237" i="113"/>
  <c r="N236" i="113"/>
  <c r="N235" i="113"/>
  <c r="N234" i="113"/>
  <c r="N233" i="113"/>
  <c r="N232" i="113"/>
  <c r="N231" i="113"/>
  <c r="N230" i="113"/>
  <c r="N229" i="113"/>
  <c r="N228" i="113"/>
  <c r="N227" i="113"/>
  <c r="N226" i="113"/>
  <c r="N225" i="113"/>
  <c r="N224" i="113"/>
  <c r="N223" i="113"/>
  <c r="N222" i="113"/>
  <c r="N221" i="113"/>
  <c r="B298" i="113"/>
  <c r="B297" i="113"/>
  <c r="B296" i="113"/>
  <c r="B295" i="113"/>
  <c r="B294" i="113"/>
  <c r="B293" i="113"/>
  <c r="B292" i="113"/>
  <c r="B291" i="113"/>
  <c r="B290" i="113"/>
  <c r="H284" i="112"/>
  <c r="D286" i="113" s="1"/>
  <c r="C285" i="112"/>
  <c r="C284" i="112"/>
  <c r="C283" i="112"/>
  <c r="C282" i="112"/>
  <c r="C281" i="112"/>
  <c r="C280" i="112"/>
  <c r="C279" i="112"/>
  <c r="C277" i="112"/>
  <c r="C276" i="112"/>
  <c r="C275" i="112"/>
  <c r="C274" i="112"/>
  <c r="C273" i="112"/>
  <c r="C272" i="112"/>
  <c r="C271" i="112"/>
  <c r="C270" i="112"/>
  <c r="C269" i="112"/>
  <c r="C268" i="112"/>
  <c r="C267" i="112"/>
  <c r="C265" i="112"/>
  <c r="C264" i="112"/>
  <c r="C263" i="112"/>
  <c r="C262" i="112"/>
  <c r="C261" i="112"/>
  <c r="C260" i="112"/>
  <c r="C259" i="112"/>
  <c r="C258" i="112"/>
  <c r="C257" i="112"/>
  <c r="C256" i="112"/>
  <c r="C255" i="112"/>
  <c r="C253" i="112"/>
  <c r="C252" i="112"/>
  <c r="C251" i="112"/>
  <c r="C250" i="112"/>
  <c r="C249" i="112"/>
  <c r="C248" i="112"/>
  <c r="C247" i="112"/>
  <c r="C246" i="112"/>
  <c r="C245" i="112"/>
  <c r="C244" i="112"/>
  <c r="C243" i="112"/>
  <c r="C241" i="112"/>
  <c r="C240" i="112"/>
  <c r="C239" i="112"/>
  <c r="C238" i="112"/>
  <c r="C237" i="112"/>
  <c r="C236" i="112"/>
  <c r="C235" i="112"/>
  <c r="C234" i="112"/>
  <c r="C233" i="112"/>
  <c r="C232" i="112"/>
  <c r="C231" i="112"/>
  <c r="C229" i="112"/>
  <c r="C228" i="112"/>
  <c r="C227" i="112"/>
  <c r="C226" i="112"/>
  <c r="C225" i="112"/>
  <c r="C224" i="112"/>
  <c r="C223" i="112"/>
  <c r="C222" i="112"/>
  <c r="C221" i="112"/>
  <c r="C220" i="112"/>
  <c r="C219" i="112"/>
  <c r="C217" i="112"/>
  <c r="C216" i="112"/>
  <c r="C215" i="112"/>
  <c r="C214" i="112"/>
  <c r="C213" i="112"/>
  <c r="C212" i="112"/>
  <c r="C211" i="112"/>
  <c r="C210" i="112"/>
  <c r="C209" i="112"/>
  <c r="C208" i="112"/>
  <c r="C207" i="112"/>
  <c r="C205" i="112"/>
  <c r="C204" i="112"/>
  <c r="C203" i="112"/>
  <c r="C202" i="112"/>
  <c r="C201" i="112"/>
  <c r="C200" i="112"/>
  <c r="C199" i="112"/>
  <c r="C198" i="112"/>
  <c r="C197" i="112"/>
  <c r="C196" i="112"/>
  <c r="C195" i="112"/>
  <c r="C193" i="112"/>
  <c r="C192" i="112"/>
  <c r="C191" i="112"/>
  <c r="C190" i="112"/>
  <c r="C189" i="112"/>
  <c r="C188" i="112"/>
  <c r="C187" i="112"/>
  <c r="C186" i="112"/>
  <c r="C185" i="112"/>
  <c r="C184" i="112"/>
  <c r="C183" i="112"/>
  <c r="C182" i="112"/>
  <c r="C181" i="112"/>
  <c r="C180" i="112"/>
  <c r="C179" i="112"/>
  <c r="C178" i="112"/>
  <c r="C177" i="112"/>
  <c r="C176" i="112"/>
  <c r="C175" i="112"/>
  <c r="C174" i="112"/>
  <c r="C173" i="112"/>
  <c r="C172" i="112"/>
  <c r="C171" i="112"/>
  <c r="C170" i="112"/>
  <c r="C169" i="112"/>
  <c r="C168" i="112"/>
  <c r="C167" i="112"/>
  <c r="C166" i="112"/>
  <c r="C165" i="112"/>
  <c r="C164" i="112"/>
  <c r="C163" i="112"/>
  <c r="C162" i="112"/>
  <c r="C161" i="112"/>
  <c r="C160" i="112"/>
  <c r="C159" i="112"/>
  <c r="C158" i="112"/>
  <c r="C157" i="112"/>
  <c r="C156" i="112"/>
  <c r="C155" i="112"/>
  <c r="C154" i="112"/>
  <c r="C153" i="112"/>
  <c r="C152" i="112"/>
  <c r="C151" i="112"/>
  <c r="C150" i="112"/>
  <c r="C149" i="112"/>
  <c r="C148" i="112"/>
  <c r="C147" i="112"/>
  <c r="C146" i="112"/>
  <c r="C145" i="112"/>
  <c r="C144" i="112"/>
  <c r="C143" i="112"/>
  <c r="C142" i="112"/>
  <c r="C141" i="112"/>
  <c r="C140" i="112"/>
  <c r="C139" i="112"/>
  <c r="C138" i="112"/>
  <c r="C137" i="112"/>
  <c r="C136" i="112"/>
  <c r="C135" i="112"/>
  <c r="C134" i="112"/>
  <c r="C133" i="112"/>
  <c r="C132" i="112"/>
  <c r="C131" i="112"/>
  <c r="C130" i="112"/>
  <c r="C129" i="112"/>
  <c r="C128" i="112"/>
  <c r="C127" i="112"/>
  <c r="C126" i="112"/>
  <c r="C125" i="112"/>
  <c r="C124" i="112"/>
  <c r="C123" i="112"/>
  <c r="C122" i="112"/>
  <c r="C121" i="112"/>
  <c r="C120" i="112"/>
  <c r="C119" i="112"/>
  <c r="C118" i="112"/>
  <c r="C117" i="112"/>
  <c r="C116" i="112"/>
  <c r="C115" i="112"/>
  <c r="C114" i="112"/>
  <c r="C113" i="112"/>
  <c r="C112" i="112"/>
  <c r="C111" i="112"/>
  <c r="C110" i="112"/>
  <c r="C109" i="112"/>
  <c r="C108" i="112"/>
  <c r="C107" i="112"/>
  <c r="C106" i="112"/>
  <c r="C105" i="112"/>
  <c r="C104" i="112"/>
  <c r="C103" i="112"/>
  <c r="C102" i="112"/>
  <c r="C101" i="112"/>
  <c r="C100" i="112"/>
  <c r="C99" i="112"/>
  <c r="C98" i="112"/>
  <c r="C97" i="112"/>
  <c r="C96" i="112"/>
  <c r="C95" i="112"/>
  <c r="C94" i="112"/>
  <c r="C93" i="112"/>
  <c r="C92" i="112"/>
  <c r="C91" i="112"/>
  <c r="C90" i="112"/>
  <c r="C89" i="112"/>
  <c r="C88" i="112"/>
  <c r="C87" i="112"/>
  <c r="C86" i="112"/>
  <c r="C85" i="112"/>
  <c r="C84" i="112"/>
  <c r="C83" i="112"/>
  <c r="C82" i="112"/>
  <c r="C81" i="112"/>
  <c r="C80" i="112"/>
  <c r="C79" i="112"/>
  <c r="C78" i="112"/>
  <c r="C77" i="112"/>
  <c r="C76" i="112"/>
  <c r="C75" i="112"/>
  <c r="C74" i="112"/>
  <c r="C73" i="112"/>
  <c r="C72" i="112"/>
  <c r="C71" i="112"/>
  <c r="C70" i="112"/>
  <c r="C69" i="112"/>
  <c r="C68" i="112"/>
  <c r="C67" i="112"/>
  <c r="C66" i="112"/>
  <c r="C65" i="112"/>
  <c r="C64" i="112"/>
  <c r="C63" i="112"/>
  <c r="C62" i="112"/>
  <c r="C61" i="112"/>
  <c r="C60" i="112"/>
  <c r="C59" i="112"/>
  <c r="C58" i="112"/>
  <c r="C57" i="112"/>
  <c r="C56" i="112"/>
  <c r="C55" i="112"/>
  <c r="C54" i="112"/>
  <c r="C53" i="112"/>
  <c r="C52" i="112"/>
  <c r="C51" i="112"/>
  <c r="C50" i="112"/>
  <c r="C49" i="112"/>
  <c r="C48" i="112"/>
  <c r="C47" i="112"/>
  <c r="C46" i="112"/>
  <c r="C45" i="112"/>
  <c r="C44" i="112"/>
  <c r="C43" i="112"/>
  <c r="C42" i="112"/>
  <c r="C41" i="112"/>
  <c r="C40" i="112"/>
  <c r="C39" i="112"/>
  <c r="C38" i="112"/>
  <c r="C37" i="112"/>
  <c r="C36" i="112"/>
  <c r="C35" i="112"/>
  <c r="C34" i="112"/>
  <c r="C33" i="112"/>
  <c r="C32" i="112"/>
  <c r="C31" i="112"/>
  <c r="C30" i="112"/>
  <c r="C29" i="112"/>
  <c r="C28" i="112"/>
  <c r="C27" i="112"/>
  <c r="C26" i="112"/>
  <c r="C25" i="112"/>
  <c r="C24" i="112"/>
  <c r="C23" i="112"/>
  <c r="C22" i="112"/>
  <c r="C21" i="112"/>
  <c r="C20" i="112"/>
  <c r="C19" i="112"/>
  <c r="C18" i="112"/>
  <c r="C17" i="112"/>
  <c r="C16" i="112"/>
  <c r="C15" i="112"/>
  <c r="C14" i="112"/>
  <c r="C13" i="112"/>
  <c r="C12" i="112"/>
  <c r="C11" i="112"/>
  <c r="C10" i="112"/>
  <c r="C9" i="112"/>
  <c r="C8" i="112"/>
  <c r="C7" i="112"/>
  <c r="C6" i="112"/>
  <c r="I251" i="111"/>
  <c r="I250" i="111"/>
  <c r="I249" i="111"/>
  <c r="I248" i="111"/>
  <c r="I247" i="111"/>
  <c r="I246" i="111"/>
  <c r="I245" i="111"/>
  <c r="I244" i="111"/>
  <c r="I243" i="111"/>
  <c r="I242" i="111"/>
  <c r="I241" i="111"/>
  <c r="I240" i="111"/>
  <c r="I239" i="111"/>
  <c r="I238" i="111"/>
  <c r="I237" i="111"/>
  <c r="I236" i="111"/>
  <c r="I235" i="111"/>
  <c r="I234" i="111"/>
  <c r="I233" i="111"/>
  <c r="I232" i="111"/>
  <c r="I231" i="111"/>
  <c r="I230" i="111"/>
  <c r="I229" i="111"/>
  <c r="I228" i="111"/>
  <c r="I227" i="111"/>
  <c r="I226" i="111"/>
  <c r="I225" i="111"/>
  <c r="I224" i="111"/>
  <c r="I223" i="111"/>
  <c r="I222" i="111"/>
  <c r="I221" i="111"/>
  <c r="I220" i="111"/>
  <c r="I219" i="111"/>
  <c r="I218" i="111"/>
  <c r="I217" i="111"/>
  <c r="I216" i="111"/>
  <c r="I215" i="111"/>
  <c r="I214" i="111"/>
  <c r="I213" i="111"/>
  <c r="I212" i="111"/>
  <c r="I211" i="111"/>
  <c r="I210" i="111"/>
  <c r="I209" i="111"/>
  <c r="I208" i="111"/>
  <c r="I207" i="111"/>
  <c r="I206" i="111"/>
  <c r="I205" i="111"/>
  <c r="I204" i="111"/>
  <c r="I203" i="111"/>
  <c r="I202" i="111"/>
  <c r="I201" i="111"/>
  <c r="I200" i="111"/>
  <c r="I199" i="111"/>
  <c r="I198" i="111"/>
  <c r="H58" i="112"/>
  <c r="H57" i="112"/>
  <c r="D59" i="113" s="1"/>
  <c r="I22" i="111"/>
  <c r="I21" i="111"/>
  <c r="I20" i="111"/>
  <c r="I19" i="111"/>
  <c r="I18" i="111"/>
  <c r="I197" i="111"/>
  <c r="I196" i="111"/>
  <c r="H56" i="112"/>
  <c r="D58" i="113" s="1"/>
  <c r="I17" i="111"/>
  <c r="I16" i="111"/>
  <c r="I15" i="111"/>
  <c r="I14" i="111"/>
  <c r="H55" i="112"/>
  <c r="D57" i="113" s="1"/>
  <c r="H54" i="112"/>
  <c r="I195" i="111"/>
  <c r="H53" i="112"/>
  <c r="D55" i="113" s="1"/>
  <c r="H52" i="112"/>
  <c r="N220" i="113"/>
  <c r="N219" i="113"/>
  <c r="N218" i="113"/>
  <c r="N217" i="113"/>
  <c r="N216" i="113"/>
  <c r="N215" i="113"/>
  <c r="N214" i="113"/>
  <c r="N213" i="113"/>
  <c r="N212" i="113"/>
  <c r="N211" i="113"/>
  <c r="N210" i="113"/>
  <c r="N209" i="113"/>
  <c r="N208" i="113"/>
  <c r="N207" i="113"/>
  <c r="N206" i="113"/>
  <c r="N205" i="113"/>
  <c r="N204" i="113"/>
  <c r="N203" i="113"/>
  <c r="N202" i="113"/>
  <c r="N201" i="113"/>
  <c r="N200" i="113"/>
  <c r="N199" i="113"/>
  <c r="N198" i="113"/>
  <c r="N197" i="113"/>
  <c r="N196" i="113"/>
  <c r="N195" i="113"/>
  <c r="N194" i="113"/>
  <c r="N193" i="113"/>
  <c r="N192" i="113"/>
  <c r="N191" i="113"/>
  <c r="N190" i="113"/>
  <c r="N189" i="113"/>
  <c r="N188" i="113"/>
  <c r="N187" i="113"/>
  <c r="N186" i="113"/>
  <c r="N185" i="113"/>
  <c r="N184" i="113"/>
  <c r="N183" i="113"/>
  <c r="N182" i="113"/>
  <c r="N181" i="113"/>
  <c r="N180" i="113"/>
  <c r="N179" i="113"/>
  <c r="N178" i="113"/>
  <c r="N177" i="113"/>
  <c r="N176" i="113"/>
  <c r="N175" i="113"/>
  <c r="N174" i="113"/>
  <c r="N173" i="113"/>
  <c r="N172" i="113"/>
  <c r="N171" i="113"/>
  <c r="N170" i="113"/>
  <c r="N169" i="113"/>
  <c r="N168" i="113"/>
  <c r="N167" i="113"/>
  <c r="N166" i="113"/>
  <c r="N165" i="113"/>
  <c r="N164" i="113"/>
  <c r="N163" i="113"/>
  <c r="N162" i="113"/>
  <c r="N161" i="113"/>
  <c r="N160" i="113"/>
  <c r="N159" i="113"/>
  <c r="N158" i="113"/>
  <c r="N157" i="113"/>
  <c r="N156" i="113"/>
  <c r="N155" i="113"/>
  <c r="N154" i="113"/>
  <c r="N153" i="113"/>
  <c r="N152" i="113"/>
  <c r="N151" i="113"/>
  <c r="N150" i="113"/>
  <c r="N149" i="113"/>
  <c r="N148" i="113"/>
  <c r="N147" i="113"/>
  <c r="N146" i="113"/>
  <c r="N145" i="113"/>
  <c r="N144" i="113"/>
  <c r="N143" i="113"/>
  <c r="N142" i="113"/>
  <c r="N141" i="113"/>
  <c r="N140" i="113"/>
  <c r="N139" i="113"/>
  <c r="N138" i="113"/>
  <c r="N137" i="113"/>
  <c r="N136" i="113"/>
  <c r="N135" i="113"/>
  <c r="N134" i="113"/>
  <c r="N133" i="113"/>
  <c r="N132" i="113"/>
  <c r="N131" i="113"/>
  <c r="N130" i="113"/>
  <c r="N129" i="113"/>
  <c r="N128" i="113"/>
  <c r="N127" i="113"/>
  <c r="N126" i="113"/>
  <c r="N125" i="113"/>
  <c r="N124" i="113"/>
  <c r="N123" i="113"/>
  <c r="N122" i="113"/>
  <c r="N121" i="113"/>
  <c r="N120" i="113"/>
  <c r="N119" i="113"/>
  <c r="N118" i="113"/>
  <c r="N117" i="113"/>
  <c r="N116" i="113"/>
  <c r="N115" i="113"/>
  <c r="N114" i="113"/>
  <c r="N113" i="113"/>
  <c r="N112" i="113"/>
  <c r="N111" i="113"/>
  <c r="N110" i="113"/>
  <c r="N109" i="113"/>
  <c r="N108" i="113"/>
  <c r="N107" i="113"/>
  <c r="N106" i="113"/>
  <c r="N105" i="113"/>
  <c r="N104" i="113"/>
  <c r="N103" i="113"/>
  <c r="N102" i="113"/>
  <c r="N101" i="113"/>
  <c r="N100" i="113"/>
  <c r="N99" i="113"/>
  <c r="N98" i="113"/>
  <c r="N97" i="113"/>
  <c r="N96" i="113"/>
  <c r="N95" i="113"/>
  <c r="N94" i="113"/>
  <c r="N93" i="113"/>
  <c r="N92" i="113"/>
  <c r="N91" i="113"/>
  <c r="N90" i="113"/>
  <c r="N89" i="113"/>
  <c r="N88" i="113"/>
  <c r="N87" i="113"/>
  <c r="N86" i="113"/>
  <c r="N85" i="113"/>
  <c r="N84" i="113"/>
  <c r="N83" i="113"/>
  <c r="N82" i="113"/>
  <c r="N81" i="113"/>
  <c r="N80" i="113"/>
  <c r="N79" i="113"/>
  <c r="N78" i="113"/>
  <c r="N77" i="113"/>
  <c r="N76" i="113"/>
  <c r="N75" i="113"/>
  <c r="N74" i="113"/>
  <c r="N73" i="113"/>
  <c r="N71" i="113"/>
  <c r="N70" i="113"/>
  <c r="N69" i="113"/>
  <c r="N68" i="113"/>
  <c r="N67" i="113"/>
  <c r="N66" i="113"/>
  <c r="N65" i="113"/>
  <c r="N64" i="113"/>
  <c r="N63" i="113"/>
  <c r="N62" i="113"/>
  <c r="N61" i="113"/>
  <c r="N60" i="113"/>
  <c r="N59" i="113"/>
  <c r="N58" i="113"/>
  <c r="N57" i="113"/>
  <c r="N56" i="113"/>
  <c r="N55" i="113"/>
  <c r="N54" i="113"/>
  <c r="N53" i="113"/>
  <c r="N52" i="113"/>
  <c r="N51" i="113"/>
  <c r="N50" i="113"/>
  <c r="N49" i="113"/>
  <c r="N48" i="113"/>
  <c r="N47" i="113"/>
  <c r="N45" i="113"/>
  <c r="N44" i="113"/>
  <c r="N43" i="113"/>
  <c r="N42" i="113"/>
  <c r="N41" i="113"/>
  <c r="N40" i="113"/>
  <c r="N39" i="113"/>
  <c r="N38" i="113"/>
  <c r="N37" i="113"/>
  <c r="N36" i="113"/>
  <c r="N35" i="113"/>
  <c r="N34" i="113"/>
  <c r="N33" i="113"/>
  <c r="N32" i="113"/>
  <c r="N31" i="113"/>
  <c r="N30" i="113"/>
  <c r="N29" i="113"/>
  <c r="N28" i="113"/>
  <c r="N27" i="113"/>
  <c r="N26" i="113"/>
  <c r="N25" i="113"/>
  <c r="N24" i="113"/>
  <c r="N23" i="113"/>
  <c r="N22" i="113"/>
  <c r="N21" i="113"/>
  <c r="N20" i="113"/>
  <c r="N19" i="113"/>
  <c r="N18" i="113"/>
  <c r="N17" i="113"/>
  <c r="N16" i="113"/>
  <c r="N15" i="113"/>
  <c r="N14" i="113"/>
  <c r="N13" i="113"/>
  <c r="N12" i="113"/>
  <c r="N11" i="113"/>
  <c r="N10" i="113"/>
  <c r="N9" i="113"/>
  <c r="N8" i="113"/>
  <c r="P8" i="113" s="1"/>
  <c r="D54" i="113"/>
  <c r="D49" i="113"/>
  <c r="D48" i="113"/>
  <c r="D47" i="113"/>
  <c r="D46" i="113"/>
  <c r="D45" i="113"/>
  <c r="D44" i="113"/>
  <c r="D43" i="113"/>
  <c r="D42" i="113"/>
  <c r="D41" i="113"/>
  <c r="D40" i="113"/>
  <c r="D39" i="113"/>
  <c r="D38" i="113"/>
  <c r="D37" i="113"/>
  <c r="D36" i="113"/>
  <c r="D35" i="113"/>
  <c r="D34" i="113"/>
  <c r="D33" i="113"/>
  <c r="D32" i="113"/>
  <c r="D31" i="113"/>
  <c r="D30" i="113"/>
  <c r="D29" i="113"/>
  <c r="D28" i="113"/>
  <c r="D27" i="113"/>
  <c r="D26" i="113"/>
  <c r="D25" i="113"/>
  <c r="D24" i="113"/>
  <c r="D23" i="113"/>
  <c r="D22" i="113"/>
  <c r="D21" i="113"/>
  <c r="D20" i="113"/>
  <c r="D19" i="113"/>
  <c r="D18" i="113"/>
  <c r="D17" i="113"/>
  <c r="D16" i="113"/>
  <c r="D15" i="113"/>
  <c r="D14" i="113"/>
  <c r="D13" i="113"/>
  <c r="D12" i="113"/>
  <c r="D11" i="113"/>
  <c r="D10" i="113"/>
  <c r="D9" i="113"/>
  <c r="D8" i="113"/>
  <c r="F8" i="113" s="1"/>
  <c r="I8" i="113" s="1"/>
  <c r="C14" i="113"/>
  <c r="E14" i="113" s="1"/>
  <c r="B14" i="113" s="1"/>
  <c r="H50" i="112"/>
  <c r="D52" i="113" s="1"/>
  <c r="H49" i="112"/>
  <c r="D51" i="113" s="1"/>
  <c r="O369" i="114"/>
  <c r="O368" i="114"/>
  <c r="O367" i="114"/>
  <c r="O366" i="114"/>
  <c r="O365" i="114"/>
  <c r="O364" i="114"/>
  <c r="O363" i="114"/>
  <c r="O362" i="114"/>
  <c r="O361" i="114"/>
  <c r="O360" i="114"/>
  <c r="O359" i="114"/>
  <c r="O358" i="114"/>
  <c r="O357" i="114"/>
  <c r="O356" i="114"/>
  <c r="O355" i="114"/>
  <c r="O354" i="114"/>
  <c r="O353" i="114"/>
  <c r="O352" i="114"/>
  <c r="O351" i="114"/>
  <c r="O350" i="114"/>
  <c r="O349" i="114"/>
  <c r="O348" i="114"/>
  <c r="O347" i="114"/>
  <c r="O346" i="114"/>
  <c r="O345" i="114"/>
  <c r="O344" i="114"/>
  <c r="O343" i="114"/>
  <c r="O342" i="114"/>
  <c r="O341" i="114"/>
  <c r="O340" i="114"/>
  <c r="O339" i="114"/>
  <c r="O338" i="114"/>
  <c r="O337" i="114"/>
  <c r="O336" i="114"/>
  <c r="O335" i="114"/>
  <c r="O334" i="114"/>
  <c r="O333" i="114"/>
  <c r="O332" i="114"/>
  <c r="O331" i="114"/>
  <c r="O330" i="114"/>
  <c r="O329" i="114"/>
  <c r="O328" i="114"/>
  <c r="O327" i="114"/>
  <c r="O326" i="114"/>
  <c r="O325" i="114"/>
  <c r="O324" i="114"/>
  <c r="O323" i="114"/>
  <c r="O322" i="114"/>
  <c r="O321" i="114"/>
  <c r="O320" i="114"/>
  <c r="O319" i="114"/>
  <c r="O318" i="114"/>
  <c r="O317" i="114"/>
  <c r="O316" i="114"/>
  <c r="O315" i="114"/>
  <c r="O314" i="114"/>
  <c r="O313" i="114"/>
  <c r="O312" i="114"/>
  <c r="O311" i="114"/>
  <c r="O310" i="114"/>
  <c r="O309" i="114"/>
  <c r="O308" i="114"/>
  <c r="O307" i="114"/>
  <c r="O306" i="114"/>
  <c r="O305" i="114"/>
  <c r="O304" i="114"/>
  <c r="O303" i="114"/>
  <c r="O302" i="114"/>
  <c r="O301" i="114"/>
  <c r="O300" i="114"/>
  <c r="O299" i="114"/>
  <c r="O298" i="114"/>
  <c r="O297" i="114"/>
  <c r="O296" i="114"/>
  <c r="O295" i="114"/>
  <c r="O294" i="114"/>
  <c r="O293" i="114"/>
  <c r="O292" i="114"/>
  <c r="O291" i="114"/>
  <c r="O290" i="114"/>
  <c r="O289" i="114"/>
  <c r="O288" i="114"/>
  <c r="O287" i="114"/>
  <c r="O286" i="114"/>
  <c r="O285" i="114"/>
  <c r="O284" i="114"/>
  <c r="O283" i="114"/>
  <c r="O282" i="114"/>
  <c r="O281" i="114"/>
  <c r="O280" i="114"/>
  <c r="O279" i="114"/>
  <c r="O278" i="114"/>
  <c r="O277" i="114"/>
  <c r="O276" i="114"/>
  <c r="O275" i="114"/>
  <c r="O274" i="114"/>
  <c r="O273" i="114"/>
  <c r="O272" i="114"/>
  <c r="O271" i="114"/>
  <c r="O270" i="114"/>
  <c r="O269" i="114"/>
  <c r="O268" i="114"/>
  <c r="O267" i="114"/>
  <c r="O266" i="114"/>
  <c r="O265" i="114"/>
  <c r="O264" i="114"/>
  <c r="O263" i="114"/>
  <c r="O262" i="114"/>
  <c r="O261" i="114"/>
  <c r="O260" i="114"/>
  <c r="O259" i="114"/>
  <c r="O258" i="114"/>
  <c r="O257" i="114"/>
  <c r="O256" i="114"/>
  <c r="O255" i="114"/>
  <c r="O254" i="114"/>
  <c r="O253" i="114"/>
  <c r="O252" i="114"/>
  <c r="O251" i="114"/>
  <c r="O250" i="114"/>
  <c r="O249" i="114"/>
  <c r="O248" i="114"/>
  <c r="O247" i="114"/>
  <c r="O246" i="114"/>
  <c r="O245" i="114"/>
  <c r="O244" i="114"/>
  <c r="O243" i="114"/>
  <c r="O242" i="114"/>
  <c r="O241" i="114"/>
  <c r="O240" i="114"/>
  <c r="O239" i="114"/>
  <c r="O238" i="114"/>
  <c r="O237" i="114"/>
  <c r="O236" i="114"/>
  <c r="O235" i="114"/>
  <c r="O234" i="114"/>
  <c r="O233" i="114"/>
  <c r="O232" i="114"/>
  <c r="O231" i="114"/>
  <c r="O230" i="114"/>
  <c r="O229" i="114"/>
  <c r="O228" i="114"/>
  <c r="O227" i="114"/>
  <c r="O226" i="114"/>
  <c r="O225" i="114"/>
  <c r="O224" i="114"/>
  <c r="O223" i="114"/>
  <c r="O222" i="114"/>
  <c r="O221" i="114"/>
  <c r="O220" i="114"/>
  <c r="O219" i="114"/>
  <c r="O218" i="114"/>
  <c r="O217" i="114"/>
  <c r="O216" i="114"/>
  <c r="O215" i="114"/>
  <c r="O214" i="114"/>
  <c r="O213" i="114"/>
  <c r="O212" i="114"/>
  <c r="O211" i="114"/>
  <c r="O210" i="114"/>
  <c r="O209" i="114"/>
  <c r="O208" i="114"/>
  <c r="O207" i="114"/>
  <c r="O206" i="114"/>
  <c r="O205" i="114"/>
  <c r="O204" i="114"/>
  <c r="O203" i="114"/>
  <c r="O202" i="114"/>
  <c r="O201" i="114"/>
  <c r="O200" i="114"/>
  <c r="O199" i="114"/>
  <c r="O198" i="114"/>
  <c r="O197" i="114"/>
  <c r="O196" i="114"/>
  <c r="O195" i="114"/>
  <c r="O194" i="114"/>
  <c r="O193" i="114"/>
  <c r="O192" i="114"/>
  <c r="O191" i="114"/>
  <c r="O190" i="114"/>
  <c r="O189" i="114"/>
  <c r="O188" i="114"/>
  <c r="O187" i="114"/>
  <c r="O186" i="114"/>
  <c r="O185" i="114"/>
  <c r="O184" i="114"/>
  <c r="O183" i="114"/>
  <c r="O182" i="114"/>
  <c r="O181" i="114"/>
  <c r="O180" i="114"/>
  <c r="O179" i="114"/>
  <c r="O178" i="114"/>
  <c r="O177" i="114"/>
  <c r="O176" i="114"/>
  <c r="O175" i="114"/>
  <c r="O174" i="114"/>
  <c r="O173" i="114"/>
  <c r="O172" i="114"/>
  <c r="O171" i="114"/>
  <c r="O170" i="114"/>
  <c r="O169" i="114"/>
  <c r="O168" i="114"/>
  <c r="O167" i="114"/>
  <c r="O166" i="114"/>
  <c r="O165" i="114"/>
  <c r="O164" i="114"/>
  <c r="O163" i="114"/>
  <c r="O162" i="114"/>
  <c r="O161" i="114"/>
  <c r="O160" i="114"/>
  <c r="O159" i="114"/>
  <c r="O158" i="114"/>
  <c r="O157" i="114"/>
  <c r="O156" i="114"/>
  <c r="O155" i="114"/>
  <c r="O154" i="114"/>
  <c r="O153" i="114"/>
  <c r="O152" i="114"/>
  <c r="O151" i="114"/>
  <c r="O150" i="114"/>
  <c r="O149" i="114"/>
  <c r="O148" i="114"/>
  <c r="O147" i="114"/>
  <c r="O146" i="114"/>
  <c r="O145" i="114"/>
  <c r="O144" i="114"/>
  <c r="O143" i="114"/>
  <c r="O142" i="114"/>
  <c r="O141" i="114"/>
  <c r="O140" i="114"/>
  <c r="O139" i="114"/>
  <c r="O138" i="114"/>
  <c r="O137" i="114"/>
  <c r="O136" i="114"/>
  <c r="O135" i="114"/>
  <c r="O134" i="114"/>
  <c r="O133" i="114"/>
  <c r="O132" i="114"/>
  <c r="O131" i="114"/>
  <c r="O130" i="114"/>
  <c r="O129" i="114"/>
  <c r="O128" i="114"/>
  <c r="O127" i="114"/>
  <c r="O126" i="114"/>
  <c r="O125" i="114"/>
  <c r="O124" i="114"/>
  <c r="O123" i="114"/>
  <c r="O122" i="114"/>
  <c r="O121" i="114"/>
  <c r="O120" i="114"/>
  <c r="O119" i="114"/>
  <c r="O118" i="114"/>
  <c r="O117" i="114"/>
  <c r="O116" i="114"/>
  <c r="O115" i="114"/>
  <c r="O114" i="114"/>
  <c r="O113" i="114"/>
  <c r="O112" i="114"/>
  <c r="O111" i="114"/>
  <c r="O110" i="114"/>
  <c r="O109" i="114"/>
  <c r="O108" i="114"/>
  <c r="O107" i="114"/>
  <c r="O106" i="114"/>
  <c r="O105" i="114"/>
  <c r="O104" i="114"/>
  <c r="O103" i="114"/>
  <c r="O102" i="114"/>
  <c r="O101" i="114"/>
  <c r="O100" i="114"/>
  <c r="O99" i="114"/>
  <c r="O98" i="114"/>
  <c r="O97" i="114"/>
  <c r="O96" i="114"/>
  <c r="O95" i="114"/>
  <c r="O94" i="114"/>
  <c r="O93" i="114"/>
  <c r="F37" i="114"/>
  <c r="F38" i="114" s="1"/>
  <c r="F39" i="114" s="1"/>
  <c r="K39" i="114" s="1"/>
  <c r="N11" i="114"/>
  <c r="O11" i="114" s="1"/>
  <c r="P11" i="114" s="1"/>
  <c r="M8" i="113"/>
  <c r="M9" i="113" s="1"/>
  <c r="M10" i="113" s="1"/>
  <c r="M11" i="113" s="1"/>
  <c r="M12" i="113" s="1"/>
  <c r="M13" i="113" s="1"/>
  <c r="M14" i="113" s="1"/>
  <c r="M15" i="113" s="1"/>
  <c r="M16" i="113" s="1"/>
  <c r="M17" i="113" s="1"/>
  <c r="M18" i="113" s="1"/>
  <c r="M19" i="113" s="1"/>
  <c r="M20" i="113" s="1"/>
  <c r="M21" i="113" s="1"/>
  <c r="M22" i="113" s="1"/>
  <c r="M23" i="113" s="1"/>
  <c r="M24" i="113" s="1"/>
  <c r="M25" i="113" s="1"/>
  <c r="M26" i="113" s="1"/>
  <c r="M27" i="113" s="1"/>
  <c r="M28" i="113" s="1"/>
  <c r="M29" i="113" s="1"/>
  <c r="M30" i="113" s="1"/>
  <c r="M31" i="113" s="1"/>
  <c r="M32" i="113" s="1"/>
  <c r="M33" i="113" s="1"/>
  <c r="M34" i="113" s="1"/>
  <c r="M35" i="113" s="1"/>
  <c r="M36" i="113" s="1"/>
  <c r="M37" i="113" s="1"/>
  <c r="M38" i="113" s="1"/>
  <c r="M39" i="113" s="1"/>
  <c r="M40" i="113" s="1"/>
  <c r="M41" i="113" s="1"/>
  <c r="M42" i="113" s="1"/>
  <c r="M43" i="113" s="1"/>
  <c r="M44" i="113" s="1"/>
  <c r="M45" i="113" s="1"/>
  <c r="M46" i="113" s="1"/>
  <c r="M47" i="113" s="1"/>
  <c r="M48" i="113" s="1"/>
  <c r="M49" i="113" s="1"/>
  <c r="M50" i="113" s="1"/>
  <c r="M51" i="113" s="1"/>
  <c r="M52" i="113" s="1"/>
  <c r="M53" i="113" s="1"/>
  <c r="D50" i="113"/>
  <c r="E44" i="112"/>
  <c r="E39" i="112"/>
  <c r="E34" i="112"/>
  <c r="F31" i="112"/>
  <c r="F32" i="112" s="1"/>
  <c r="F33" i="112" s="1"/>
  <c r="F34" i="112" s="1"/>
  <c r="F35" i="112" s="1"/>
  <c r="F36" i="112" s="1"/>
  <c r="F37" i="112" s="1"/>
  <c r="F38" i="112" s="1"/>
  <c r="F39" i="112" s="1"/>
  <c r="F40" i="112" s="1"/>
  <c r="F41" i="112" s="1"/>
  <c r="F42" i="112" s="1"/>
  <c r="F43" i="112" s="1"/>
  <c r="F44" i="112" s="1"/>
  <c r="F45" i="112" s="1"/>
  <c r="F46" i="112" s="1"/>
  <c r="F47" i="112" s="1"/>
  <c r="F48" i="112" s="1"/>
  <c r="F49" i="112" s="1"/>
  <c r="F50" i="112" s="1"/>
  <c r="F51" i="112" s="1"/>
  <c r="F52" i="112" s="1"/>
  <c r="F53" i="112" s="1"/>
  <c r="F54" i="112" s="1"/>
  <c r="F55" i="112" s="1"/>
  <c r="F56" i="112" s="1"/>
  <c r="F57" i="112" s="1"/>
  <c r="F58" i="112" s="1"/>
  <c r="F59" i="112" s="1"/>
  <c r="F60" i="112" s="1"/>
  <c r="F61" i="112" s="1"/>
  <c r="F62" i="112" s="1"/>
  <c r="F63" i="112" s="1"/>
  <c r="F64" i="112" s="1"/>
  <c r="F65" i="112" s="1"/>
  <c r="F66" i="112" s="1"/>
  <c r="F67" i="112" s="1"/>
  <c r="F68" i="112" s="1"/>
  <c r="F69" i="112" s="1"/>
  <c r="F70" i="112" s="1"/>
  <c r="F71" i="112" s="1"/>
  <c r="F72" i="112" s="1"/>
  <c r="F73" i="112" s="1"/>
  <c r="F74" i="112" s="1"/>
  <c r="F75" i="112" s="1"/>
  <c r="F76" i="112" s="1"/>
  <c r="F77" i="112" s="1"/>
  <c r="F78" i="112" s="1"/>
  <c r="F79" i="112" s="1"/>
  <c r="F80" i="112" s="1"/>
  <c r="F81" i="112" s="1"/>
  <c r="F82" i="112" s="1"/>
  <c r="F83" i="112" s="1"/>
  <c r="F84" i="112" s="1"/>
  <c r="F85" i="112" s="1"/>
  <c r="F86" i="112" s="1"/>
  <c r="F87" i="112" s="1"/>
  <c r="F88" i="112" s="1"/>
  <c r="F89" i="112" s="1"/>
  <c r="F90" i="112" s="1"/>
  <c r="F91" i="112" s="1"/>
  <c r="F92" i="112" s="1"/>
  <c r="F93" i="112" s="1"/>
  <c r="F94" i="112" s="1"/>
  <c r="F95" i="112" s="1"/>
  <c r="F96" i="112" s="1"/>
  <c r="F97" i="112" s="1"/>
  <c r="F98" i="112" s="1"/>
  <c r="F99" i="112" s="1"/>
  <c r="F100" i="112" s="1"/>
  <c r="F101" i="112" s="1"/>
  <c r="F102" i="112" s="1"/>
  <c r="F103" i="112" s="1"/>
  <c r="F104" i="112" s="1"/>
  <c r="F105" i="112" s="1"/>
  <c r="F106" i="112" s="1"/>
  <c r="F107" i="112" s="1"/>
  <c r="F108" i="112" s="1"/>
  <c r="F109" i="112" s="1"/>
  <c r="F110" i="112" s="1"/>
  <c r="F111" i="112" s="1"/>
  <c r="F112" i="112" s="1"/>
  <c r="F113" i="112" s="1"/>
  <c r="F114" i="112" s="1"/>
  <c r="F115" i="112" s="1"/>
  <c r="F116" i="112" s="1"/>
  <c r="F117" i="112" s="1"/>
  <c r="F119" i="112" s="1"/>
  <c r="E31" i="112"/>
  <c r="E30" i="112"/>
  <c r="E20" i="112"/>
  <c r="E19" i="112"/>
  <c r="E17" i="112"/>
  <c r="E13" i="112"/>
  <c r="E12" i="112"/>
  <c r="E6" i="112"/>
  <c r="I194" i="111"/>
  <c r="I193" i="111"/>
  <c r="I192" i="111"/>
  <c r="I191" i="111"/>
  <c r="I190" i="111"/>
  <c r="I189" i="111"/>
  <c r="I188" i="111"/>
  <c r="I187" i="111"/>
  <c r="I186" i="111"/>
  <c r="I185" i="111"/>
  <c r="I184" i="111"/>
  <c r="I183" i="111"/>
  <c r="I182" i="111"/>
  <c r="I181" i="111"/>
  <c r="I180" i="111"/>
  <c r="I179" i="111"/>
  <c r="I178" i="111"/>
  <c r="I177" i="111"/>
  <c r="I176" i="111"/>
  <c r="I175" i="111"/>
  <c r="I174" i="111"/>
  <c r="I173" i="111"/>
  <c r="I172" i="111"/>
  <c r="I171" i="111"/>
  <c r="I170" i="111"/>
  <c r="I169" i="111"/>
  <c r="I168" i="111"/>
  <c r="I167" i="111"/>
  <c r="I166" i="111"/>
  <c r="I165" i="111"/>
  <c r="I164" i="111"/>
  <c r="I163" i="111"/>
  <c r="I162" i="111"/>
  <c r="I161" i="111"/>
  <c r="I160" i="111"/>
  <c r="I159" i="111"/>
  <c r="I158" i="111"/>
  <c r="I157" i="111"/>
  <c r="I156" i="111"/>
  <c r="I155" i="111"/>
  <c r="I154" i="111"/>
  <c r="I153" i="111"/>
  <c r="I152" i="111"/>
  <c r="I151" i="111"/>
  <c r="I150" i="111"/>
  <c r="I149" i="111"/>
  <c r="I148" i="111"/>
  <c r="I147" i="111"/>
  <c r="I146" i="111"/>
  <c r="I145" i="111"/>
  <c r="I144" i="111"/>
  <c r="I143" i="111"/>
  <c r="I142" i="111"/>
  <c r="I141" i="111"/>
  <c r="I140" i="111"/>
  <c r="I139" i="111"/>
  <c r="I138" i="111"/>
  <c r="I137" i="111"/>
  <c r="I136" i="111"/>
  <c r="I135" i="111"/>
  <c r="I134" i="111"/>
  <c r="I133" i="111"/>
  <c r="I132" i="111"/>
  <c r="I131" i="111"/>
  <c r="I130" i="111"/>
  <c r="I129" i="111"/>
  <c r="I128" i="111"/>
  <c r="I127" i="111"/>
  <c r="I126" i="111"/>
  <c r="I125" i="111"/>
  <c r="I124" i="111"/>
  <c r="I123" i="111"/>
  <c r="I122" i="111"/>
  <c r="I121" i="111"/>
  <c r="I120" i="111"/>
  <c r="I119" i="111"/>
  <c r="I118" i="111"/>
  <c r="I117" i="111"/>
  <c r="I116" i="111"/>
  <c r="I115" i="111"/>
  <c r="I114" i="111"/>
  <c r="I113" i="111"/>
  <c r="I112" i="111"/>
  <c r="I111" i="111"/>
  <c r="I110" i="111"/>
  <c r="I109" i="111"/>
  <c r="I108" i="111"/>
  <c r="I107" i="111"/>
  <c r="I106" i="111"/>
  <c r="I105" i="111"/>
  <c r="I104" i="111"/>
  <c r="I103" i="111"/>
  <c r="I102" i="111"/>
  <c r="I101" i="111"/>
  <c r="I100" i="111"/>
  <c r="I99" i="111"/>
  <c r="I98" i="111"/>
  <c r="I97" i="111"/>
  <c r="I96" i="111"/>
  <c r="I95" i="111"/>
  <c r="I94" i="111"/>
  <c r="I93" i="111"/>
  <c r="I92" i="111"/>
  <c r="I91" i="111"/>
  <c r="I90" i="111"/>
  <c r="I89" i="111"/>
  <c r="I88" i="111"/>
  <c r="I87" i="111"/>
  <c r="I86" i="111"/>
  <c r="I85" i="111"/>
  <c r="I84" i="111"/>
  <c r="I83" i="111"/>
  <c r="I82" i="111"/>
  <c r="I81" i="111"/>
  <c r="I80" i="111"/>
  <c r="I79" i="111"/>
  <c r="I78" i="111"/>
  <c r="I77" i="111"/>
  <c r="I76" i="111"/>
  <c r="I75" i="111"/>
  <c r="I74" i="111"/>
  <c r="I73" i="111"/>
  <c r="I72" i="111"/>
  <c r="I71" i="111"/>
  <c r="I70" i="111"/>
  <c r="I69" i="111"/>
  <c r="I68" i="111"/>
  <c r="I67" i="111"/>
  <c r="I66" i="111"/>
  <c r="I65" i="111"/>
  <c r="I64" i="111"/>
  <c r="I63" i="111"/>
  <c r="I62" i="111"/>
  <c r="I61" i="111"/>
  <c r="I59" i="111"/>
  <c r="I58" i="111"/>
  <c r="I57" i="111"/>
  <c r="I56" i="111"/>
  <c r="I55" i="111"/>
  <c r="I54" i="111"/>
  <c r="I53" i="111"/>
  <c r="I52" i="111"/>
  <c r="I51" i="111"/>
  <c r="I50" i="111"/>
  <c r="I49" i="111"/>
  <c r="I48" i="111"/>
  <c r="I47" i="111"/>
  <c r="I46" i="111"/>
  <c r="I45" i="111"/>
  <c r="I44" i="111"/>
  <c r="I43" i="111"/>
  <c r="I42" i="111"/>
  <c r="I41" i="111"/>
  <c r="I40" i="111"/>
  <c r="I39" i="111"/>
  <c r="I38" i="111"/>
  <c r="I37" i="111"/>
  <c r="I36" i="111"/>
  <c r="I35" i="111"/>
  <c r="I34" i="111"/>
  <c r="I33" i="111"/>
  <c r="I32" i="111"/>
  <c r="I31" i="111"/>
  <c r="I30" i="111"/>
  <c r="I29" i="111"/>
  <c r="I28" i="111"/>
  <c r="I27" i="111"/>
  <c r="I26" i="111"/>
  <c r="I25" i="111"/>
  <c r="I24" i="111"/>
  <c r="I23" i="111"/>
  <c r="E15" i="111"/>
  <c r="E16" i="111" s="1"/>
  <c r="C15" i="111"/>
  <c r="C16" i="111" s="1"/>
  <c r="C17" i="111" s="1"/>
  <c r="C18" i="111" s="1"/>
  <c r="C19" i="111" s="1"/>
  <c r="C20" i="111" s="1"/>
  <c r="C21" i="111" s="1"/>
  <c r="C22" i="111" s="1"/>
  <c r="C23" i="111" s="1"/>
  <c r="C24" i="111" s="1"/>
  <c r="C25" i="111" s="1"/>
  <c r="L25" i="111" s="1"/>
  <c r="O25" i="111" s="1"/>
  <c r="L14" i="111"/>
  <c r="O14" i="111" s="1"/>
  <c r="M78" i="110"/>
  <c r="M77" i="110"/>
  <c r="M76" i="110"/>
  <c r="M75" i="110"/>
  <c r="M74" i="110"/>
  <c r="M73" i="110"/>
  <c r="M72" i="110"/>
  <c r="M71" i="110"/>
  <c r="M70" i="110"/>
  <c r="M69" i="110"/>
  <c r="M68" i="110"/>
  <c r="M67" i="110"/>
  <c r="M66" i="110"/>
  <c r="N40" i="110"/>
  <c r="N41" i="110" s="1"/>
  <c r="N42" i="110" s="1"/>
  <c r="N43" i="110" s="1"/>
  <c r="N44" i="110" s="1"/>
  <c r="N45" i="110" s="1"/>
  <c r="N46" i="110" s="1"/>
  <c r="N47" i="110" s="1"/>
  <c r="N48" i="110" s="1"/>
  <c r="N49" i="110" s="1"/>
  <c r="N50" i="110" s="1"/>
  <c r="N51" i="110" s="1"/>
  <c r="N52" i="110" s="1"/>
  <c r="N53" i="110" s="1"/>
  <c r="N54" i="110" s="1"/>
  <c r="N55" i="110" s="1"/>
  <c r="N56" i="110" s="1"/>
  <c r="N57" i="110" s="1"/>
  <c r="N58" i="110" s="1"/>
  <c r="N59" i="110" s="1"/>
  <c r="N60" i="110" s="1"/>
  <c r="N61" i="110" s="1"/>
  <c r="N62" i="110" s="1"/>
  <c r="N63" i="110" s="1"/>
  <c r="N64" i="110" s="1"/>
  <c r="N65" i="110" s="1"/>
  <c r="N66" i="110" s="1"/>
  <c r="N67" i="110" s="1"/>
  <c r="E12" i="110"/>
  <c r="E13" i="110" s="1"/>
  <c r="E14" i="110" s="1"/>
  <c r="E15" i="110" s="1"/>
  <c r="E16" i="110" s="1"/>
  <c r="E17" i="110" s="1"/>
  <c r="E18" i="110" s="1"/>
  <c r="E19" i="110" s="1"/>
  <c r="E20" i="110" s="1"/>
  <c r="E21" i="110" s="1"/>
  <c r="E22" i="110" s="1"/>
  <c r="E23" i="110" s="1"/>
  <c r="E24" i="110" s="1"/>
  <c r="E25" i="110" s="1"/>
  <c r="E26" i="110" s="1"/>
  <c r="E27" i="110" s="1"/>
  <c r="E28" i="110" s="1"/>
  <c r="E29" i="110" s="1"/>
  <c r="E30" i="110" s="1"/>
  <c r="E31" i="110" s="1"/>
  <c r="E32" i="110" s="1"/>
  <c r="E33" i="110" s="1"/>
  <c r="E34" i="110" s="1"/>
  <c r="E35" i="110" s="1"/>
  <c r="E36" i="110" s="1"/>
  <c r="E37" i="110" s="1"/>
  <c r="E38" i="110" s="1"/>
  <c r="E39" i="110" s="1"/>
  <c r="E40" i="110" s="1"/>
  <c r="E41" i="110" s="1"/>
  <c r="E42" i="110" s="1"/>
  <c r="E43" i="110" s="1"/>
  <c r="E44" i="110" s="1"/>
  <c r="E45" i="110" s="1"/>
  <c r="E46" i="110" s="1"/>
  <c r="E47" i="110" s="1"/>
  <c r="E48" i="110" s="1"/>
  <c r="E49" i="110" s="1"/>
  <c r="E50" i="110" s="1"/>
  <c r="E51" i="110" s="1"/>
  <c r="E52" i="110" s="1"/>
  <c r="E53" i="110" s="1"/>
  <c r="E54" i="110" s="1"/>
  <c r="E55" i="110" s="1"/>
  <c r="E56" i="110" s="1"/>
  <c r="E57" i="110" s="1"/>
  <c r="E58" i="110" s="1"/>
  <c r="E59" i="110" s="1"/>
  <c r="E60" i="110" s="1"/>
  <c r="E61" i="110" s="1"/>
  <c r="E62" i="110" s="1"/>
  <c r="E63" i="110" s="1"/>
  <c r="E64" i="110" s="1"/>
  <c r="E65" i="110" s="1"/>
  <c r="E66" i="110" s="1"/>
  <c r="E67" i="110" s="1"/>
  <c r="E68" i="110" s="1"/>
  <c r="E69" i="110" s="1"/>
  <c r="E70" i="110" s="1"/>
  <c r="E71" i="110" s="1"/>
  <c r="E72" i="110" s="1"/>
  <c r="E73" i="110" s="1"/>
  <c r="E74" i="110" s="1"/>
  <c r="E75" i="110" s="1"/>
  <c r="E76" i="110" s="1"/>
  <c r="E77" i="110" s="1"/>
  <c r="E78" i="110" s="1"/>
  <c r="E79" i="110" s="1"/>
  <c r="K53" i="95"/>
  <c r="P39" i="77"/>
  <c r="P38" i="77"/>
  <c r="M69" i="88"/>
  <c r="N40" i="88"/>
  <c r="N41" i="88" s="1"/>
  <c r="T22" i="78"/>
  <c r="K13" i="95"/>
  <c r="L13" i="95" s="1"/>
  <c r="T19" i="78"/>
  <c r="P16" i="78"/>
  <c r="T21" i="78"/>
  <c r="T20" i="78"/>
  <c r="T18" i="78"/>
  <c r="C14" i="78"/>
  <c r="C15" i="78" s="1"/>
  <c r="K14" i="95"/>
  <c r="K15" i="95"/>
  <c r="K16" i="95"/>
  <c r="K17" i="95"/>
  <c r="K18" i="95"/>
  <c r="K19" i="95"/>
  <c r="K20" i="95"/>
  <c r="K21" i="95"/>
  <c r="K22" i="95"/>
  <c r="K23" i="95"/>
  <c r="K24" i="95"/>
  <c r="K25" i="95"/>
  <c r="K26" i="95"/>
  <c r="K27" i="95"/>
  <c r="K28" i="95"/>
  <c r="K35" i="95"/>
  <c r="K36" i="95"/>
  <c r="K37" i="95"/>
  <c r="K38" i="95"/>
  <c r="K39" i="95"/>
  <c r="K40" i="95"/>
  <c r="K41" i="95"/>
  <c r="K42" i="95"/>
  <c r="K43" i="95"/>
  <c r="K44" i="95"/>
  <c r="K45" i="95"/>
  <c r="E13" i="95"/>
  <c r="E14" i="95" s="1"/>
  <c r="E15" i="95" s="1"/>
  <c r="E16" i="95" s="1"/>
  <c r="H28" i="95"/>
  <c r="H29" i="95" s="1"/>
  <c r="H30" i="95" s="1"/>
  <c r="H31" i="95" s="1"/>
  <c r="I14" i="78"/>
  <c r="B14" i="78"/>
  <c r="B15" i="78" s="1"/>
  <c r="B16" i="78" s="1"/>
  <c r="H14" i="78"/>
  <c r="H15" i="78"/>
  <c r="H16" i="78" s="1"/>
  <c r="H17" i="78" s="1"/>
  <c r="H18" i="78" s="1"/>
  <c r="H19" i="78" s="1"/>
  <c r="H20" i="78" s="1"/>
  <c r="H21" i="78" s="1"/>
  <c r="H22" i="78" s="1"/>
  <c r="H23" i="78" s="1"/>
  <c r="H24" i="78" s="1"/>
  <c r="H25" i="78" s="1"/>
  <c r="H26" i="78" s="1"/>
  <c r="H27" i="78" s="1"/>
  <c r="H28" i="78" s="1"/>
  <c r="H29" i="78" s="1"/>
  <c r="H30" i="78" s="1"/>
  <c r="H31" i="78" s="1"/>
  <c r="H32" i="78" s="1"/>
  <c r="H33" i="78" s="1"/>
  <c r="H34" i="78" s="1"/>
  <c r="H35" i="78" s="1"/>
  <c r="H36" i="78" s="1"/>
  <c r="H37" i="78" s="1"/>
  <c r="H38" i="78" s="1"/>
  <c r="H39" i="78" s="1"/>
  <c r="H40" i="78" s="1"/>
  <c r="H41" i="78" s="1"/>
  <c r="H42" i="78" s="1"/>
  <c r="H43" i="78" s="1"/>
  <c r="H44" i="78" s="1"/>
  <c r="H45" i="78" s="1"/>
  <c r="H46" i="78" s="1"/>
  <c r="H47" i="78" s="1"/>
  <c r="H48" i="78" s="1"/>
  <c r="H49" i="78" s="1"/>
  <c r="H50" i="78" s="1"/>
  <c r="H51" i="78" s="1"/>
  <c r="C13" i="77"/>
  <c r="C14" i="77" s="1"/>
  <c r="C15" i="77" s="1"/>
  <c r="C16" i="77" s="1"/>
  <c r="I26" i="77"/>
  <c r="I27" i="77" s="1"/>
  <c r="I28" i="77" s="1"/>
  <c r="I29" i="77" s="1"/>
  <c r="I30" i="77" s="1"/>
  <c r="I31" i="77" s="1"/>
  <c r="B13" i="77"/>
  <c r="B14" i="77" s="1"/>
  <c r="B15" i="77" s="1"/>
  <c r="B16" i="77" s="1"/>
  <c r="B17" i="77" s="1"/>
  <c r="B18" i="77" s="1"/>
  <c r="B19" i="77" s="1"/>
  <c r="B20" i="77" s="1"/>
  <c r="B21" i="77" s="1"/>
  <c r="B22" i="77" s="1"/>
  <c r="B23" i="77" s="1"/>
  <c r="B24" i="77" s="1"/>
  <c r="B25" i="77" s="1"/>
  <c r="B26" i="77" s="1"/>
  <c r="B27" i="77" s="1"/>
  <c r="B28" i="77" s="1"/>
  <c r="B29" i="77" s="1"/>
  <c r="B30" i="77" s="1"/>
  <c r="B31" i="77" s="1"/>
  <c r="B32" i="77" s="1"/>
  <c r="B33" i="77" s="1"/>
  <c r="B34" i="77" s="1"/>
  <c r="B35" i="77" s="1"/>
  <c r="B36" i="77" s="1"/>
  <c r="B37" i="77" s="1"/>
  <c r="B38" i="77" s="1"/>
  <c r="B39" i="77" s="1"/>
  <c r="B40" i="77" s="1"/>
  <c r="B41" i="77" s="1"/>
  <c r="B42" i="77" s="1"/>
  <c r="B43" i="77" s="1"/>
  <c r="B44" i="77" s="1"/>
  <c r="B45" i="77" s="1"/>
  <c r="B46" i="77" s="1"/>
  <c r="B47" i="77" s="1"/>
  <c r="B48" i="77" s="1"/>
  <c r="B49" i="77" s="1"/>
  <c r="B50" i="77" s="1"/>
  <c r="B51" i="77" s="1"/>
  <c r="B52" i="77" s="1"/>
  <c r="B53" i="77" s="1"/>
  <c r="B54" i="77" s="1"/>
  <c r="B55" i="77" s="1"/>
  <c r="T17" i="78"/>
  <c r="M74" i="88"/>
  <c r="M66" i="88"/>
  <c r="M67" i="88"/>
  <c r="M68" i="88"/>
  <c r="M70" i="88"/>
  <c r="M71" i="88"/>
  <c r="M72" i="88"/>
  <c r="M73" i="88"/>
  <c r="M75" i="88"/>
  <c r="M76" i="88"/>
  <c r="M77" i="88"/>
  <c r="M78" i="88"/>
  <c r="E12" i="88"/>
  <c r="E13" i="88" s="1"/>
  <c r="E14" i="88" s="1"/>
  <c r="E15" i="88" s="1"/>
  <c r="E16" i="88" s="1"/>
  <c r="E17" i="88" s="1"/>
  <c r="E18" i="88" s="1"/>
  <c r="E19" i="88" s="1"/>
  <c r="E20" i="88" s="1"/>
  <c r="E21" i="88" s="1"/>
  <c r="E22" i="88" s="1"/>
  <c r="E23" i="88" s="1"/>
  <c r="E24" i="88" s="1"/>
  <c r="E25" i="88" s="1"/>
  <c r="E26" i="88" s="1"/>
  <c r="E27" i="88" s="1"/>
  <c r="E28" i="88" s="1"/>
  <c r="E29" i="88" s="1"/>
  <c r="E30" i="88" s="1"/>
  <c r="E31" i="88" s="1"/>
  <c r="E32" i="88" s="1"/>
  <c r="E33" i="88" s="1"/>
  <c r="E34" i="88" s="1"/>
  <c r="E35" i="88" s="1"/>
  <c r="E36" i="88" s="1"/>
  <c r="E37" i="88" s="1"/>
  <c r="E38" i="88" s="1"/>
  <c r="E39" i="88" s="1"/>
  <c r="E40" i="88" s="1"/>
  <c r="E41" i="88" s="1"/>
  <c r="E42" i="88" s="1"/>
  <c r="E43" i="88" s="1"/>
  <c r="E44" i="88" s="1"/>
  <c r="E45" i="88" s="1"/>
  <c r="E46" i="88" s="1"/>
  <c r="E47" i="88" s="1"/>
  <c r="E48" i="88" s="1"/>
  <c r="E49" i="88" s="1"/>
  <c r="E50" i="88" s="1"/>
  <c r="E51" i="88" s="1"/>
  <c r="E52" i="88" s="1"/>
  <c r="E53" i="88" s="1"/>
  <c r="E54" i="88" s="1"/>
  <c r="E55" i="88" s="1"/>
  <c r="E56" i="88" s="1"/>
  <c r="E57" i="88" s="1"/>
  <c r="E58" i="88" s="1"/>
  <c r="E59" i="88" s="1"/>
  <c r="E60" i="88" s="1"/>
  <c r="E61" i="88" s="1"/>
  <c r="E62" i="88" s="1"/>
  <c r="E63" i="88" s="1"/>
  <c r="E64" i="88" s="1"/>
  <c r="E65" i="88" s="1"/>
  <c r="E66" i="88" s="1"/>
  <c r="E67" i="88" s="1"/>
  <c r="E68" i="88" s="1"/>
  <c r="E69" i="88" s="1"/>
  <c r="E70" i="88" s="1"/>
  <c r="E71" i="88" s="1"/>
  <c r="E72" i="88" s="1"/>
  <c r="E73" i="88" s="1"/>
  <c r="E74" i="88" s="1"/>
  <c r="E75" i="88" s="1"/>
  <c r="E76" i="88" s="1"/>
  <c r="E77" i="88" s="1"/>
  <c r="E78" i="88" s="1"/>
  <c r="D27" i="93"/>
  <c r="D28" i="93" s="1"/>
  <c r="D29" i="93" s="1"/>
  <c r="D30" i="93" s="1"/>
  <c r="D31" i="93" s="1"/>
  <c r="D32" i="93" s="1"/>
  <c r="E21" i="91"/>
  <c r="I21" i="91" s="1"/>
  <c r="P15" i="78"/>
  <c r="P17" i="78"/>
  <c r="K46" i="95"/>
  <c r="K47" i="95"/>
  <c r="P18" i="78"/>
  <c r="P19" i="78"/>
  <c r="P20" i="78"/>
  <c r="P21" i="78"/>
  <c r="P35" i="77"/>
  <c r="P34" i="77"/>
  <c r="P36" i="77"/>
  <c r="P22" i="78"/>
  <c r="P37" i="77"/>
  <c r="K48" i="95"/>
  <c r="K49" i="95"/>
  <c r="K50" i="95"/>
  <c r="K51" i="95"/>
  <c r="K52" i="95"/>
  <c r="P40" i="77"/>
  <c r="P41" i="77"/>
  <c r="P44" i="77"/>
  <c r="P45" i="77"/>
  <c r="P46" i="77"/>
  <c r="P47" i="77"/>
  <c r="P48" i="77"/>
  <c r="P49" i="77"/>
  <c r="P50" i="77"/>
  <c r="K54" i="95"/>
  <c r="G55" i="95"/>
  <c r="G56" i="95" s="1"/>
  <c r="K56" i="95" s="1"/>
  <c r="D56" i="113"/>
  <c r="M55" i="114"/>
  <c r="U55" i="114" s="1"/>
  <c r="M56" i="114"/>
  <c r="N55" i="114"/>
  <c r="N56" i="114" s="1"/>
  <c r="O56" i="114" s="1"/>
  <c r="H51" i="112"/>
  <c r="D53" i="113" s="1"/>
  <c r="D60" i="113"/>
  <c r="E26" i="111"/>
  <c r="E27" i="111"/>
  <c r="E28" i="111" s="1"/>
  <c r="E29" i="111" s="1"/>
  <c r="E30" i="111" s="1"/>
  <c r="E31" i="111" s="1"/>
  <c r="H59" i="112"/>
  <c r="D61" i="113" s="1"/>
  <c r="H60" i="112"/>
  <c r="D62" i="113" s="1"/>
  <c r="E17" i="111"/>
  <c r="E18" i="111" s="1"/>
  <c r="O290" i="113"/>
  <c r="O291" i="113"/>
  <c r="O292" i="113"/>
  <c r="O294" i="113"/>
  <c r="O293" i="113"/>
  <c r="O295" i="113"/>
  <c r="H61" i="112"/>
  <c r="D63" i="113" s="1"/>
  <c r="D65" i="113"/>
  <c r="C38" i="111"/>
  <c r="C39" i="111" s="1"/>
  <c r="C40" i="111" s="1"/>
  <c r="C41" i="111" s="1"/>
  <c r="C42" i="111" s="1"/>
  <c r="C43" i="111" s="1"/>
  <c r="C44" i="111" s="1"/>
  <c r="C45" i="111" s="1"/>
  <c r="C46" i="111" s="1"/>
  <c r="C47" i="111" s="1"/>
  <c r="C48" i="111" s="1"/>
  <c r="C49" i="111" s="1"/>
  <c r="C50" i="111" s="1"/>
  <c r="C51" i="111" s="1"/>
  <c r="C52" i="111" s="1"/>
  <c r="C53" i="111" s="1"/>
  <c r="C54" i="111" s="1"/>
  <c r="C55" i="111" s="1"/>
  <c r="C56" i="111" s="1"/>
  <c r="C57" i="111" s="1"/>
  <c r="C58" i="111" s="1"/>
  <c r="H65" i="112"/>
  <c r="D67" i="113" s="1"/>
  <c r="D73" i="113"/>
  <c r="D74" i="113"/>
  <c r="K20" i="135"/>
  <c r="K21" i="135"/>
  <c r="K22" i="135"/>
  <c r="K23" i="135"/>
  <c r="K19" i="135"/>
  <c r="K25" i="135"/>
  <c r="K24" i="135"/>
  <c r="K26" i="135"/>
  <c r="J17" i="133"/>
  <c r="J18" i="133"/>
  <c r="K27" i="135"/>
  <c r="K28" i="135"/>
  <c r="K29" i="135"/>
  <c r="K30" i="135"/>
  <c r="G119" i="134"/>
  <c r="J19" i="133"/>
  <c r="F21" i="133"/>
  <c r="F22" i="133" s="1"/>
  <c r="J20" i="133"/>
  <c r="L16" i="111" l="1"/>
  <c r="O16" i="111" s="1"/>
  <c r="C26" i="111"/>
  <c r="E13" i="77"/>
  <c r="H13" i="77" s="1"/>
  <c r="K14" i="78"/>
  <c r="L15" i="111"/>
  <c r="O15" i="111" s="1"/>
  <c r="L17" i="111"/>
  <c r="O17" i="111" s="1"/>
  <c r="L14" i="78"/>
  <c r="Q14" i="78" s="1"/>
  <c r="R14" i="78" s="1"/>
  <c r="E14" i="78"/>
  <c r="C97" i="156"/>
  <c r="D96" i="156"/>
  <c r="F95" i="156"/>
  <c r="G94" i="156"/>
  <c r="H94" i="156" s="1"/>
  <c r="J94" i="156"/>
  <c r="M93" i="156"/>
  <c r="K93" i="156"/>
  <c r="L93" i="156" s="1"/>
  <c r="K16" i="78"/>
  <c r="I28" i="95"/>
  <c r="L13" i="77"/>
  <c r="F120" i="112"/>
  <c r="F121" i="112" s="1"/>
  <c r="F122" i="112" s="1"/>
  <c r="F123" i="112" s="1"/>
  <c r="F124" i="112" s="1"/>
  <c r="F125" i="112" s="1"/>
  <c r="F126" i="112" s="1"/>
  <c r="F127" i="112" s="1"/>
  <c r="F128" i="112" s="1"/>
  <c r="F129" i="112" s="1"/>
  <c r="F130" i="112" s="1"/>
  <c r="F131" i="112" s="1"/>
  <c r="F132" i="112" s="1"/>
  <c r="F133" i="112" s="1"/>
  <c r="F134" i="112" s="1"/>
  <c r="F135" i="112" s="1"/>
  <c r="F136" i="112" s="1"/>
  <c r="F137" i="112" s="1"/>
  <c r="F138" i="112" s="1"/>
  <c r="F139" i="112" s="1"/>
  <c r="F140" i="112" s="1"/>
  <c r="F141" i="112" s="1"/>
  <c r="F142" i="112" s="1"/>
  <c r="F143" i="112" s="1"/>
  <c r="F144" i="112" s="1"/>
  <c r="F145" i="112" s="1"/>
  <c r="F146" i="112" s="1"/>
  <c r="F147" i="112" s="1"/>
  <c r="F148" i="112" s="1"/>
  <c r="F149" i="112" s="1"/>
  <c r="F150" i="112" s="1"/>
  <c r="F151" i="112" s="1"/>
  <c r="F152" i="112" s="1"/>
  <c r="F153" i="112" s="1"/>
  <c r="F154" i="112" s="1"/>
  <c r="F155" i="112" s="1"/>
  <c r="F156" i="112" s="1"/>
  <c r="F157" i="112" s="1"/>
  <c r="F158" i="112" s="1"/>
  <c r="F159" i="112" s="1"/>
  <c r="F160" i="112" s="1"/>
  <c r="F161" i="112" s="1"/>
  <c r="F162" i="112" s="1"/>
  <c r="F163" i="112" s="1"/>
  <c r="F164" i="112" s="1"/>
  <c r="F165" i="112" s="1"/>
  <c r="F166" i="112" s="1"/>
  <c r="F167" i="112" s="1"/>
  <c r="F168" i="112" s="1"/>
  <c r="F169" i="112" s="1"/>
  <c r="F170" i="112" s="1"/>
  <c r="F171" i="112" s="1"/>
  <c r="F172" i="112" s="1"/>
  <c r="F173" i="112" s="1"/>
  <c r="F174" i="112" s="1"/>
  <c r="F175" i="112" s="1"/>
  <c r="F176" i="112" s="1"/>
  <c r="F177" i="112" s="1"/>
  <c r="F178" i="112" s="1"/>
  <c r="F179" i="112" s="1"/>
  <c r="F180" i="112" s="1"/>
  <c r="F181" i="112" s="1"/>
  <c r="F182" i="112" s="1"/>
  <c r="F183" i="112" s="1"/>
  <c r="F184" i="112" s="1"/>
  <c r="F185" i="112" s="1"/>
  <c r="F186" i="112" s="1"/>
  <c r="F187" i="112" s="1"/>
  <c r="F188" i="112" s="1"/>
  <c r="F189" i="112" s="1"/>
  <c r="F190" i="112" s="1"/>
  <c r="F191" i="112" s="1"/>
  <c r="F192" i="112" s="1"/>
  <c r="F193" i="112" s="1"/>
  <c r="F194" i="112" s="1"/>
  <c r="F195" i="112" s="1"/>
  <c r="F196" i="112" s="1"/>
  <c r="F197" i="112" s="1"/>
  <c r="F198" i="112" s="1"/>
  <c r="F199" i="112" s="1"/>
  <c r="F200" i="112" s="1"/>
  <c r="F201" i="112" s="1"/>
  <c r="F202" i="112" s="1"/>
  <c r="F203" i="112" s="1"/>
  <c r="F204" i="112" s="1"/>
  <c r="F205" i="112" s="1"/>
  <c r="F206" i="112" s="1"/>
  <c r="F207" i="112" s="1"/>
  <c r="F208" i="112" s="1"/>
  <c r="F209" i="112" s="1"/>
  <c r="F210" i="112" s="1"/>
  <c r="F211" i="112" s="1"/>
  <c r="F212" i="112" s="1"/>
  <c r="F213" i="112" s="1"/>
  <c r="F214" i="112" s="1"/>
  <c r="F215" i="112" s="1"/>
  <c r="F216" i="112" s="1"/>
  <c r="F217" i="112" s="1"/>
  <c r="F218" i="112" s="1"/>
  <c r="F219" i="112" s="1"/>
  <c r="F220" i="112" s="1"/>
  <c r="F221" i="112" s="1"/>
  <c r="F222" i="112" s="1"/>
  <c r="F223" i="112" s="1"/>
  <c r="F224" i="112" s="1"/>
  <c r="F225" i="112" s="1"/>
  <c r="F226" i="112" s="1"/>
  <c r="F227" i="112" s="1"/>
  <c r="F228" i="112" s="1"/>
  <c r="F229" i="112" s="1"/>
  <c r="F230" i="112" s="1"/>
  <c r="F231" i="112" s="1"/>
  <c r="F232" i="112" s="1"/>
  <c r="F233" i="112" s="1"/>
  <c r="F234" i="112" s="1"/>
  <c r="F235" i="112" s="1"/>
  <c r="F236" i="112" s="1"/>
  <c r="F237" i="112" s="1"/>
  <c r="F238" i="112" s="1"/>
  <c r="F239" i="112" s="1"/>
  <c r="F240" i="112" s="1"/>
  <c r="F241" i="112" s="1"/>
  <c r="F242" i="112" s="1"/>
  <c r="F243" i="112" s="1"/>
  <c r="F244" i="112" s="1"/>
  <c r="F245" i="112" s="1"/>
  <c r="F246" i="112" s="1"/>
  <c r="F247" i="112" s="1"/>
  <c r="F248" i="112" s="1"/>
  <c r="F249" i="112" s="1"/>
  <c r="F250" i="112" s="1"/>
  <c r="F251" i="112" s="1"/>
  <c r="F252" i="112" s="1"/>
  <c r="F253" i="112" s="1"/>
  <c r="F254" i="112" s="1"/>
  <c r="F255" i="112" s="1"/>
  <c r="F256" i="112" s="1"/>
  <c r="F257" i="112" s="1"/>
  <c r="F258" i="112" s="1"/>
  <c r="F259" i="112" s="1"/>
  <c r="F260" i="112" s="1"/>
  <c r="F261" i="112" s="1"/>
  <c r="F262" i="112" s="1"/>
  <c r="F263" i="112" s="1"/>
  <c r="F264" i="112" s="1"/>
  <c r="F265" i="112" s="1"/>
  <c r="F266" i="112" s="1"/>
  <c r="F267" i="112" s="1"/>
  <c r="F268" i="112" s="1"/>
  <c r="F269" i="112" s="1"/>
  <c r="F270" i="112" s="1"/>
  <c r="F271" i="112" s="1"/>
  <c r="F272" i="112" s="1"/>
  <c r="F273" i="112" s="1"/>
  <c r="F274" i="112" s="1"/>
  <c r="F275" i="112" s="1"/>
  <c r="F276" i="112" s="1"/>
  <c r="F277" i="112" s="1"/>
  <c r="F278" i="112" s="1"/>
  <c r="F279" i="112" s="1"/>
  <c r="F280" i="112" s="1"/>
  <c r="F281" i="112" s="1"/>
  <c r="F282" i="112" s="1"/>
  <c r="F283" i="112" s="1"/>
  <c r="F284" i="112" s="1"/>
  <c r="F285" i="112" s="1"/>
  <c r="I6" i="112"/>
  <c r="P9" i="113"/>
  <c r="P10" i="113" s="1"/>
  <c r="P11" i="113" s="1"/>
  <c r="P12" i="113" s="1"/>
  <c r="P13" i="113" s="1"/>
  <c r="P14" i="113" s="1"/>
  <c r="P15" i="113" s="1"/>
  <c r="P16" i="113" s="1"/>
  <c r="P17" i="113" s="1"/>
  <c r="P18" i="113" s="1"/>
  <c r="P19" i="113" s="1"/>
  <c r="P20" i="113" s="1"/>
  <c r="Q20" i="113" s="1"/>
  <c r="I30" i="95"/>
  <c r="L14" i="77"/>
  <c r="J21" i="133"/>
  <c r="N12" i="114"/>
  <c r="O12" i="114" s="1"/>
  <c r="P12" i="114" s="1"/>
  <c r="F12" i="110"/>
  <c r="L19" i="147"/>
  <c r="K37" i="114"/>
  <c r="E22" i="91"/>
  <c r="E23" i="91" s="1"/>
  <c r="E24" i="91" s="1"/>
  <c r="F12" i="88"/>
  <c r="F13" i="88" s="1"/>
  <c r="L13" i="88" s="1"/>
  <c r="K15" i="78"/>
  <c r="N14" i="78"/>
  <c r="I29" i="95"/>
  <c r="E45" i="114"/>
  <c r="E47" i="114"/>
  <c r="H20" i="135"/>
  <c r="I20" i="135" s="1"/>
  <c r="F13" i="134"/>
  <c r="J13" i="134" s="1"/>
  <c r="F17" i="134"/>
  <c r="J17" i="134" s="1"/>
  <c r="F15" i="134"/>
  <c r="J15" i="134" s="1"/>
  <c r="F12" i="134"/>
  <c r="J12" i="134" s="1"/>
  <c r="F14" i="134"/>
  <c r="J14" i="134" s="1"/>
  <c r="F16" i="134"/>
  <c r="J16" i="134" s="1"/>
  <c r="F23" i="133"/>
  <c r="J22" i="133"/>
  <c r="E46" i="114"/>
  <c r="L15" i="77"/>
  <c r="L14" i="95"/>
  <c r="L15" i="95" s="1"/>
  <c r="L16" i="95" s="1"/>
  <c r="L17" i="95" s="1"/>
  <c r="L18" i="95" s="1"/>
  <c r="L19" i="95" s="1"/>
  <c r="L20" i="95" s="1"/>
  <c r="L21" i="95" s="1"/>
  <c r="L22" i="95" s="1"/>
  <c r="L23" i="95" s="1"/>
  <c r="L24" i="95" s="1"/>
  <c r="M24" i="95" s="1"/>
  <c r="E80" i="110"/>
  <c r="M79" i="110"/>
  <c r="N68" i="110"/>
  <c r="U56" i="114"/>
  <c r="V56" i="114" s="1"/>
  <c r="K38" i="114"/>
  <c r="G18" i="133"/>
  <c r="C16" i="78"/>
  <c r="F15" i="78"/>
  <c r="I15" i="78" s="1"/>
  <c r="L15" i="78" s="1"/>
  <c r="Q15" i="78" s="1"/>
  <c r="B17" i="78"/>
  <c r="G288" i="112"/>
  <c r="O11" i="135"/>
  <c r="O19" i="147"/>
  <c r="N299" i="113"/>
  <c r="L18" i="111"/>
  <c r="O18" i="111" s="1"/>
  <c r="E19" i="111"/>
  <c r="C59" i="111"/>
  <c r="C62" i="111" s="1"/>
  <c r="C63" i="111" s="1"/>
  <c r="C64" i="111" s="1"/>
  <c r="C65" i="111" s="1"/>
  <c r="C66" i="111" s="1"/>
  <c r="C67" i="111" s="1"/>
  <c r="C68" i="111" s="1"/>
  <c r="C69" i="111" s="1"/>
  <c r="C70" i="111" s="1"/>
  <c r="C71" i="111" s="1"/>
  <c r="C72" i="111" s="1"/>
  <c r="C73" i="111" s="1"/>
  <c r="C74" i="111" s="1"/>
  <c r="C75" i="111" s="1"/>
  <c r="C76" i="111" s="1"/>
  <c r="C77" i="111" s="1"/>
  <c r="C78" i="111" s="1"/>
  <c r="C79" i="111" s="1"/>
  <c r="C80" i="111" s="1"/>
  <c r="C81" i="111" s="1"/>
  <c r="C82" i="111" s="1"/>
  <c r="C83" i="111" s="1"/>
  <c r="O55" i="114"/>
  <c r="F40" i="114"/>
  <c r="V55" i="114"/>
  <c r="J8" i="113"/>
  <c r="E79" i="88"/>
  <c r="S78" i="88"/>
  <c r="L12" i="88"/>
  <c r="N42" i="88"/>
  <c r="O41" i="88"/>
  <c r="O40" i="88"/>
  <c r="L16" i="77"/>
  <c r="C17" i="77"/>
  <c r="B56" i="77"/>
  <c r="B57" i="77" s="1"/>
  <c r="B58" i="77" s="1"/>
  <c r="B59" i="77" s="1"/>
  <c r="B60" i="77" s="1"/>
  <c r="B61" i="77" s="1"/>
  <c r="B62" i="77" s="1"/>
  <c r="B63" i="77" s="1"/>
  <c r="B64" i="77" s="1"/>
  <c r="B65" i="77" s="1"/>
  <c r="B66" i="77" s="1"/>
  <c r="B67" i="77" s="1"/>
  <c r="B68" i="77" s="1"/>
  <c r="B69" i="77" s="1"/>
  <c r="B70" i="77" s="1"/>
  <c r="B71" i="77" s="1"/>
  <c r="B72" i="77" s="1"/>
  <c r="B73" i="77" s="1"/>
  <c r="B74" i="77" s="1"/>
  <c r="B75" i="77" s="1"/>
  <c r="B76" i="77" s="1"/>
  <c r="B77" i="77" s="1"/>
  <c r="B78" i="77" s="1"/>
  <c r="B79" i="77" s="1"/>
  <c r="B80" i="77" s="1"/>
  <c r="B81" i="77" s="1"/>
  <c r="B82" i="77" s="1"/>
  <c r="B83" i="77" s="1"/>
  <c r="B84" i="77" s="1"/>
  <c r="B85" i="77" s="1"/>
  <c r="B86" i="77" s="1"/>
  <c r="B87" i="77" s="1"/>
  <c r="B88" i="77" s="1"/>
  <c r="B89" i="77" s="1"/>
  <c r="B90" i="77" s="1"/>
  <c r="B91" i="77" s="1"/>
  <c r="B92" i="77" s="1"/>
  <c r="H14" i="77"/>
  <c r="K13" i="77"/>
  <c r="K12" i="133"/>
  <c r="K13" i="133" s="1"/>
  <c r="K14" i="133" s="1"/>
  <c r="E12" i="135"/>
  <c r="E13" i="135" s="1"/>
  <c r="E14" i="135" s="1"/>
  <c r="E15" i="135" s="1"/>
  <c r="L12" i="135"/>
  <c r="O12" i="134"/>
  <c r="I24" i="134"/>
  <c r="H25" i="134"/>
  <c r="H26" i="134" s="1"/>
  <c r="G57" i="95"/>
  <c r="E20" i="147"/>
  <c r="E21" i="148"/>
  <c r="L20" i="148"/>
  <c r="O20" i="148" s="1"/>
  <c r="L20" i="147"/>
  <c r="H82" i="114"/>
  <c r="H83" i="114" s="1"/>
  <c r="H84" i="114" s="1"/>
  <c r="H85" i="114" s="1"/>
  <c r="H86" i="114" s="1"/>
  <c r="H87" i="114" s="1"/>
  <c r="H88" i="114" s="1"/>
  <c r="H89" i="114" s="1"/>
  <c r="E18" i="134"/>
  <c r="F18" i="134" s="1"/>
  <c r="J18" i="134" s="1"/>
  <c r="E32" i="111"/>
  <c r="H52" i="78"/>
  <c r="H53" i="78" s="1"/>
  <c r="H54" i="78" s="1"/>
  <c r="H55" i="78" s="1"/>
  <c r="H56" i="78" s="1"/>
  <c r="H57" i="78" s="1"/>
  <c r="H58" i="78" s="1"/>
  <c r="H59" i="78" s="1"/>
  <c r="H60" i="78" s="1"/>
  <c r="H61" i="78" s="1"/>
  <c r="H62" i="78" s="1"/>
  <c r="H63" i="78" s="1"/>
  <c r="H64" i="78" s="1"/>
  <c r="H65" i="78" s="1"/>
  <c r="H66" i="78" s="1"/>
  <c r="H67" i="78" s="1"/>
  <c r="H68" i="78" s="1"/>
  <c r="H69" i="78" s="1"/>
  <c r="H70" i="78" s="1"/>
  <c r="H71" i="78" s="1"/>
  <c r="H72" i="78" s="1"/>
  <c r="H73" i="78" s="1"/>
  <c r="H74" i="78" s="1"/>
  <c r="H75" i="78" s="1"/>
  <c r="H76" i="78" s="1"/>
  <c r="H77" i="78" s="1"/>
  <c r="H78" i="78" s="1"/>
  <c r="H79" i="78" s="1"/>
  <c r="H80" i="78" s="1"/>
  <c r="H81" i="78" s="1"/>
  <c r="H82" i="78" s="1"/>
  <c r="H83" i="78" s="1"/>
  <c r="H84" i="78" s="1"/>
  <c r="H85" i="78" s="1"/>
  <c r="H86" i="78" s="1"/>
  <c r="H87" i="78" s="1"/>
  <c r="H88" i="78" s="1"/>
  <c r="H89" i="78" s="1"/>
  <c r="H90" i="78" s="1"/>
  <c r="H91" i="78" s="1"/>
  <c r="H92" i="78" s="1"/>
  <c r="H93" i="78" s="1"/>
  <c r="H94" i="78" s="1"/>
  <c r="H95" i="78" s="1"/>
  <c r="H96" i="78" s="1"/>
  <c r="H97" i="78" s="1"/>
  <c r="H98" i="78" s="1"/>
  <c r="H99" i="78" s="1"/>
  <c r="H100" i="78" s="1"/>
  <c r="H101" i="78" s="1"/>
  <c r="H102" i="78" s="1"/>
  <c r="H103" i="78" s="1"/>
  <c r="H104" i="78" s="1"/>
  <c r="H105" i="78" s="1"/>
  <c r="H106" i="78" s="1"/>
  <c r="H107" i="78" s="1"/>
  <c r="D33" i="93"/>
  <c r="E17" i="95"/>
  <c r="H32" i="95"/>
  <c r="I31" i="95"/>
  <c r="D14" i="133"/>
  <c r="L13" i="134"/>
  <c r="M12" i="134" s="1"/>
  <c r="C27" i="111" l="1"/>
  <c r="L26" i="111"/>
  <c r="O26" i="111" s="1"/>
  <c r="G22" i="91"/>
  <c r="H22" i="91" s="1"/>
  <c r="I22" i="91" s="1"/>
  <c r="G12" i="88"/>
  <c r="K12" i="88" s="1"/>
  <c r="P12" i="88" s="1"/>
  <c r="C98" i="156"/>
  <c r="D98" i="156" s="1"/>
  <c r="D97" i="156"/>
  <c r="N13" i="114"/>
  <c r="O13" i="114" s="1"/>
  <c r="P13" i="114" s="1"/>
  <c r="F96" i="156"/>
  <c r="G95" i="156"/>
  <c r="H95" i="156" s="1"/>
  <c r="J95" i="156"/>
  <c r="M94" i="156"/>
  <c r="K94" i="156"/>
  <c r="L94" i="156" s="1"/>
  <c r="N13" i="133"/>
  <c r="N15" i="78"/>
  <c r="H108" i="78"/>
  <c r="H109" i="78" s="1"/>
  <c r="H110" i="78" s="1"/>
  <c r="H111" i="78" s="1"/>
  <c r="H112" i="78" s="1"/>
  <c r="H113" i="78" s="1"/>
  <c r="H114" i="78" s="1"/>
  <c r="H115" i="78" s="1"/>
  <c r="H116" i="78" s="1"/>
  <c r="H117" i="78" s="1"/>
  <c r="H118" i="78" s="1"/>
  <c r="H119" i="78" s="1"/>
  <c r="H120" i="78" s="1"/>
  <c r="H121" i="78" s="1"/>
  <c r="H122" i="78" s="1"/>
  <c r="H123" i="78" s="1"/>
  <c r="H124" i="78" s="1"/>
  <c r="H125" i="78" s="1"/>
  <c r="H126" i="78" s="1"/>
  <c r="H127" i="78" s="1"/>
  <c r="H128" i="78" s="1"/>
  <c r="H129" i="78" s="1"/>
  <c r="H130" i="78" s="1"/>
  <c r="H131" i="78" s="1"/>
  <c r="H132" i="78" s="1"/>
  <c r="H133" i="78" s="1"/>
  <c r="H134" i="78" s="1"/>
  <c r="H135" i="78" s="1"/>
  <c r="H136" i="78" s="1"/>
  <c r="H137" i="78" s="1"/>
  <c r="H138" i="78" s="1"/>
  <c r="H139" i="78" s="1"/>
  <c r="H140" i="78" s="1"/>
  <c r="H141" i="78" s="1"/>
  <c r="H142" i="78" s="1"/>
  <c r="H143" i="78" s="1"/>
  <c r="H144" i="78" s="1"/>
  <c r="H145" i="78" s="1"/>
  <c r="H146" i="78" s="1"/>
  <c r="H147" i="78" s="1"/>
  <c r="P21" i="113"/>
  <c r="Q21" i="113" s="1"/>
  <c r="N13" i="77"/>
  <c r="O13" i="77" s="1"/>
  <c r="P13" i="77" s="1"/>
  <c r="C8" i="113"/>
  <c r="E8" i="113" s="1"/>
  <c r="J6" i="112"/>
  <c r="K6" i="112" s="1"/>
  <c r="I7" i="112" s="1"/>
  <c r="F14" i="88"/>
  <c r="G14" i="88" s="1"/>
  <c r="K14" i="88" s="1"/>
  <c r="P14" i="88" s="1"/>
  <c r="G13" i="88"/>
  <c r="K13" i="88" s="1"/>
  <c r="P13" i="88" s="1"/>
  <c r="L25" i="95"/>
  <c r="F13" i="110"/>
  <c r="L12" i="110"/>
  <c r="G23" i="91"/>
  <c r="F13" i="135"/>
  <c r="J14" i="135" s="1"/>
  <c r="H21" i="135"/>
  <c r="H22" i="135" s="1"/>
  <c r="F12" i="135"/>
  <c r="F14" i="135"/>
  <c r="N12" i="134"/>
  <c r="I25" i="134"/>
  <c r="J23" i="133"/>
  <c r="F24" i="133"/>
  <c r="E81" i="110"/>
  <c r="M80" i="110"/>
  <c r="N69" i="110"/>
  <c r="G19" i="133"/>
  <c r="H18" i="133"/>
  <c r="C17" i="78"/>
  <c r="F16" i="78"/>
  <c r="I16" i="78" s="1"/>
  <c r="L16" i="78" s="1"/>
  <c r="B18" i="78"/>
  <c r="K17" i="78"/>
  <c r="F15" i="135"/>
  <c r="E16" i="135"/>
  <c r="F16" i="135" s="1"/>
  <c r="O20" i="147"/>
  <c r="C85" i="111"/>
  <c r="C86" i="111" s="1"/>
  <c r="C87" i="111" s="1"/>
  <c r="C88" i="111" s="1"/>
  <c r="C89" i="111" s="1"/>
  <c r="C90" i="111" s="1"/>
  <c r="C91" i="111" s="1"/>
  <c r="C92" i="111" s="1"/>
  <c r="C93" i="111" s="1"/>
  <c r="C94" i="111" s="1"/>
  <c r="C95" i="111" s="1"/>
  <c r="C96" i="111" s="1"/>
  <c r="C97" i="111" s="1"/>
  <c r="C98" i="111" s="1"/>
  <c r="C99" i="111" s="1"/>
  <c r="C100" i="111" s="1"/>
  <c r="C101" i="111" s="1"/>
  <c r="C102" i="111" s="1"/>
  <c r="C103" i="111" s="1"/>
  <c r="C104" i="111" s="1"/>
  <c r="C105" i="111" s="1"/>
  <c r="C106" i="111" s="1"/>
  <c r="C107" i="111" s="1"/>
  <c r="C108" i="111" s="1"/>
  <c r="C109" i="111" s="1"/>
  <c r="C110" i="111" s="1"/>
  <c r="C111" i="111" s="1"/>
  <c r="C112" i="111" s="1"/>
  <c r="C113" i="111" s="1"/>
  <c r="C114" i="111" s="1"/>
  <c r="C115" i="111" s="1"/>
  <c r="C116" i="111" s="1"/>
  <c r="C117" i="111" s="1"/>
  <c r="C118" i="111" s="1"/>
  <c r="C119" i="111" s="1"/>
  <c r="C120" i="111" s="1"/>
  <c r="C121" i="111" s="1"/>
  <c r="C122" i="111" s="1"/>
  <c r="C123" i="111" s="1"/>
  <c r="C124" i="111" s="1"/>
  <c r="C125" i="111" s="1"/>
  <c r="C126" i="111" s="1"/>
  <c r="C127" i="111" s="1"/>
  <c r="C128" i="111" s="1"/>
  <c r="C129" i="111" s="1"/>
  <c r="C130" i="111" s="1"/>
  <c r="C131" i="111" s="1"/>
  <c r="C132" i="111" s="1"/>
  <c r="C133" i="111" s="1"/>
  <c r="C134" i="111" s="1"/>
  <c r="C135" i="111" s="1"/>
  <c r="C136" i="111" s="1"/>
  <c r="C137" i="111" s="1"/>
  <c r="C138" i="111" s="1"/>
  <c r="C139" i="111" s="1"/>
  <c r="C140" i="111" s="1"/>
  <c r="C141" i="111" s="1"/>
  <c r="C142" i="111" s="1"/>
  <c r="C143" i="111" s="1"/>
  <c r="C144" i="111" s="1"/>
  <c r="C145" i="111" s="1"/>
  <c r="C146" i="111" s="1"/>
  <c r="C147" i="111" s="1"/>
  <c r="C148" i="111" s="1"/>
  <c r="C149" i="111" s="1"/>
  <c r="C150" i="111" s="1"/>
  <c r="C151" i="111" s="1"/>
  <c r="C152" i="111" s="1"/>
  <c r="C153" i="111" s="1"/>
  <c r="C154" i="111" s="1"/>
  <c r="C155" i="111" s="1"/>
  <c r="C156" i="111" s="1"/>
  <c r="C157" i="111" s="1"/>
  <c r="C158" i="111" s="1"/>
  <c r="C159" i="111" s="1"/>
  <c r="C160" i="111" s="1"/>
  <c r="C161" i="111" s="1"/>
  <c r="C162" i="111" s="1"/>
  <c r="C163" i="111" s="1"/>
  <c r="C164" i="111" s="1"/>
  <c r="C165" i="111" s="1"/>
  <c r="C166" i="111" s="1"/>
  <c r="C167" i="111" s="1"/>
  <c r="C168" i="111" s="1"/>
  <c r="C169" i="111" s="1"/>
  <c r="C170" i="111" s="1"/>
  <c r="C171" i="111" s="1"/>
  <c r="C172" i="111" s="1"/>
  <c r="C173" i="111" s="1"/>
  <c r="C174" i="111" s="1"/>
  <c r="C175" i="111" s="1"/>
  <c r="C176" i="111" s="1"/>
  <c r="C177" i="111" s="1"/>
  <c r="C178" i="111" s="1"/>
  <c r="C179" i="111" s="1"/>
  <c r="C180" i="111" s="1"/>
  <c r="C181" i="111" s="1"/>
  <c r="C182" i="111" s="1"/>
  <c r="C183" i="111" s="1"/>
  <c r="C184" i="111" s="1"/>
  <c r="C185" i="111" s="1"/>
  <c r="C186" i="111" s="1"/>
  <c r="C187" i="111" s="1"/>
  <c r="C188" i="111" s="1"/>
  <c r="C189" i="111" s="1"/>
  <c r="C190" i="111" s="1"/>
  <c r="C191" i="111" s="1"/>
  <c r="C192" i="111" s="1"/>
  <c r="C193" i="111" s="1"/>
  <c r="C194" i="111" s="1"/>
  <c r="C195" i="111" s="1"/>
  <c r="C196" i="111" s="1"/>
  <c r="C197" i="111" s="1"/>
  <c r="C198" i="111" s="1"/>
  <c r="C199" i="111" s="1"/>
  <c r="C200" i="111" s="1"/>
  <c r="C201" i="111" s="1"/>
  <c r="C202" i="111" s="1"/>
  <c r="C203" i="111" s="1"/>
  <c r="C204" i="111" s="1"/>
  <c r="C205" i="111" s="1"/>
  <c r="C206" i="111" s="1"/>
  <c r="C207" i="111" s="1"/>
  <c r="C208" i="111" s="1"/>
  <c r="C209" i="111" s="1"/>
  <c r="C210" i="111" s="1"/>
  <c r="C211" i="111" s="1"/>
  <c r="C212" i="111" s="1"/>
  <c r="C213" i="111" s="1"/>
  <c r="C214" i="111" s="1"/>
  <c r="C215" i="111" s="1"/>
  <c r="C216" i="111" s="1"/>
  <c r="C217" i="111" s="1"/>
  <c r="C218" i="111" s="1"/>
  <c r="C219" i="111" s="1"/>
  <c r="C220" i="111" s="1"/>
  <c r="C221" i="111" s="1"/>
  <c r="C222" i="111" s="1"/>
  <c r="C223" i="111" s="1"/>
  <c r="C224" i="111" s="1"/>
  <c r="C225" i="111" s="1"/>
  <c r="C226" i="111" s="1"/>
  <c r="C227" i="111" s="1"/>
  <c r="C228" i="111" s="1"/>
  <c r="C229" i="111" s="1"/>
  <c r="C230" i="111" s="1"/>
  <c r="C231" i="111" s="1"/>
  <c r="C232" i="111" s="1"/>
  <c r="C233" i="111" s="1"/>
  <c r="C234" i="111" s="1"/>
  <c r="C235" i="111" s="1"/>
  <c r="C236" i="111" s="1"/>
  <c r="C237" i="111" s="1"/>
  <c r="C238" i="111" s="1"/>
  <c r="C239" i="111" s="1"/>
  <c r="C240" i="111" s="1"/>
  <c r="C241" i="111" s="1"/>
  <c r="C242" i="111" s="1"/>
  <c r="C243" i="111" s="1"/>
  <c r="C244" i="111" s="1"/>
  <c r="C245" i="111" s="1"/>
  <c r="C246" i="111" s="1"/>
  <c r="C247" i="111" s="1"/>
  <c r="C248" i="111" s="1"/>
  <c r="C249" i="111" s="1"/>
  <c r="C250" i="111" s="1"/>
  <c r="C251" i="111" s="1"/>
  <c r="E20" i="111"/>
  <c r="L19" i="111"/>
  <c r="O19" i="111" s="1"/>
  <c r="F41" i="114"/>
  <c r="K40" i="114"/>
  <c r="H23" i="91"/>
  <c r="I23" i="91" s="1"/>
  <c r="G24" i="91"/>
  <c r="E25" i="91"/>
  <c r="E80" i="88"/>
  <c r="M79" i="88"/>
  <c r="N43" i="88"/>
  <c r="O42" i="88"/>
  <c r="L17" i="77"/>
  <c r="C18" i="77"/>
  <c r="H15" i="77"/>
  <c r="K14" i="77"/>
  <c r="N14" i="77" s="1"/>
  <c r="O14" i="77" s="1"/>
  <c r="O12" i="135"/>
  <c r="L13" i="135"/>
  <c r="M13" i="134"/>
  <c r="N13" i="134" s="1"/>
  <c r="G58" i="95"/>
  <c r="K57" i="95"/>
  <c r="L21" i="147"/>
  <c r="L22" i="147" s="1"/>
  <c r="L21" i="148"/>
  <c r="O21" i="148" s="1"/>
  <c r="E22" i="148"/>
  <c r="F22" i="148" s="1"/>
  <c r="E21" i="147"/>
  <c r="D15" i="133"/>
  <c r="N14" i="133"/>
  <c r="H33" i="95"/>
  <c r="I32" i="95"/>
  <c r="I26" i="134"/>
  <c r="H27" i="134"/>
  <c r="E19" i="134"/>
  <c r="F19" i="134" s="1"/>
  <c r="J19" i="134" s="1"/>
  <c r="H90" i="114"/>
  <c r="H91" i="114" s="1"/>
  <c r="H92" i="114" s="1"/>
  <c r="H93" i="114" s="1"/>
  <c r="H94" i="114" s="1"/>
  <c r="H95" i="114" s="1"/>
  <c r="H96" i="114" s="1"/>
  <c r="H97" i="114" s="1"/>
  <c r="H98" i="114" s="1"/>
  <c r="O13" i="134"/>
  <c r="L14" i="134"/>
  <c r="K15" i="133"/>
  <c r="E18" i="95"/>
  <c r="D34" i="93"/>
  <c r="E33" i="93"/>
  <c r="R15" i="78"/>
  <c r="E33" i="111"/>
  <c r="B93" i="77"/>
  <c r="L14" i="88" l="1"/>
  <c r="C28" i="111"/>
  <c r="L27" i="111"/>
  <c r="O27" i="111" s="1"/>
  <c r="N14" i="114"/>
  <c r="O14" i="114" s="1"/>
  <c r="P14" i="114" s="1"/>
  <c r="F97" i="156"/>
  <c r="G96" i="156"/>
  <c r="H96" i="156" s="1"/>
  <c r="J96" i="156"/>
  <c r="M95" i="156"/>
  <c r="K95" i="156"/>
  <c r="L95" i="156" s="1"/>
  <c r="P22" i="113"/>
  <c r="P23" i="113" s="1"/>
  <c r="Q13" i="77"/>
  <c r="R13" i="77" s="1"/>
  <c r="P14" i="77"/>
  <c r="J7" i="112"/>
  <c r="C9" i="113"/>
  <c r="E9" i="113" s="1"/>
  <c r="B9" i="113" s="1"/>
  <c r="B8" i="113"/>
  <c r="G8" i="113"/>
  <c r="F15" i="88"/>
  <c r="G15" i="88" s="1"/>
  <c r="K15" i="88" s="1"/>
  <c r="P15" i="88" s="1"/>
  <c r="M25" i="95"/>
  <c r="L26" i="95"/>
  <c r="F14" i="110"/>
  <c r="L13" i="110"/>
  <c r="O21" i="147"/>
  <c r="H99" i="114"/>
  <c r="H100" i="114" s="1"/>
  <c r="H101" i="114" s="1"/>
  <c r="J13" i="135"/>
  <c r="J15" i="135"/>
  <c r="E17" i="135"/>
  <c r="F17" i="135" s="1"/>
  <c r="I21" i="135"/>
  <c r="J17" i="135"/>
  <c r="J16" i="135"/>
  <c r="J12" i="135"/>
  <c r="F25" i="133"/>
  <c r="J24" i="133"/>
  <c r="E82" i="110"/>
  <c r="M81" i="110"/>
  <c r="N70" i="110"/>
  <c r="G20" i="133"/>
  <c r="H19" i="133"/>
  <c r="K18" i="78"/>
  <c r="B19" i="78"/>
  <c r="C18" i="78"/>
  <c r="F17" i="78"/>
  <c r="I17" i="78" s="1"/>
  <c r="L17" i="78" s="1"/>
  <c r="M14" i="134"/>
  <c r="N14" i="134" s="1"/>
  <c r="M22" i="147"/>
  <c r="E21" i="111"/>
  <c r="L20" i="111"/>
  <c r="O20" i="111" s="1"/>
  <c r="F42" i="114"/>
  <c r="K41" i="114"/>
  <c r="H24" i="91"/>
  <c r="I24" i="91" s="1"/>
  <c r="E26" i="91"/>
  <c r="G25" i="91"/>
  <c r="E81" i="88"/>
  <c r="M80" i="88"/>
  <c r="N44" i="88"/>
  <c r="O43" i="88"/>
  <c r="C19" i="77"/>
  <c r="L18" i="77"/>
  <c r="Q16" i="78"/>
  <c r="R16" i="78" s="1"/>
  <c r="N16" i="78"/>
  <c r="Q14" i="77"/>
  <c r="K15" i="77"/>
  <c r="N15" i="77" s="1"/>
  <c r="O15" i="77" s="1"/>
  <c r="H16" i="77"/>
  <c r="L14" i="135"/>
  <c r="O13" i="135"/>
  <c r="I22" i="135"/>
  <c r="H23" i="135"/>
  <c r="G59" i="95"/>
  <c r="K58" i="95"/>
  <c r="E22" i="147"/>
  <c r="E23" i="148"/>
  <c r="L22" i="148"/>
  <c r="O14" i="134"/>
  <c r="L15" i="134"/>
  <c r="H102" i="114"/>
  <c r="H103" i="114" s="1"/>
  <c r="H104" i="114" s="1"/>
  <c r="H105" i="114" s="1"/>
  <c r="H106" i="114" s="1"/>
  <c r="H107" i="114" s="1"/>
  <c r="H108" i="114" s="1"/>
  <c r="H109" i="114" s="1"/>
  <c r="H110" i="114" s="1"/>
  <c r="H111" i="114" s="1"/>
  <c r="H112" i="114" s="1"/>
  <c r="H113" i="114" s="1"/>
  <c r="H34" i="95"/>
  <c r="I33" i="95"/>
  <c r="B94" i="77"/>
  <c r="E34" i="111"/>
  <c r="E34" i="93"/>
  <c r="D35" i="93"/>
  <c r="E19" i="95"/>
  <c r="K16" i="133"/>
  <c r="E20" i="134"/>
  <c r="F20" i="134" s="1"/>
  <c r="J20" i="134" s="1"/>
  <c r="I27" i="134"/>
  <c r="H28" i="134"/>
  <c r="D16" i="133"/>
  <c r="N15" i="133"/>
  <c r="C29" i="111" l="1"/>
  <c r="L28" i="111"/>
  <c r="O28" i="111" s="1"/>
  <c r="N15" i="114"/>
  <c r="F98" i="156"/>
  <c r="G98" i="156" s="1"/>
  <c r="H98" i="156" s="1"/>
  <c r="D72" i="162" s="1"/>
  <c r="G97" i="156"/>
  <c r="H97" i="156" s="1"/>
  <c r="J97" i="156"/>
  <c r="M96" i="156"/>
  <c r="K96" i="156"/>
  <c r="L96" i="156" s="1"/>
  <c r="L15" i="88"/>
  <c r="Q22" i="113"/>
  <c r="R14" i="77"/>
  <c r="K7" i="112"/>
  <c r="I8" i="112" s="1"/>
  <c r="C10" i="113" s="1"/>
  <c r="E10" i="113" s="1"/>
  <c r="B10" i="113" s="1"/>
  <c r="F9" i="113"/>
  <c r="I9" i="113" s="1"/>
  <c r="J9" i="113" s="1"/>
  <c r="F16" i="88"/>
  <c r="G16" i="88" s="1"/>
  <c r="K16" i="88" s="1"/>
  <c r="P16" i="88" s="1"/>
  <c r="M26" i="95"/>
  <c r="L27" i="95"/>
  <c r="M12" i="135"/>
  <c r="N12" i="135" s="1"/>
  <c r="L14" i="110"/>
  <c r="F15" i="110"/>
  <c r="O22" i="148"/>
  <c r="M22" i="148"/>
  <c r="N22" i="148" s="1"/>
  <c r="G23" i="148"/>
  <c r="K23" i="148" s="1"/>
  <c r="F23" i="148"/>
  <c r="M13" i="135"/>
  <c r="N13" i="135" s="1"/>
  <c r="J18" i="135"/>
  <c r="E18" i="135"/>
  <c r="F18" i="135" s="1"/>
  <c r="J25" i="133"/>
  <c r="F26" i="133"/>
  <c r="M82" i="110"/>
  <c r="E83" i="110"/>
  <c r="N71" i="110"/>
  <c r="H20" i="133"/>
  <c r="G21" i="133"/>
  <c r="F18" i="78"/>
  <c r="I18" i="78" s="1"/>
  <c r="C19" i="78"/>
  <c r="K19" i="78"/>
  <c r="B20" i="78"/>
  <c r="M15" i="134"/>
  <c r="N15" i="134" s="1"/>
  <c r="O22" i="147"/>
  <c r="F22" i="147"/>
  <c r="E22" i="111"/>
  <c r="L21" i="111"/>
  <c r="O21" i="111" s="1"/>
  <c r="F43" i="114"/>
  <c r="K42" i="114"/>
  <c r="P24" i="113"/>
  <c r="Q23" i="113"/>
  <c r="H25" i="91"/>
  <c r="E27" i="91"/>
  <c r="G26" i="91"/>
  <c r="M81" i="88"/>
  <c r="E82" i="88"/>
  <c r="N45" i="88"/>
  <c r="O44" i="88"/>
  <c r="C20" i="77"/>
  <c r="L19" i="77"/>
  <c r="Q17" i="78"/>
  <c r="R17" i="78" s="1"/>
  <c r="N17" i="78"/>
  <c r="S17" i="78"/>
  <c r="Q15" i="77"/>
  <c r="R15" i="77" s="1"/>
  <c r="P15" i="77"/>
  <c r="K16" i="77"/>
  <c r="N16" i="77" s="1"/>
  <c r="O16" i="77" s="1"/>
  <c r="H17" i="77"/>
  <c r="I23" i="135"/>
  <c r="H24" i="135"/>
  <c r="O14" i="135"/>
  <c r="M14" i="135"/>
  <c r="N14" i="135" s="1"/>
  <c r="L15" i="135"/>
  <c r="G60" i="95"/>
  <c r="K59" i="95"/>
  <c r="E24" i="148"/>
  <c r="F24" i="148" s="1"/>
  <c r="E23" i="147"/>
  <c r="D17" i="133"/>
  <c r="N16" i="133"/>
  <c r="E35" i="93"/>
  <c r="D36" i="93"/>
  <c r="B95" i="77"/>
  <c r="I28" i="134"/>
  <c r="H29" i="134"/>
  <c r="E21" i="134"/>
  <c r="F21" i="134" s="1"/>
  <c r="J21" i="134" s="1"/>
  <c r="K17" i="133"/>
  <c r="E20" i="95"/>
  <c r="E35" i="111"/>
  <c r="H35" i="95"/>
  <c r="I34" i="95"/>
  <c r="H114" i="114"/>
  <c r="H115" i="114" s="1"/>
  <c r="H116" i="114" s="1"/>
  <c r="H117" i="114" s="1"/>
  <c r="H118" i="114" s="1"/>
  <c r="H119" i="114" s="1"/>
  <c r="L16" i="134"/>
  <c r="O15" i="134"/>
  <c r="C30" i="111" l="1"/>
  <c r="L29" i="111"/>
  <c r="O29" i="111" s="1"/>
  <c r="G9" i="113"/>
  <c r="N16" i="114"/>
  <c r="O15" i="114"/>
  <c r="P15" i="114" s="1"/>
  <c r="J98" i="156"/>
  <c r="M97" i="156"/>
  <c r="K97" i="156"/>
  <c r="L97" i="156" s="1"/>
  <c r="H120" i="114"/>
  <c r="H121" i="114" s="1"/>
  <c r="H122" i="114" s="1"/>
  <c r="H123" i="114" s="1"/>
  <c r="H124" i="114" s="1"/>
  <c r="H125" i="114" s="1"/>
  <c r="L16" i="88"/>
  <c r="F10" i="113"/>
  <c r="I10" i="113" s="1"/>
  <c r="J10" i="113" s="1"/>
  <c r="J8" i="112"/>
  <c r="F17" i="88"/>
  <c r="G17" i="88" s="1"/>
  <c r="K17" i="88" s="1"/>
  <c r="P17" i="88" s="1"/>
  <c r="M27" i="95"/>
  <c r="L28" i="95"/>
  <c r="L15" i="110"/>
  <c r="F16" i="110"/>
  <c r="H26" i="91"/>
  <c r="I26" i="91" s="1"/>
  <c r="G23" i="147"/>
  <c r="F23" i="147"/>
  <c r="E19" i="135"/>
  <c r="F19" i="135" s="1"/>
  <c r="J19" i="135" s="1"/>
  <c r="F27" i="133"/>
  <c r="J26" i="133"/>
  <c r="N72" i="110"/>
  <c r="E84" i="110"/>
  <c r="M83" i="110"/>
  <c r="H21" i="133"/>
  <c r="G22" i="133"/>
  <c r="L18" i="78"/>
  <c r="Q18" i="78" s="1"/>
  <c r="R18" i="78" s="1"/>
  <c r="B21" i="78"/>
  <c r="K20" i="78"/>
  <c r="F19" i="78"/>
  <c r="I19" i="78" s="1"/>
  <c r="C20" i="78"/>
  <c r="M16" i="134"/>
  <c r="N16" i="134" s="1"/>
  <c r="J22" i="147"/>
  <c r="N22" i="147" s="1"/>
  <c r="E23" i="111"/>
  <c r="L22" i="111"/>
  <c r="O22" i="111" s="1"/>
  <c r="F44" i="114"/>
  <c r="K43" i="114"/>
  <c r="P25" i="113"/>
  <c r="Q24" i="113"/>
  <c r="I25" i="91"/>
  <c r="G27" i="91"/>
  <c r="H27" i="91" s="1"/>
  <c r="E28" i="91"/>
  <c r="E83" i="88"/>
  <c r="M82" i="88"/>
  <c r="N46" i="88"/>
  <c r="O45" i="88"/>
  <c r="L20" i="77"/>
  <c r="C21" i="77"/>
  <c r="P16" i="77"/>
  <c r="Q16" i="77"/>
  <c r="R16" i="77" s="1"/>
  <c r="H18" i="77"/>
  <c r="K17" i="77"/>
  <c r="N17" i="77" s="1"/>
  <c r="O17" i="77" s="1"/>
  <c r="H25" i="135"/>
  <c r="I24" i="135"/>
  <c r="O15" i="135"/>
  <c r="M15" i="135"/>
  <c r="N15" i="135" s="1"/>
  <c r="L16" i="135"/>
  <c r="G61" i="95"/>
  <c r="K60" i="95"/>
  <c r="E24" i="147"/>
  <c r="F24" i="147" s="1"/>
  <c r="E25" i="148"/>
  <c r="F25" i="148" s="1"/>
  <c r="G24" i="148"/>
  <c r="L23" i="148"/>
  <c r="M23" i="148" s="1"/>
  <c r="H23" i="148"/>
  <c r="O16" i="134"/>
  <c r="L17" i="134"/>
  <c r="H36" i="95"/>
  <c r="I35" i="95"/>
  <c r="E36" i="111"/>
  <c r="E21" i="95"/>
  <c r="K18" i="133"/>
  <c r="L17" i="133"/>
  <c r="B96" i="77"/>
  <c r="D18" i="133"/>
  <c r="N17" i="133"/>
  <c r="E17" i="133"/>
  <c r="I17" i="133" s="1"/>
  <c r="E22" i="134"/>
  <c r="F22" i="134" s="1"/>
  <c r="J22" i="134" s="1"/>
  <c r="I29" i="134"/>
  <c r="H30" i="134"/>
  <c r="D37" i="93"/>
  <c r="E36" i="93"/>
  <c r="L17" i="88" l="1"/>
  <c r="L30" i="111"/>
  <c r="O30" i="111" s="1"/>
  <c r="C31" i="111"/>
  <c r="O16" i="114"/>
  <c r="P16" i="114" s="1"/>
  <c r="N17" i="114"/>
  <c r="H126" i="114"/>
  <c r="H127" i="114" s="1"/>
  <c r="H128" i="114" s="1"/>
  <c r="H129" i="114" s="1"/>
  <c r="H130" i="114" s="1"/>
  <c r="H131" i="114" s="1"/>
  <c r="H132" i="114" s="1"/>
  <c r="H133" i="114" s="1"/>
  <c r="H134" i="114" s="1"/>
  <c r="H135" i="114" s="1"/>
  <c r="H136" i="114" s="1"/>
  <c r="H137" i="114" s="1"/>
  <c r="H138" i="114" s="1"/>
  <c r="H139" i="114" s="1"/>
  <c r="H140" i="114" s="1"/>
  <c r="H373" i="114"/>
  <c r="D39" i="159" s="1"/>
  <c r="K98" i="156"/>
  <c r="M98" i="156"/>
  <c r="K8" i="112"/>
  <c r="I9" i="112" s="1"/>
  <c r="C11" i="113" s="1"/>
  <c r="E11" i="113" s="1"/>
  <c r="B11" i="113" s="1"/>
  <c r="G10" i="113"/>
  <c r="F18" i="88"/>
  <c r="G18" i="88" s="1"/>
  <c r="K18" i="88" s="1"/>
  <c r="P18" i="88" s="1"/>
  <c r="L29" i="95"/>
  <c r="M28" i="95"/>
  <c r="H141" i="114"/>
  <c r="F17" i="110"/>
  <c r="L16" i="110"/>
  <c r="E20" i="135"/>
  <c r="E21" i="135" s="1"/>
  <c r="F28" i="133"/>
  <c r="J27" i="133"/>
  <c r="S18" i="78"/>
  <c r="N18" i="78"/>
  <c r="M84" i="110"/>
  <c r="E85" i="110"/>
  <c r="N73" i="110"/>
  <c r="G23" i="133"/>
  <c r="H22" i="133"/>
  <c r="L19" i="78"/>
  <c r="K21" i="78"/>
  <c r="B22" i="78"/>
  <c r="C21" i="78"/>
  <c r="F20" i="78"/>
  <c r="I20" i="78" s="1"/>
  <c r="M17" i="134"/>
  <c r="N17" i="134" s="1"/>
  <c r="E24" i="111"/>
  <c r="L24" i="111" s="1"/>
  <c r="O24" i="111" s="1"/>
  <c r="L23" i="111"/>
  <c r="O23" i="111" s="1"/>
  <c r="F45" i="114"/>
  <c r="K44" i="114"/>
  <c r="P26" i="113"/>
  <c r="Q25" i="113"/>
  <c r="I27" i="91"/>
  <c r="E29" i="91"/>
  <c r="G28" i="91"/>
  <c r="H28" i="91" s="1"/>
  <c r="M83" i="88"/>
  <c r="E84" i="88"/>
  <c r="N47" i="88"/>
  <c r="O46" i="88"/>
  <c r="C22" i="77"/>
  <c r="L21" i="77"/>
  <c r="K18" i="77"/>
  <c r="N18" i="77" s="1"/>
  <c r="O18" i="77" s="1"/>
  <c r="H19" i="77"/>
  <c r="Q17" i="77"/>
  <c r="R17" i="77" s="1"/>
  <c r="P17" i="77"/>
  <c r="M16" i="135"/>
  <c r="N16" i="135" s="1"/>
  <c r="O16" i="135"/>
  <c r="L17" i="135"/>
  <c r="I25" i="135"/>
  <c r="H26" i="135"/>
  <c r="K61" i="95"/>
  <c r="G62" i="95"/>
  <c r="K24" i="148"/>
  <c r="L24" i="148" s="1"/>
  <c r="M24" i="148" s="1"/>
  <c r="I23" i="148"/>
  <c r="O23" i="148"/>
  <c r="H23" i="147"/>
  <c r="K23" i="147"/>
  <c r="L23" i="147" s="1"/>
  <c r="H24" i="148"/>
  <c r="E26" i="148"/>
  <c r="F26" i="148" s="1"/>
  <c r="G25" i="148"/>
  <c r="K25" i="148" s="1"/>
  <c r="G24" i="147"/>
  <c r="K24" i="147" s="1"/>
  <c r="E25" i="147"/>
  <c r="F25" i="147" s="1"/>
  <c r="I30" i="134"/>
  <c r="H31" i="134"/>
  <c r="E23" i="134"/>
  <c r="F23" i="134" s="1"/>
  <c r="J23" i="134" s="1"/>
  <c r="K19" i="133"/>
  <c r="L18" i="133"/>
  <c r="E37" i="111"/>
  <c r="H37" i="95"/>
  <c r="I36" i="95"/>
  <c r="L18" i="134"/>
  <c r="O17" i="134"/>
  <c r="D38" i="93"/>
  <c r="E37" i="93"/>
  <c r="D19" i="133"/>
  <c r="N18" i="133"/>
  <c r="E18" i="133"/>
  <c r="I18" i="133" s="1"/>
  <c r="B97" i="77"/>
  <c r="M17" i="133"/>
  <c r="E22" i="95"/>
  <c r="L31" i="111" l="1"/>
  <c r="O31" i="111" s="1"/>
  <c r="C32" i="111"/>
  <c r="F20" i="135"/>
  <c r="J20" i="135" s="1"/>
  <c r="N18" i="114"/>
  <c r="O17" i="114"/>
  <c r="P17" i="114" s="1"/>
  <c r="E39" i="159"/>
  <c r="D73" i="162"/>
  <c r="D74" i="162" s="1"/>
  <c r="G27" i="159" s="1"/>
  <c r="L98" i="156"/>
  <c r="H142" i="114"/>
  <c r="H143" i="114" s="1"/>
  <c r="H144" i="114" s="1"/>
  <c r="H145" i="114" s="1"/>
  <c r="H146" i="114" s="1"/>
  <c r="H147" i="114" s="1"/>
  <c r="H148" i="114" s="1"/>
  <c r="H149" i="114" s="1"/>
  <c r="H150" i="114" s="1"/>
  <c r="H151" i="114" s="1"/>
  <c r="H152" i="114" s="1"/>
  <c r="H153" i="114" s="1"/>
  <c r="F11" i="113"/>
  <c r="I11" i="113" s="1"/>
  <c r="J11" i="113" s="1"/>
  <c r="J9" i="112"/>
  <c r="K9" i="112" s="1"/>
  <c r="I10" i="112" s="1"/>
  <c r="L18" i="88"/>
  <c r="F19" i="88"/>
  <c r="G19" i="88" s="1"/>
  <c r="K19" i="88" s="1"/>
  <c r="P19" i="88" s="1"/>
  <c r="M29" i="95"/>
  <c r="L30" i="95"/>
  <c r="F18" i="110"/>
  <c r="L17" i="110"/>
  <c r="O23" i="147"/>
  <c r="M23" i="147"/>
  <c r="J23" i="148"/>
  <c r="N23" i="148" s="1"/>
  <c r="J28" i="133"/>
  <c r="F29" i="133"/>
  <c r="N19" i="78"/>
  <c r="N74" i="110"/>
  <c r="E86" i="110"/>
  <c r="M85" i="110"/>
  <c r="G24" i="133"/>
  <c r="H23" i="133"/>
  <c r="L20" i="78"/>
  <c r="F21" i="78"/>
  <c r="I21" i="78" s="1"/>
  <c r="C22" i="78"/>
  <c r="K22" i="78"/>
  <c r="B23" i="78"/>
  <c r="Q19" i="78"/>
  <c r="R19" i="78" s="1"/>
  <c r="S19" i="78"/>
  <c r="M18" i="134"/>
  <c r="N18" i="134" s="1"/>
  <c r="F46" i="114"/>
  <c r="K45" i="114"/>
  <c r="P27" i="113"/>
  <c r="Q26" i="113"/>
  <c r="E30" i="91"/>
  <c r="G29" i="91"/>
  <c r="H29" i="91" s="1"/>
  <c r="I29" i="91" s="1"/>
  <c r="I28" i="91"/>
  <c r="M84" i="88"/>
  <c r="E85" i="88"/>
  <c r="N48" i="88"/>
  <c r="O47" i="88"/>
  <c r="L22" i="77"/>
  <c r="C23" i="77"/>
  <c r="H20" i="77"/>
  <c r="K19" i="77"/>
  <c r="N19" i="77" s="1"/>
  <c r="O19" i="77" s="1"/>
  <c r="Q18" i="77"/>
  <c r="R18" i="77" s="1"/>
  <c r="P18" i="77"/>
  <c r="I26" i="135"/>
  <c r="H27" i="135"/>
  <c r="M17" i="135"/>
  <c r="N17" i="135" s="1"/>
  <c r="O17" i="135"/>
  <c r="L18" i="135"/>
  <c r="K62" i="95"/>
  <c r="G63" i="95"/>
  <c r="O24" i="148"/>
  <c r="G26" i="148"/>
  <c r="K26" i="148" s="1"/>
  <c r="E27" i="148"/>
  <c r="F27" i="148" s="1"/>
  <c r="L24" i="147"/>
  <c r="L25" i="148"/>
  <c r="M25" i="148" s="1"/>
  <c r="G25" i="147"/>
  <c r="K25" i="147" s="1"/>
  <c r="E26" i="147"/>
  <c r="F26" i="147" s="1"/>
  <c r="I24" i="148"/>
  <c r="J24" i="148" s="1"/>
  <c r="H25" i="148"/>
  <c r="H24" i="147"/>
  <c r="I23" i="147"/>
  <c r="J23" i="147" s="1"/>
  <c r="L19" i="134"/>
  <c r="O18" i="134"/>
  <c r="L37" i="111"/>
  <c r="O37" i="111" s="1"/>
  <c r="E38" i="111"/>
  <c r="M18" i="133"/>
  <c r="L19" i="133"/>
  <c r="K20" i="133"/>
  <c r="I31" i="134"/>
  <c r="H32" i="134"/>
  <c r="E23" i="95"/>
  <c r="B98" i="77"/>
  <c r="N19" i="133"/>
  <c r="D20" i="133"/>
  <c r="E19" i="133"/>
  <c r="I19" i="133" s="1"/>
  <c r="E38" i="93"/>
  <c r="D39" i="93"/>
  <c r="H38" i="95"/>
  <c r="I37" i="95"/>
  <c r="F21" i="135"/>
  <c r="J21" i="135" s="1"/>
  <c r="E22" i="135"/>
  <c r="E24" i="134"/>
  <c r="F24" i="134" s="1"/>
  <c r="C33" i="111" l="1"/>
  <c r="L32" i="111"/>
  <c r="O32" i="111" s="1"/>
  <c r="G11" i="113"/>
  <c r="F12" i="113" s="1"/>
  <c r="I12" i="113" s="1"/>
  <c r="J12" i="113" s="1"/>
  <c r="F20" i="88"/>
  <c r="G20" i="88" s="1"/>
  <c r="K20" i="88" s="1"/>
  <c r="P20" i="88" s="1"/>
  <c r="O18" i="114"/>
  <c r="P18" i="114" s="1"/>
  <c r="N19" i="114"/>
  <c r="H154" i="114"/>
  <c r="H155" i="114" s="1"/>
  <c r="H156" i="114" s="1"/>
  <c r="H157" i="114" s="1"/>
  <c r="H158" i="114" s="1"/>
  <c r="H159" i="114" s="1"/>
  <c r="H160" i="114" s="1"/>
  <c r="H161" i="114" s="1"/>
  <c r="H162" i="114" s="1"/>
  <c r="H163" i="114" s="1"/>
  <c r="H164" i="114" s="1"/>
  <c r="H165" i="114" s="1"/>
  <c r="H166" i="114" s="1"/>
  <c r="H167" i="114" s="1"/>
  <c r="H168" i="114" s="1"/>
  <c r="H169" i="114" s="1"/>
  <c r="H170" i="114" s="1"/>
  <c r="H171" i="114" s="1"/>
  <c r="H172" i="114" s="1"/>
  <c r="H173" i="114" s="1"/>
  <c r="H174" i="114" s="1"/>
  <c r="H175" i="114" s="1"/>
  <c r="H176" i="114" s="1"/>
  <c r="H177" i="114" s="1"/>
  <c r="H178" i="114" s="1"/>
  <c r="H179" i="114" s="1"/>
  <c r="H180" i="114" s="1"/>
  <c r="H181" i="114" s="1"/>
  <c r="H182" i="114" s="1"/>
  <c r="H183" i="114" s="1"/>
  <c r="H184" i="114" s="1"/>
  <c r="H185" i="114" s="1"/>
  <c r="H186" i="114" s="1"/>
  <c r="H187" i="114" s="1"/>
  <c r="H188" i="114" s="1"/>
  <c r="H189" i="114" s="1"/>
  <c r="H190" i="114" s="1"/>
  <c r="H191" i="114" s="1"/>
  <c r="H192" i="114" s="1"/>
  <c r="H193" i="114" s="1"/>
  <c r="H194" i="114" s="1"/>
  <c r="H195" i="114" s="1"/>
  <c r="H196" i="114" s="1"/>
  <c r="H197" i="114" s="1"/>
  <c r="H198" i="114" s="1"/>
  <c r="H199" i="114" s="1"/>
  <c r="H200" i="114" s="1"/>
  <c r="H201" i="114" s="1"/>
  <c r="H202" i="114" s="1"/>
  <c r="H203" i="114" s="1"/>
  <c r="H204" i="114" s="1"/>
  <c r="H205" i="114" s="1"/>
  <c r="H206" i="114" s="1"/>
  <c r="H207" i="114" s="1"/>
  <c r="H208" i="114" s="1"/>
  <c r="H209" i="114" s="1"/>
  <c r="H210" i="114" s="1"/>
  <c r="H211" i="114" s="1"/>
  <c r="H212" i="114" s="1"/>
  <c r="H213" i="114" s="1"/>
  <c r="H214" i="114" s="1"/>
  <c r="H215" i="114" s="1"/>
  <c r="H216" i="114" s="1"/>
  <c r="H217" i="114" s="1"/>
  <c r="H218" i="114" s="1"/>
  <c r="H219" i="114" s="1"/>
  <c r="H220" i="114" s="1"/>
  <c r="H221" i="114" s="1"/>
  <c r="H222" i="114" s="1"/>
  <c r="H223" i="114" s="1"/>
  <c r="H224" i="114" s="1"/>
  <c r="H225" i="114" s="1"/>
  <c r="H226" i="114" s="1"/>
  <c r="H227" i="114" s="1"/>
  <c r="H228" i="114" s="1"/>
  <c r="H229" i="114" s="1"/>
  <c r="H230" i="114" s="1"/>
  <c r="H231" i="114" s="1"/>
  <c r="H232" i="114" s="1"/>
  <c r="H233" i="114" s="1"/>
  <c r="H234" i="114" s="1"/>
  <c r="H235" i="114" s="1"/>
  <c r="H236" i="114" s="1"/>
  <c r="H237" i="114" s="1"/>
  <c r="H238" i="114" s="1"/>
  <c r="H239" i="114" s="1"/>
  <c r="H240" i="114" s="1"/>
  <c r="H241" i="114" s="1"/>
  <c r="H242" i="114" s="1"/>
  <c r="H243" i="114" s="1"/>
  <c r="H244" i="114" s="1"/>
  <c r="H245" i="114" s="1"/>
  <c r="H246" i="114" s="1"/>
  <c r="H247" i="114" s="1"/>
  <c r="H248" i="114" s="1"/>
  <c r="H249" i="114" s="1"/>
  <c r="H250" i="114" s="1"/>
  <c r="H251" i="114" s="1"/>
  <c r="H252" i="114" s="1"/>
  <c r="H253" i="114" s="1"/>
  <c r="H254" i="114" s="1"/>
  <c r="H255" i="114" s="1"/>
  <c r="H256" i="114" s="1"/>
  <c r="H257" i="114" s="1"/>
  <c r="H258" i="114" s="1"/>
  <c r="H259" i="114" s="1"/>
  <c r="H260" i="114" s="1"/>
  <c r="H261" i="114" s="1"/>
  <c r="H262" i="114" s="1"/>
  <c r="H263" i="114" s="1"/>
  <c r="H264" i="114" s="1"/>
  <c r="H265" i="114" s="1"/>
  <c r="H266" i="114" s="1"/>
  <c r="H267" i="114" s="1"/>
  <c r="H268" i="114" s="1"/>
  <c r="H269" i="114" s="1"/>
  <c r="H270" i="114" s="1"/>
  <c r="H271" i="114" s="1"/>
  <c r="H272" i="114" s="1"/>
  <c r="H273" i="114" s="1"/>
  <c r="H274" i="114" s="1"/>
  <c r="H275" i="114" s="1"/>
  <c r="H276" i="114" s="1"/>
  <c r="H277" i="114" s="1"/>
  <c r="H278" i="114" s="1"/>
  <c r="H279" i="114" s="1"/>
  <c r="H280" i="114" s="1"/>
  <c r="H281" i="114" s="1"/>
  <c r="H282" i="114" s="1"/>
  <c r="H283" i="114" s="1"/>
  <c r="H284" i="114" s="1"/>
  <c r="H285" i="114" s="1"/>
  <c r="H286" i="114" s="1"/>
  <c r="H287" i="114" s="1"/>
  <c r="H288" i="114" s="1"/>
  <c r="H289" i="114" s="1"/>
  <c r="H290" i="114" s="1"/>
  <c r="H291" i="114" s="1"/>
  <c r="H292" i="114" s="1"/>
  <c r="H293" i="114" s="1"/>
  <c r="H294" i="114" s="1"/>
  <c r="H295" i="114" s="1"/>
  <c r="H296" i="114" s="1"/>
  <c r="H297" i="114" s="1"/>
  <c r="H298" i="114" s="1"/>
  <c r="H299" i="114" s="1"/>
  <c r="H300" i="114" s="1"/>
  <c r="H301" i="114" s="1"/>
  <c r="H302" i="114" s="1"/>
  <c r="H303" i="114" s="1"/>
  <c r="H304" i="114" s="1"/>
  <c r="H305" i="114" s="1"/>
  <c r="H306" i="114" s="1"/>
  <c r="H307" i="114" s="1"/>
  <c r="H308" i="114" s="1"/>
  <c r="H309" i="114" s="1"/>
  <c r="H310" i="114" s="1"/>
  <c r="H311" i="114" s="1"/>
  <c r="H312" i="114" s="1"/>
  <c r="H313" i="114" s="1"/>
  <c r="H314" i="114" s="1"/>
  <c r="H315" i="114" s="1"/>
  <c r="H316" i="114" s="1"/>
  <c r="H317" i="114" s="1"/>
  <c r="H318" i="114" s="1"/>
  <c r="H319" i="114" s="1"/>
  <c r="H320" i="114" s="1"/>
  <c r="H321" i="114" s="1"/>
  <c r="H322" i="114" s="1"/>
  <c r="H323" i="114" s="1"/>
  <c r="H324" i="114" s="1"/>
  <c r="H325" i="114" s="1"/>
  <c r="H326" i="114" s="1"/>
  <c r="H327" i="114" s="1"/>
  <c r="H328" i="114" s="1"/>
  <c r="H329" i="114" s="1"/>
  <c r="H330" i="114" s="1"/>
  <c r="H331" i="114" s="1"/>
  <c r="H332" i="114" s="1"/>
  <c r="H333" i="114" s="1"/>
  <c r="H334" i="114" s="1"/>
  <c r="H335" i="114" s="1"/>
  <c r="H336" i="114" s="1"/>
  <c r="H337" i="114" s="1"/>
  <c r="H338" i="114" s="1"/>
  <c r="H339" i="114" s="1"/>
  <c r="H340" i="114" s="1"/>
  <c r="H341" i="114" s="1"/>
  <c r="H342" i="114" s="1"/>
  <c r="H343" i="114" s="1"/>
  <c r="H344" i="114" s="1"/>
  <c r="H345" i="114" s="1"/>
  <c r="H346" i="114" s="1"/>
  <c r="H347" i="114" s="1"/>
  <c r="H348" i="114" s="1"/>
  <c r="H349" i="114" s="1"/>
  <c r="H350" i="114" s="1"/>
  <c r="H351" i="114" s="1"/>
  <c r="H352" i="114" s="1"/>
  <c r="H353" i="114" s="1"/>
  <c r="H354" i="114" s="1"/>
  <c r="H355" i="114" s="1"/>
  <c r="H356" i="114" s="1"/>
  <c r="H357" i="114" s="1"/>
  <c r="O25" i="148"/>
  <c r="L19" i="88"/>
  <c r="J10" i="112"/>
  <c r="C12" i="113"/>
  <c r="E12" i="113" s="1"/>
  <c r="L31" i="95"/>
  <c r="M30" i="95"/>
  <c r="L18" i="110"/>
  <c r="F19" i="110"/>
  <c r="M24" i="147"/>
  <c r="E87" i="110"/>
  <c r="M86" i="110"/>
  <c r="N75" i="110"/>
  <c r="G25" i="133"/>
  <c r="H24" i="133"/>
  <c r="L21" i="78"/>
  <c r="F22" i="78"/>
  <c r="I22" i="78" s="1"/>
  <c r="C23" i="78"/>
  <c r="N20" i="78"/>
  <c r="Q20" i="78"/>
  <c r="R20" i="78" s="1"/>
  <c r="S20" i="78"/>
  <c r="B24" i="78"/>
  <c r="K23" i="78"/>
  <c r="M19" i="134"/>
  <c r="N19" i="134" s="1"/>
  <c r="O24" i="147"/>
  <c r="G46" i="114"/>
  <c r="K46" i="114"/>
  <c r="F47" i="114"/>
  <c r="Q27" i="113"/>
  <c r="P28" i="113"/>
  <c r="E31" i="91"/>
  <c r="G30" i="91"/>
  <c r="H30" i="91" s="1"/>
  <c r="M85" i="88"/>
  <c r="E86" i="88"/>
  <c r="N49" i="88"/>
  <c r="O48" i="88"/>
  <c r="F21" i="88"/>
  <c r="G21" i="88" s="1"/>
  <c r="K21" i="88" s="1"/>
  <c r="P21" i="88" s="1"/>
  <c r="C24" i="77"/>
  <c r="L23" i="77"/>
  <c r="P19" i="77"/>
  <c r="Q19" i="77"/>
  <c r="R19" i="77" s="1"/>
  <c r="K20" i="77"/>
  <c r="N20" i="77" s="1"/>
  <c r="O20" i="77" s="1"/>
  <c r="H21" i="77"/>
  <c r="M18" i="135"/>
  <c r="N18" i="135" s="1"/>
  <c r="O18" i="135"/>
  <c r="L19" i="135"/>
  <c r="I27" i="135"/>
  <c r="H28" i="135"/>
  <c r="K63" i="95"/>
  <c r="G64" i="95"/>
  <c r="H25" i="147"/>
  <c r="I24" i="147"/>
  <c r="J24" i="147" s="1"/>
  <c r="N24" i="148"/>
  <c r="I25" i="148"/>
  <c r="J25" i="148" s="1"/>
  <c r="N25" i="148" s="1"/>
  <c r="H26" i="148"/>
  <c r="E27" i="147"/>
  <c r="F27" i="147" s="1"/>
  <c r="G26" i="147"/>
  <c r="K26" i="147" s="1"/>
  <c r="L26" i="148"/>
  <c r="M26" i="148" s="1"/>
  <c r="N23" i="147"/>
  <c r="L25" i="147"/>
  <c r="E28" i="148"/>
  <c r="F28" i="148" s="1"/>
  <c r="G27" i="148"/>
  <c r="K27" i="148" s="1"/>
  <c r="J24" i="134"/>
  <c r="E25" i="134"/>
  <c r="E23" i="135"/>
  <c r="F22" i="135"/>
  <c r="J22" i="135" s="1"/>
  <c r="H39" i="95"/>
  <c r="I38" i="95"/>
  <c r="D40" i="93"/>
  <c r="E39" i="93"/>
  <c r="N20" i="133"/>
  <c r="D21" i="133"/>
  <c r="E20" i="133"/>
  <c r="I20" i="133" s="1"/>
  <c r="B99" i="77"/>
  <c r="I32" i="134"/>
  <c r="H33" i="134"/>
  <c r="M19" i="133"/>
  <c r="L38" i="111"/>
  <c r="O38" i="111" s="1"/>
  <c r="E39" i="111"/>
  <c r="L20" i="134"/>
  <c r="O19" i="134"/>
  <c r="E24" i="95"/>
  <c r="L20" i="133"/>
  <c r="K21" i="133"/>
  <c r="L20" i="88" l="1"/>
  <c r="L33" i="111"/>
  <c r="O33" i="111" s="1"/>
  <c r="C34" i="111"/>
  <c r="N20" i="114"/>
  <c r="O19" i="114"/>
  <c r="P19" i="114" s="1"/>
  <c r="H374" i="114"/>
  <c r="G39" i="159" s="1"/>
  <c r="B12" i="113"/>
  <c r="G12" i="113"/>
  <c r="F13" i="113" s="1"/>
  <c r="I13" i="113" s="1"/>
  <c r="J13" i="113" s="1"/>
  <c r="K10" i="112"/>
  <c r="I11" i="112" s="1"/>
  <c r="C13" i="113" s="1"/>
  <c r="E13" i="113" s="1"/>
  <c r="B13" i="113" s="1"/>
  <c r="J11" i="112"/>
  <c r="L32" i="95"/>
  <c r="M31" i="95"/>
  <c r="L19" i="110"/>
  <c r="F20" i="110"/>
  <c r="N24" i="147"/>
  <c r="M25" i="147"/>
  <c r="M87" i="110"/>
  <c r="E88" i="110"/>
  <c r="N76" i="110"/>
  <c r="G26" i="133"/>
  <c r="H25" i="133"/>
  <c r="L22" i="78"/>
  <c r="N21" i="78"/>
  <c r="K24" i="78"/>
  <c r="B25" i="78"/>
  <c r="F23" i="78"/>
  <c r="I23" i="78" s="1"/>
  <c r="C24" i="78"/>
  <c r="S21" i="78"/>
  <c r="Q21" i="78"/>
  <c r="R21" i="78" s="1"/>
  <c r="M20" i="134"/>
  <c r="N20" i="134" s="1"/>
  <c r="O25" i="147"/>
  <c r="K47" i="114"/>
  <c r="F48" i="114"/>
  <c r="G47" i="114"/>
  <c r="Q28" i="113"/>
  <c r="P29" i="113"/>
  <c r="I30" i="91"/>
  <c r="G31" i="91"/>
  <c r="E32" i="91"/>
  <c r="E87" i="88"/>
  <c r="M86" i="88"/>
  <c r="N50" i="88"/>
  <c r="O49" i="88"/>
  <c r="F22" i="88"/>
  <c r="G22" i="88" s="1"/>
  <c r="K22" i="88" s="1"/>
  <c r="P22" i="88" s="1"/>
  <c r="L21" i="88"/>
  <c r="C25" i="77"/>
  <c r="L24" i="77"/>
  <c r="P20" i="77"/>
  <c r="Q20" i="77"/>
  <c r="R20" i="77" s="1"/>
  <c r="H22" i="77"/>
  <c r="K21" i="77"/>
  <c r="N21" i="77" s="1"/>
  <c r="O21" i="77" s="1"/>
  <c r="M20" i="133"/>
  <c r="I28" i="135"/>
  <c r="H29" i="135"/>
  <c r="L20" i="135"/>
  <c r="M19" i="135"/>
  <c r="N19" i="135" s="1"/>
  <c r="O19" i="135"/>
  <c r="G65" i="95"/>
  <c r="K64" i="95"/>
  <c r="O26" i="148"/>
  <c r="E29" i="148"/>
  <c r="F29" i="148" s="1"/>
  <c r="G28" i="148"/>
  <c r="K28" i="148" s="1"/>
  <c r="L26" i="147"/>
  <c r="L27" i="148"/>
  <c r="M27" i="148" s="1"/>
  <c r="E28" i="147"/>
  <c r="F28" i="147" s="1"/>
  <c r="G27" i="147"/>
  <c r="K27" i="147" s="1"/>
  <c r="H27" i="148"/>
  <c r="I26" i="148"/>
  <c r="J26" i="148" s="1"/>
  <c r="H26" i="147"/>
  <c r="I25" i="147"/>
  <c r="J25" i="147" s="1"/>
  <c r="L21" i="133"/>
  <c r="K22" i="133"/>
  <c r="D22" i="133"/>
  <c r="N21" i="133"/>
  <c r="E21" i="133"/>
  <c r="I21" i="133" s="1"/>
  <c r="H40" i="95"/>
  <c r="I39" i="95"/>
  <c r="E24" i="135"/>
  <c r="F23" i="135"/>
  <c r="J23" i="135" s="1"/>
  <c r="E26" i="134"/>
  <c r="F25" i="134"/>
  <c r="J25" i="134" s="1"/>
  <c r="F24" i="95"/>
  <c r="J24" i="95" s="1"/>
  <c r="N24" i="95" s="1"/>
  <c r="E25" i="95"/>
  <c r="O24" i="95"/>
  <c r="L21" i="134"/>
  <c r="O20" i="134"/>
  <c r="L39" i="111"/>
  <c r="O39" i="111" s="1"/>
  <c r="E40" i="111"/>
  <c r="I33" i="134"/>
  <c r="H34" i="134"/>
  <c r="B100" i="77"/>
  <c r="D41" i="93"/>
  <c r="E40" i="93"/>
  <c r="G13" i="113" l="1"/>
  <c r="C35" i="111"/>
  <c r="L34" i="111"/>
  <c r="O34" i="111" s="1"/>
  <c r="O26" i="147"/>
  <c r="N21" i="114"/>
  <c r="O20" i="114"/>
  <c r="P20" i="114" s="1"/>
  <c r="H39" i="159"/>
  <c r="K11" i="112"/>
  <c r="I13" i="112" s="1"/>
  <c r="C15" i="113" s="1"/>
  <c r="E15" i="113" s="1"/>
  <c r="B15" i="113" s="1"/>
  <c r="J12" i="112"/>
  <c r="L33" i="95"/>
  <c r="M32" i="95"/>
  <c r="F21" i="110"/>
  <c r="L20" i="110"/>
  <c r="N22" i="78"/>
  <c r="M26" i="147"/>
  <c r="N77" i="110"/>
  <c r="M88" i="110"/>
  <c r="E89" i="110"/>
  <c r="G27" i="133"/>
  <c r="H26" i="133"/>
  <c r="L23" i="78"/>
  <c r="S23" i="78" s="1"/>
  <c r="Q22" i="78"/>
  <c r="R22" i="78" s="1"/>
  <c r="K25" i="78"/>
  <c r="B26" i="78"/>
  <c r="S22" i="78"/>
  <c r="F24" i="78"/>
  <c r="I24" i="78" s="1"/>
  <c r="C25" i="78"/>
  <c r="M21" i="134"/>
  <c r="N21" i="134" s="1"/>
  <c r="G48" i="114"/>
  <c r="K48" i="114"/>
  <c r="F49" i="114"/>
  <c r="Q29" i="113"/>
  <c r="P30" i="113"/>
  <c r="H31" i="91"/>
  <c r="G32" i="91"/>
  <c r="E33" i="91"/>
  <c r="E88" i="88"/>
  <c r="M87" i="88"/>
  <c r="N51" i="88"/>
  <c r="O50" i="88"/>
  <c r="L22" i="88"/>
  <c r="F23" i="88"/>
  <c r="G23" i="88" s="1"/>
  <c r="K23" i="88" s="1"/>
  <c r="P23" i="88" s="1"/>
  <c r="L25" i="77"/>
  <c r="C26" i="77"/>
  <c r="H23" i="77"/>
  <c r="K22" i="77"/>
  <c r="N22" i="77" s="1"/>
  <c r="O22" i="77" s="1"/>
  <c r="Q21" i="77"/>
  <c r="R21" i="77" s="1"/>
  <c r="P21" i="77"/>
  <c r="I29" i="135"/>
  <c r="H30" i="135"/>
  <c r="I30" i="135" s="1"/>
  <c r="O20" i="135"/>
  <c r="L21" i="135"/>
  <c r="M20" i="135"/>
  <c r="N20" i="135" s="1"/>
  <c r="K65" i="95"/>
  <c r="G66" i="95"/>
  <c r="O27" i="148"/>
  <c r="H27" i="147"/>
  <c r="I26" i="147"/>
  <c r="J26" i="147" s="1"/>
  <c r="E29" i="147"/>
  <c r="F29" i="147" s="1"/>
  <c r="G28" i="147"/>
  <c r="K28" i="147" s="1"/>
  <c r="N25" i="147"/>
  <c r="L27" i="147"/>
  <c r="H28" i="148"/>
  <c r="I27" i="148"/>
  <c r="J27" i="148" s="1"/>
  <c r="N26" i="148"/>
  <c r="L28" i="148"/>
  <c r="E30" i="148"/>
  <c r="G29" i="148"/>
  <c r="K29" i="148" s="1"/>
  <c r="F14" i="113"/>
  <c r="G14" i="113" s="1"/>
  <c r="B101" i="77"/>
  <c r="L22" i="134"/>
  <c r="O21" i="134"/>
  <c r="E25" i="135"/>
  <c r="F24" i="135"/>
  <c r="J24" i="135" s="1"/>
  <c r="E22" i="133"/>
  <c r="I22" i="133" s="1"/>
  <c r="N22" i="133"/>
  <c r="D23" i="133"/>
  <c r="L22" i="133"/>
  <c r="K23" i="133"/>
  <c r="E41" i="93"/>
  <c r="D42" i="93"/>
  <c r="I34" i="134"/>
  <c r="H35" i="134"/>
  <c r="E41" i="111"/>
  <c r="L40" i="111"/>
  <c r="O40" i="111" s="1"/>
  <c r="E26" i="95"/>
  <c r="F25" i="95"/>
  <c r="J25" i="95" s="1"/>
  <c r="N25" i="95" s="1"/>
  <c r="O25" i="95"/>
  <c r="E27" i="134"/>
  <c r="F26" i="134"/>
  <c r="J26" i="134" s="1"/>
  <c r="H41" i="95"/>
  <c r="I40" i="95"/>
  <c r="M21" i="133"/>
  <c r="C36" i="111" l="1"/>
  <c r="L36" i="111" s="1"/>
  <c r="O36" i="111" s="1"/>
  <c r="L35" i="111"/>
  <c r="O35" i="111" s="1"/>
  <c r="N22" i="114"/>
  <c r="O21" i="114"/>
  <c r="P21" i="114" s="1"/>
  <c r="K12" i="112"/>
  <c r="J13" i="112"/>
  <c r="L34" i="95"/>
  <c r="M33" i="95"/>
  <c r="L21" i="110"/>
  <c r="F22" i="110"/>
  <c r="N23" i="78"/>
  <c r="O23" i="78" s="1"/>
  <c r="Q23" i="78" s="1"/>
  <c r="R23" i="78" s="1"/>
  <c r="M27" i="147"/>
  <c r="N78" i="110"/>
  <c r="M89" i="110"/>
  <c r="E90" i="110"/>
  <c r="H27" i="133"/>
  <c r="G28" i="133"/>
  <c r="H28" i="133" s="1"/>
  <c r="C26" i="78"/>
  <c r="F25" i="78"/>
  <c r="I25" i="78" s="1"/>
  <c r="L25" i="78" s="1"/>
  <c r="B27" i="78"/>
  <c r="K26" i="78"/>
  <c r="L24" i="78"/>
  <c r="S24" i="78" s="1"/>
  <c r="M22" i="134"/>
  <c r="N22" i="134" s="1"/>
  <c r="N26" i="147"/>
  <c r="O27" i="147"/>
  <c r="F50" i="114"/>
  <c r="G49" i="114"/>
  <c r="W49" i="114" s="1"/>
  <c r="K49" i="114"/>
  <c r="P31" i="113"/>
  <c r="Q30" i="113"/>
  <c r="E34" i="91"/>
  <c r="G33" i="91"/>
  <c r="H32" i="91"/>
  <c r="I31" i="91"/>
  <c r="E89" i="88"/>
  <c r="M88" i="88"/>
  <c r="N52" i="88"/>
  <c r="O51" i="88"/>
  <c r="L23" i="88"/>
  <c r="F24" i="88"/>
  <c r="G24" i="88" s="1"/>
  <c r="K24" i="88" s="1"/>
  <c r="P24" i="88" s="1"/>
  <c r="C27" i="77"/>
  <c r="L26" i="77"/>
  <c r="Q22" i="77"/>
  <c r="R22" i="77" s="1"/>
  <c r="P22" i="77"/>
  <c r="H24" i="77"/>
  <c r="K23" i="77"/>
  <c r="N23" i="77" s="1"/>
  <c r="O23" i="77" s="1"/>
  <c r="M22" i="133"/>
  <c r="O21" i="135"/>
  <c r="M21" i="135"/>
  <c r="N21" i="135" s="1"/>
  <c r="L22" i="135"/>
  <c r="G67" i="95"/>
  <c r="K66" i="95"/>
  <c r="N27" i="148"/>
  <c r="O28" i="148"/>
  <c r="E31" i="148"/>
  <c r="G30" i="148"/>
  <c r="K30" i="148" s="1"/>
  <c r="F30" i="148"/>
  <c r="L28" i="147"/>
  <c r="E30" i="147"/>
  <c r="G29" i="147"/>
  <c r="L29" i="148"/>
  <c r="M28" i="148"/>
  <c r="H29" i="148"/>
  <c r="O29" i="148" s="1"/>
  <c r="I28" i="148"/>
  <c r="J28" i="148" s="1"/>
  <c r="H28" i="147"/>
  <c r="I27" i="147"/>
  <c r="J27" i="147" s="1"/>
  <c r="F26" i="95"/>
  <c r="J26" i="95" s="1"/>
  <c r="N26" i="95" s="1"/>
  <c r="E27" i="95"/>
  <c r="O26" i="95"/>
  <c r="I35" i="134"/>
  <c r="L23" i="134"/>
  <c r="O22" i="134"/>
  <c r="F15" i="113"/>
  <c r="G15" i="113" s="1"/>
  <c r="H42" i="95"/>
  <c r="I41" i="95"/>
  <c r="E28" i="134"/>
  <c r="F27" i="134"/>
  <c r="J27" i="134" s="1"/>
  <c r="L41" i="111"/>
  <c r="O41" i="111" s="1"/>
  <c r="E42" i="111"/>
  <c r="D43" i="93"/>
  <c r="E42" i="93"/>
  <c r="L23" i="133"/>
  <c r="K24" i="133"/>
  <c r="N23" i="133"/>
  <c r="D24" i="133"/>
  <c r="E23" i="133"/>
  <c r="I23" i="133" s="1"/>
  <c r="F25" i="135"/>
  <c r="J25" i="135" s="1"/>
  <c r="E26" i="135"/>
  <c r="B102" i="77"/>
  <c r="I14" i="113"/>
  <c r="J14" i="113" s="1"/>
  <c r="N23" i="114" l="1"/>
  <c r="O22" i="114"/>
  <c r="P22" i="114" s="1"/>
  <c r="P23" i="78"/>
  <c r="T23" i="78"/>
  <c r="K13" i="112"/>
  <c r="I14" i="112" s="1"/>
  <c r="C16" i="113" s="1"/>
  <c r="E16" i="113" s="1"/>
  <c r="B16" i="113" s="1"/>
  <c r="L35" i="95"/>
  <c r="M34" i="95"/>
  <c r="L22" i="110"/>
  <c r="F23" i="110"/>
  <c r="M28" i="147"/>
  <c r="N24" i="78"/>
  <c r="O24" i="78" s="1"/>
  <c r="P24" i="78" s="1"/>
  <c r="N79" i="110"/>
  <c r="M90" i="110"/>
  <c r="E91" i="110"/>
  <c r="B28" i="78"/>
  <c r="K27" i="78"/>
  <c r="F26" i="78"/>
  <c r="I26" i="78" s="1"/>
  <c r="L26" i="78" s="1"/>
  <c r="C27" i="78"/>
  <c r="F30" i="147"/>
  <c r="M23" i="134"/>
  <c r="N23" i="134" s="1"/>
  <c r="O28" i="147"/>
  <c r="K29" i="147"/>
  <c r="L29" i="147" s="1"/>
  <c r="G50" i="114"/>
  <c r="W50" i="114" s="1"/>
  <c r="K50" i="114"/>
  <c r="F51" i="114"/>
  <c r="P32" i="113"/>
  <c r="Q31" i="113"/>
  <c r="I32" i="91"/>
  <c r="H33" i="91"/>
  <c r="G34" i="91"/>
  <c r="E35" i="91"/>
  <c r="M89" i="88"/>
  <c r="E90" i="88"/>
  <c r="N53" i="88"/>
  <c r="O52" i="88"/>
  <c r="F25" i="88"/>
  <c r="L24" i="88"/>
  <c r="F104" i="77"/>
  <c r="F91" i="77"/>
  <c r="F48" i="77"/>
  <c r="F61" i="77"/>
  <c r="F60" i="77"/>
  <c r="F81" i="77"/>
  <c r="F107" i="77"/>
  <c r="F101" i="77"/>
  <c r="F36" i="77"/>
  <c r="F47" i="77"/>
  <c r="F42" i="77"/>
  <c r="F59" i="77"/>
  <c r="F53" i="77"/>
  <c r="F73" i="77"/>
  <c r="F94" i="77"/>
  <c r="F89" i="77"/>
  <c r="F119" i="77"/>
  <c r="F118" i="77"/>
  <c r="F76" i="77"/>
  <c r="F45" i="77"/>
  <c r="F40" i="77"/>
  <c r="F109" i="77"/>
  <c r="F130" i="77"/>
  <c r="F113" i="77"/>
  <c r="F124" i="77"/>
  <c r="F123" i="77"/>
  <c r="F132" i="77"/>
  <c r="F128" i="77"/>
  <c r="F84" i="77"/>
  <c r="F111" i="77"/>
  <c r="F46" i="77"/>
  <c r="F64" i="77"/>
  <c r="F110" i="77"/>
  <c r="F96" i="77"/>
  <c r="F62" i="77"/>
  <c r="F75" i="77"/>
  <c r="F69" i="77"/>
  <c r="F102" i="77"/>
  <c r="F82" i="77"/>
  <c r="F115" i="77"/>
  <c r="F51" i="77"/>
  <c r="F129" i="77"/>
  <c r="F50" i="77"/>
  <c r="F77" i="77"/>
  <c r="F43" i="77"/>
  <c r="F79" i="77"/>
  <c r="F44" i="77"/>
  <c r="F37" i="77"/>
  <c r="F114" i="77"/>
  <c r="F100" i="77"/>
  <c r="F133" i="77"/>
  <c r="L27" i="77"/>
  <c r="F54" i="77"/>
  <c r="F49" i="77"/>
  <c r="F85" i="77"/>
  <c r="F32" i="77"/>
  <c r="I32" i="77" s="1"/>
  <c r="F65" i="77"/>
  <c r="F80" i="77"/>
  <c r="F70" i="77"/>
  <c r="F33" i="77"/>
  <c r="F35" i="77"/>
  <c r="F68" i="77"/>
  <c r="F78" i="77"/>
  <c r="F72" i="77"/>
  <c r="F52" i="77"/>
  <c r="F66" i="77"/>
  <c r="F67" i="77"/>
  <c r="F88" i="77"/>
  <c r="F97" i="77"/>
  <c r="F83" i="77"/>
  <c r="F121" i="77"/>
  <c r="F117" i="77"/>
  <c r="F125" i="77"/>
  <c r="F116" i="77"/>
  <c r="F103" i="77"/>
  <c r="F105" i="77"/>
  <c r="F99" i="77"/>
  <c r="F95" i="77"/>
  <c r="F93" i="77"/>
  <c r="F87" i="77"/>
  <c r="F98" i="77"/>
  <c r="F38" i="77"/>
  <c r="F131" i="77"/>
  <c r="F39" i="77"/>
  <c r="F63" i="77"/>
  <c r="F74" i="77"/>
  <c r="F126" i="77"/>
  <c r="F106" i="77"/>
  <c r="F55" i="77"/>
  <c r="F92" i="77"/>
  <c r="F71" i="77"/>
  <c r="F90" i="77"/>
  <c r="F34" i="77"/>
  <c r="F122" i="77"/>
  <c r="F58" i="77"/>
  <c r="F57" i="77"/>
  <c r="F108" i="77"/>
  <c r="F41" i="77"/>
  <c r="F120" i="77"/>
  <c r="F86" i="77"/>
  <c r="F127" i="77"/>
  <c r="C28" i="77"/>
  <c r="F56" i="77"/>
  <c r="F112" i="77"/>
  <c r="S25" i="78"/>
  <c r="N25" i="78"/>
  <c r="O25" i="78" s="1"/>
  <c r="K24" i="77"/>
  <c r="N24" i="77" s="1"/>
  <c r="O24" i="77" s="1"/>
  <c r="H25" i="77"/>
  <c r="P23" i="77"/>
  <c r="Q23" i="77"/>
  <c r="R23" i="77" s="1"/>
  <c r="L23" i="135"/>
  <c r="O22" i="135"/>
  <c r="M22" i="135"/>
  <c r="N22" i="135" s="1"/>
  <c r="G68" i="95"/>
  <c r="K67" i="95"/>
  <c r="H29" i="147"/>
  <c r="I28" i="147"/>
  <c r="J28" i="147" s="1"/>
  <c r="N28" i="148"/>
  <c r="L30" i="148"/>
  <c r="M29" i="148"/>
  <c r="N27" i="147"/>
  <c r="H30" i="148"/>
  <c r="I29" i="148"/>
  <c r="J29" i="148" s="1"/>
  <c r="E31" i="147"/>
  <c r="G30" i="147"/>
  <c r="K30" i="147" s="1"/>
  <c r="E32" i="148"/>
  <c r="G31" i="148"/>
  <c r="K31" i="148" s="1"/>
  <c r="F31" i="148"/>
  <c r="M23" i="133"/>
  <c r="E43" i="93"/>
  <c r="D44" i="93"/>
  <c r="F28" i="134"/>
  <c r="J28" i="134" s="1"/>
  <c r="E29" i="134"/>
  <c r="H43" i="95"/>
  <c r="I42" i="95"/>
  <c r="F16" i="113"/>
  <c r="G16" i="113" s="1"/>
  <c r="L24" i="134"/>
  <c r="O23" i="134"/>
  <c r="B103" i="77"/>
  <c r="D25" i="133"/>
  <c r="E24" i="133"/>
  <c r="I24" i="133" s="1"/>
  <c r="N24" i="133"/>
  <c r="F26" i="135"/>
  <c r="J26" i="135" s="1"/>
  <c r="E27" i="135"/>
  <c r="K25" i="133"/>
  <c r="L24" i="133"/>
  <c r="E43" i="111"/>
  <c r="L42" i="111"/>
  <c r="O42" i="111" s="1"/>
  <c r="I15" i="113"/>
  <c r="J15" i="113" s="1"/>
  <c r="E28" i="95"/>
  <c r="F27" i="95"/>
  <c r="J27" i="95" s="1"/>
  <c r="N27" i="95" s="1"/>
  <c r="O27" i="95"/>
  <c r="J14" i="112" l="1"/>
  <c r="O23" i="114"/>
  <c r="N24" i="114"/>
  <c r="T24" i="78"/>
  <c r="Q24" i="78"/>
  <c r="R24" i="78" s="1"/>
  <c r="M24" i="133"/>
  <c r="K14" i="112"/>
  <c r="I15" i="112" s="1"/>
  <c r="C17" i="113" s="1"/>
  <c r="E17" i="113" s="1"/>
  <c r="B17" i="113" s="1"/>
  <c r="J15" i="112"/>
  <c r="K15" i="112" s="1"/>
  <c r="I16" i="112" s="1"/>
  <c r="C18" i="113" s="1"/>
  <c r="E18" i="113" s="1"/>
  <c r="B18" i="113" s="1"/>
  <c r="L36" i="95"/>
  <c r="M35" i="95"/>
  <c r="L23" i="110"/>
  <c r="F24" i="110"/>
  <c r="M91" i="110"/>
  <c r="E92" i="110"/>
  <c r="N80" i="110"/>
  <c r="O79" i="110"/>
  <c r="C28" i="78"/>
  <c r="F27" i="78"/>
  <c r="I27" i="78" s="1"/>
  <c r="L27" i="78" s="1"/>
  <c r="Q25" i="78"/>
  <c r="B29" i="78"/>
  <c r="K28" i="78"/>
  <c r="M29" i="147"/>
  <c r="O30" i="148"/>
  <c r="N28" i="147"/>
  <c r="O29" i="147"/>
  <c r="G51" i="114"/>
  <c r="W51" i="114" s="1"/>
  <c r="F52" i="114"/>
  <c r="K51" i="114"/>
  <c r="Q32" i="113"/>
  <c r="P33" i="113"/>
  <c r="E36" i="91"/>
  <c r="G35" i="91"/>
  <c r="I33" i="91"/>
  <c r="H34" i="91"/>
  <c r="M90" i="88"/>
  <c r="E91" i="88"/>
  <c r="N54" i="88"/>
  <c r="O53" i="88"/>
  <c r="L25" i="88"/>
  <c r="G25" i="88"/>
  <c r="K25" i="88" s="1"/>
  <c r="P25" i="88" s="1"/>
  <c r="F26" i="88"/>
  <c r="C29" i="77"/>
  <c r="L28" i="77"/>
  <c r="I33" i="77"/>
  <c r="I34" i="77" s="1"/>
  <c r="I35" i="77" s="1"/>
  <c r="I36" i="77" s="1"/>
  <c r="I37" i="77" s="1"/>
  <c r="I38" i="77" s="1"/>
  <c r="I39" i="77" s="1"/>
  <c r="I40" i="77" s="1"/>
  <c r="I41" i="77" s="1"/>
  <c r="I42" i="77" s="1"/>
  <c r="I43" i="77" s="1"/>
  <c r="I44" i="77" s="1"/>
  <c r="I45" i="77" s="1"/>
  <c r="I46" i="77" s="1"/>
  <c r="I47" i="77" s="1"/>
  <c r="I48" i="77" s="1"/>
  <c r="I49" i="77" s="1"/>
  <c r="I50" i="77" s="1"/>
  <c r="I51" i="77" s="1"/>
  <c r="I52" i="77" s="1"/>
  <c r="I53" i="77" s="1"/>
  <c r="I54" i="77" s="1"/>
  <c r="I55" i="77" s="1"/>
  <c r="I56" i="77" s="1"/>
  <c r="I57" i="77" s="1"/>
  <c r="I58" i="77" s="1"/>
  <c r="I59" i="77" s="1"/>
  <c r="I60" i="77" s="1"/>
  <c r="I61" i="77" s="1"/>
  <c r="I62" i="77" s="1"/>
  <c r="I63" i="77" s="1"/>
  <c r="I64" i="77" s="1"/>
  <c r="I65" i="77" s="1"/>
  <c r="I66" i="77" s="1"/>
  <c r="I67" i="77" s="1"/>
  <c r="I68" i="77" s="1"/>
  <c r="I69" i="77" s="1"/>
  <c r="I70" i="77" s="1"/>
  <c r="I71" i="77" s="1"/>
  <c r="I72" i="77" s="1"/>
  <c r="I73" i="77" s="1"/>
  <c r="I74" i="77" s="1"/>
  <c r="I75" i="77" s="1"/>
  <c r="I76" i="77" s="1"/>
  <c r="I77" i="77" s="1"/>
  <c r="I78" i="77" s="1"/>
  <c r="I79" i="77" s="1"/>
  <c r="I80" i="77" s="1"/>
  <c r="I81" i="77" s="1"/>
  <c r="I82" i="77" s="1"/>
  <c r="I83" i="77" s="1"/>
  <c r="I84" i="77" s="1"/>
  <c r="I85" i="77" s="1"/>
  <c r="I86" i="77" s="1"/>
  <c r="I87" i="77" s="1"/>
  <c r="I88" i="77" s="1"/>
  <c r="I89" i="77" s="1"/>
  <c r="I90" i="77" s="1"/>
  <c r="I91" i="77" s="1"/>
  <c r="I92" i="77" s="1"/>
  <c r="I93" i="77" s="1"/>
  <c r="I94" i="77" s="1"/>
  <c r="I95" i="77" s="1"/>
  <c r="I96" i="77" s="1"/>
  <c r="I97" i="77" s="1"/>
  <c r="I98" i="77" s="1"/>
  <c r="I99" i="77" s="1"/>
  <c r="I100" i="77" s="1"/>
  <c r="I101" i="77" s="1"/>
  <c r="I102" i="77" s="1"/>
  <c r="I103" i="77" s="1"/>
  <c r="I104" i="77" s="1"/>
  <c r="I105" i="77" s="1"/>
  <c r="I106" i="77" s="1"/>
  <c r="I107" i="77" s="1"/>
  <c r="I108" i="77" s="1"/>
  <c r="I109" i="77" s="1"/>
  <c r="I110" i="77" s="1"/>
  <c r="I111" i="77" s="1"/>
  <c r="I112" i="77" s="1"/>
  <c r="I113" i="77" s="1"/>
  <c r="I114" i="77" s="1"/>
  <c r="I115" i="77" s="1"/>
  <c r="I116" i="77" s="1"/>
  <c r="I117" i="77" s="1"/>
  <c r="I118" i="77" s="1"/>
  <c r="I119" i="77" s="1"/>
  <c r="I120" i="77" s="1"/>
  <c r="I121" i="77" s="1"/>
  <c r="I122" i="77" s="1"/>
  <c r="I123" i="77" s="1"/>
  <c r="I124" i="77" s="1"/>
  <c r="I125" i="77" s="1"/>
  <c r="I126" i="77" s="1"/>
  <c r="I127" i="77" s="1"/>
  <c r="I128" i="77" s="1"/>
  <c r="I129" i="77" s="1"/>
  <c r="I130" i="77" s="1"/>
  <c r="I131" i="77" s="1"/>
  <c r="I132" i="77" s="1"/>
  <c r="I133" i="77" s="1"/>
  <c r="I134" i="77" s="1"/>
  <c r="I135" i="77" s="1"/>
  <c r="I136" i="77" s="1"/>
  <c r="I137" i="77" s="1"/>
  <c r="I138" i="77" s="1"/>
  <c r="I139" i="77" s="1"/>
  <c r="I140" i="77" s="1"/>
  <c r="I141" i="77" s="1"/>
  <c r="I142" i="77" s="1"/>
  <c r="I143" i="77" s="1"/>
  <c r="I144" i="77" s="1"/>
  <c r="I145" i="77" s="1"/>
  <c r="I146" i="77" s="1"/>
  <c r="T25" i="78"/>
  <c r="P25" i="78"/>
  <c r="S26" i="78"/>
  <c r="N26" i="78"/>
  <c r="O26" i="78" s="1"/>
  <c r="K25" i="77"/>
  <c r="N25" i="77" s="1"/>
  <c r="O25" i="77" s="1"/>
  <c r="H26" i="77"/>
  <c r="P24" i="77"/>
  <c r="Q24" i="77"/>
  <c r="R24" i="77" s="1"/>
  <c r="O23" i="135"/>
  <c r="L24" i="135"/>
  <c r="M23" i="135"/>
  <c r="N23" i="135" s="1"/>
  <c r="O24" i="134"/>
  <c r="M24" i="134"/>
  <c r="N24" i="134" s="1"/>
  <c r="K68" i="95"/>
  <c r="G69" i="95"/>
  <c r="N29" i="148"/>
  <c r="E33" i="148"/>
  <c r="G32" i="148"/>
  <c r="K32" i="148" s="1"/>
  <c r="F32" i="148"/>
  <c r="H31" i="148"/>
  <c r="I30" i="148"/>
  <c r="J30" i="148" s="1"/>
  <c r="E32" i="147"/>
  <c r="G31" i="147"/>
  <c r="K31" i="147" s="1"/>
  <c r="F31" i="147"/>
  <c r="L30" i="147"/>
  <c r="L31" i="148"/>
  <c r="M30" i="148"/>
  <c r="H30" i="147"/>
  <c r="I29" i="147"/>
  <c r="J29" i="147" s="1"/>
  <c r="F17" i="113"/>
  <c r="E29" i="95"/>
  <c r="O28" i="95"/>
  <c r="F28" i="95"/>
  <c r="J28" i="95" s="1"/>
  <c r="N28" i="95" s="1"/>
  <c r="K26" i="133"/>
  <c r="L25" i="133"/>
  <c r="E28" i="135"/>
  <c r="F27" i="135"/>
  <c r="J27" i="135" s="1"/>
  <c r="E30" i="134"/>
  <c r="F29" i="134"/>
  <c r="J29" i="134" s="1"/>
  <c r="D45" i="93"/>
  <c r="E44" i="93"/>
  <c r="L43" i="111"/>
  <c r="O43" i="111" s="1"/>
  <c r="E44" i="111"/>
  <c r="E25" i="133"/>
  <c r="I25" i="133" s="1"/>
  <c r="D26" i="133"/>
  <c r="N25" i="133"/>
  <c r="B104" i="77"/>
  <c r="L25" i="134"/>
  <c r="I16" i="113"/>
  <c r="J16" i="113" s="1"/>
  <c r="H44" i="95"/>
  <c r="I43" i="95"/>
  <c r="R25" i="78" l="1"/>
  <c r="G17" i="113"/>
  <c r="N25" i="114"/>
  <c r="O24" i="114"/>
  <c r="I147" i="77"/>
  <c r="I148" i="77" s="1"/>
  <c r="I149" i="77" s="1"/>
  <c r="I150" i="77" s="1"/>
  <c r="I151" i="77" s="1"/>
  <c r="I152" i="77" s="1"/>
  <c r="I153" i="77" s="1"/>
  <c r="I154" i="77" s="1"/>
  <c r="I155" i="77" s="1"/>
  <c r="I156" i="77" s="1"/>
  <c r="I157" i="77" s="1"/>
  <c r="I158" i="77" s="1"/>
  <c r="I159" i="77" s="1"/>
  <c r="I160" i="77" s="1"/>
  <c r="I161" i="77" s="1"/>
  <c r="I162" i="77" s="1"/>
  <c r="I163" i="77" s="1"/>
  <c r="J16" i="112"/>
  <c r="M36" i="95"/>
  <c r="L37" i="95"/>
  <c r="G24" i="110"/>
  <c r="L24" i="110"/>
  <c r="F25" i="110"/>
  <c r="N81" i="110"/>
  <c r="O80" i="110"/>
  <c r="M92" i="110"/>
  <c r="E93" i="110"/>
  <c r="B30" i="78"/>
  <c r="K29" i="78"/>
  <c r="F28" i="78"/>
  <c r="I28" i="78" s="1"/>
  <c r="L28" i="78" s="1"/>
  <c r="C29" i="78"/>
  <c r="Q26" i="78"/>
  <c r="R26" i="78" s="1"/>
  <c r="O30" i="147"/>
  <c r="M30" i="147"/>
  <c r="X52" i="114"/>
  <c r="K52" i="114"/>
  <c r="G52" i="114"/>
  <c r="W52" i="114" s="1"/>
  <c r="F53" i="114"/>
  <c r="P34" i="113"/>
  <c r="Q33" i="113"/>
  <c r="E37" i="91"/>
  <c r="G36" i="91"/>
  <c r="I34" i="91"/>
  <c r="J34" i="91" s="1"/>
  <c r="H35" i="91"/>
  <c r="M91" i="88"/>
  <c r="E92" i="88"/>
  <c r="N55" i="88"/>
  <c r="O54" i="88"/>
  <c r="F27" i="88"/>
  <c r="G26" i="88"/>
  <c r="K26" i="88" s="1"/>
  <c r="P26" i="88" s="1"/>
  <c r="L26" i="88"/>
  <c r="L29" i="77"/>
  <c r="C30" i="77"/>
  <c r="T26" i="78"/>
  <c r="P26" i="78"/>
  <c r="N27" i="78"/>
  <c r="O27" i="78" s="1"/>
  <c r="S27" i="78"/>
  <c r="H27" i="77"/>
  <c r="K26" i="77"/>
  <c r="N26" i="77" s="1"/>
  <c r="O26" i="77" s="1"/>
  <c r="P25" i="77"/>
  <c r="Q25" i="77"/>
  <c r="R25" i="77" s="1"/>
  <c r="O25" i="134"/>
  <c r="O24" i="135"/>
  <c r="L25" i="135"/>
  <c r="M24" i="135"/>
  <c r="N24" i="135" s="1"/>
  <c r="G70" i="95"/>
  <c r="K69" i="95"/>
  <c r="N30" i="148"/>
  <c r="O31" i="148"/>
  <c r="H31" i="147"/>
  <c r="I30" i="147"/>
  <c r="J30" i="147" s="1"/>
  <c r="N29" i="147"/>
  <c r="L31" i="147"/>
  <c r="H32" i="148"/>
  <c r="I31" i="148"/>
  <c r="J31" i="148" s="1"/>
  <c r="L32" i="148"/>
  <c r="M31" i="148"/>
  <c r="E33" i="147"/>
  <c r="G32" i="147"/>
  <c r="K32" i="147" s="1"/>
  <c r="F32" i="147"/>
  <c r="E34" i="148"/>
  <c r="G33" i="148"/>
  <c r="F33" i="148"/>
  <c r="H45" i="95"/>
  <c r="I44" i="95"/>
  <c r="L26" i="134"/>
  <c r="M25" i="134"/>
  <c r="N25" i="134" s="1"/>
  <c r="L44" i="111"/>
  <c r="O44" i="111" s="1"/>
  <c r="E45" i="111"/>
  <c r="D46" i="93"/>
  <c r="E45" i="93"/>
  <c r="E31" i="134"/>
  <c r="F30" i="134"/>
  <c r="J30" i="134" s="1"/>
  <c r="M25" i="133"/>
  <c r="K27" i="133"/>
  <c r="L26" i="133"/>
  <c r="E30" i="95"/>
  <c r="O29" i="95"/>
  <c r="F29" i="95"/>
  <c r="J29" i="95" s="1"/>
  <c r="N29" i="95" s="1"/>
  <c r="F18" i="113"/>
  <c r="G18" i="113" s="1"/>
  <c r="B105" i="77"/>
  <c r="D27" i="133"/>
  <c r="N26" i="133"/>
  <c r="E26" i="133"/>
  <c r="I26" i="133" s="1"/>
  <c r="D79" i="113"/>
  <c r="E29" i="135"/>
  <c r="F28" i="135"/>
  <c r="J28" i="135" s="1"/>
  <c r="K16" i="112"/>
  <c r="I17" i="112" s="1"/>
  <c r="C19" i="113" s="1"/>
  <c r="E19" i="113" s="1"/>
  <c r="B19" i="113" s="1"/>
  <c r="D78" i="113"/>
  <c r="I17" i="113"/>
  <c r="J17" i="113" s="1"/>
  <c r="O25" i="114" l="1"/>
  <c r="N26" i="114"/>
  <c r="L38" i="95"/>
  <c r="M37" i="95"/>
  <c r="G25" i="110"/>
  <c r="F26" i="110"/>
  <c r="L25" i="110"/>
  <c r="Q27" i="78"/>
  <c r="R27" i="78" s="1"/>
  <c r="K33" i="148"/>
  <c r="L33" i="148" s="1"/>
  <c r="N31" i="148"/>
  <c r="E94" i="110"/>
  <c r="M93" i="110"/>
  <c r="N82" i="110"/>
  <c r="O81" i="110"/>
  <c r="B31" i="78"/>
  <c r="K30" i="78"/>
  <c r="C30" i="78"/>
  <c r="F29" i="78"/>
  <c r="I29" i="78" s="1"/>
  <c r="M31" i="147"/>
  <c r="N30" i="147"/>
  <c r="O31" i="147"/>
  <c r="K53" i="114"/>
  <c r="F54" i="114"/>
  <c r="G53" i="114"/>
  <c r="W53" i="114" s="1"/>
  <c r="X53" i="114"/>
  <c r="P35" i="113"/>
  <c r="Q34" i="113"/>
  <c r="I35" i="91"/>
  <c r="J35" i="91" s="1"/>
  <c r="H36" i="91"/>
  <c r="G37" i="91"/>
  <c r="E38" i="91"/>
  <c r="E93" i="88"/>
  <c r="M92" i="88"/>
  <c r="N56" i="88"/>
  <c r="O55" i="88"/>
  <c r="F28" i="88"/>
  <c r="L27" i="88"/>
  <c r="G27" i="88"/>
  <c r="K27" i="88" s="1"/>
  <c r="P27" i="88" s="1"/>
  <c r="C31" i="77"/>
  <c r="L30" i="77"/>
  <c r="N28" i="78"/>
  <c r="O28" i="78" s="1"/>
  <c r="S28" i="78"/>
  <c r="T27" i="78"/>
  <c r="P27" i="78"/>
  <c r="L29" i="78"/>
  <c r="K27" i="77"/>
  <c r="N27" i="77" s="1"/>
  <c r="O27" i="77" s="1"/>
  <c r="H28" i="77"/>
  <c r="Q26" i="77"/>
  <c r="R26" i="77" s="1"/>
  <c r="P26" i="77"/>
  <c r="O25" i="135"/>
  <c r="M25" i="135"/>
  <c r="N25" i="135" s="1"/>
  <c r="L26" i="135"/>
  <c r="G71" i="95"/>
  <c r="K70" i="95"/>
  <c r="O32" i="148"/>
  <c r="E35" i="148"/>
  <c r="G34" i="148"/>
  <c r="K34" i="148" s="1"/>
  <c r="F34" i="148"/>
  <c r="M32" i="148"/>
  <c r="E34" i="147"/>
  <c r="G33" i="147"/>
  <c r="F33" i="147"/>
  <c r="H33" i="148"/>
  <c r="I32" i="148"/>
  <c r="J32" i="148" s="1"/>
  <c r="L32" i="147"/>
  <c r="H32" i="147"/>
  <c r="I31" i="147"/>
  <c r="J31" i="147" s="1"/>
  <c r="J17" i="112"/>
  <c r="I18" i="113"/>
  <c r="J18" i="113" s="1"/>
  <c r="E31" i="95"/>
  <c r="O30" i="95"/>
  <c r="F30" i="95"/>
  <c r="J30" i="95" s="1"/>
  <c r="N30" i="95" s="1"/>
  <c r="K28" i="133"/>
  <c r="L27" i="133"/>
  <c r="E32" i="134"/>
  <c r="F31" i="134"/>
  <c r="J31" i="134" s="1"/>
  <c r="D47" i="93"/>
  <c r="E46" i="93"/>
  <c r="L27" i="134"/>
  <c r="M26" i="134"/>
  <c r="N26" i="134" s="1"/>
  <c r="O26" i="134"/>
  <c r="E30" i="135"/>
  <c r="F29" i="135"/>
  <c r="J29" i="135" s="1"/>
  <c r="D28" i="133"/>
  <c r="N27" i="133"/>
  <c r="E27" i="133"/>
  <c r="I27" i="133" s="1"/>
  <c r="B106" i="77"/>
  <c r="F19" i="113"/>
  <c r="G19" i="113" s="1"/>
  <c r="M26" i="133"/>
  <c r="L45" i="111"/>
  <c r="O45" i="111" s="1"/>
  <c r="E46" i="111"/>
  <c r="H46" i="95"/>
  <c r="I45" i="95"/>
  <c r="N27" i="114" l="1"/>
  <c r="O26" i="114"/>
  <c r="L39" i="95"/>
  <c r="M38" i="95"/>
  <c r="O33" i="148"/>
  <c r="F27" i="110"/>
  <c r="G26" i="110"/>
  <c r="L26" i="110"/>
  <c r="K33" i="147"/>
  <c r="L33" i="147" s="1"/>
  <c r="M94" i="110"/>
  <c r="E95" i="110"/>
  <c r="N83" i="110"/>
  <c r="O82" i="110"/>
  <c r="K31" i="78"/>
  <c r="B32" i="78"/>
  <c r="C31" i="78"/>
  <c r="F30" i="78"/>
  <c r="I30" i="78" s="1"/>
  <c r="L30" i="78" s="1"/>
  <c r="Q28" i="78"/>
  <c r="R28" i="78" s="1"/>
  <c r="O32" i="147"/>
  <c r="K54" i="114"/>
  <c r="G54" i="114"/>
  <c r="W54" i="114" s="1"/>
  <c r="X54" i="114"/>
  <c r="F55" i="114"/>
  <c r="P36" i="113"/>
  <c r="Q35" i="113"/>
  <c r="E39" i="91"/>
  <c r="G38" i="91"/>
  <c r="F38" i="91" s="1"/>
  <c r="H37" i="91"/>
  <c r="I36" i="91"/>
  <c r="J36" i="91" s="1"/>
  <c r="M93" i="88"/>
  <c r="E94" i="88"/>
  <c r="N57" i="88"/>
  <c r="O56" i="88"/>
  <c r="G28" i="88"/>
  <c r="K28" i="88" s="1"/>
  <c r="P28" i="88" s="1"/>
  <c r="L28" i="88"/>
  <c r="F29" i="88"/>
  <c r="L31" i="77"/>
  <c r="C32" i="77"/>
  <c r="N29" i="78"/>
  <c r="O29" i="78" s="1"/>
  <c r="S29" i="78"/>
  <c r="P28" i="78"/>
  <c r="T28" i="78"/>
  <c r="Q27" i="77"/>
  <c r="R27" i="77" s="1"/>
  <c r="P27" i="77"/>
  <c r="H29" i="77"/>
  <c r="K28" i="77"/>
  <c r="N28" i="77" s="1"/>
  <c r="O28" i="77" s="1"/>
  <c r="L27" i="135"/>
  <c r="O26" i="135"/>
  <c r="M26" i="135"/>
  <c r="N26" i="135" s="1"/>
  <c r="G72" i="95"/>
  <c r="K71" i="95"/>
  <c r="H33" i="147"/>
  <c r="I32" i="147"/>
  <c r="J32" i="147" s="1"/>
  <c r="H34" i="148"/>
  <c r="I34" i="148" s="1"/>
  <c r="I33" i="148"/>
  <c r="J33" i="148" s="1"/>
  <c r="N32" i="148"/>
  <c r="L34" i="148"/>
  <c r="M34" i="148" s="1"/>
  <c r="M33" i="148"/>
  <c r="N31" i="147"/>
  <c r="M32" i="147"/>
  <c r="E35" i="147"/>
  <c r="G34" i="147"/>
  <c r="K34" i="147" s="1"/>
  <c r="F34" i="147"/>
  <c r="E36" i="148"/>
  <c r="G36" i="148" s="1"/>
  <c r="G35" i="148"/>
  <c r="F35" i="148"/>
  <c r="F20" i="113"/>
  <c r="H47" i="95"/>
  <c r="I46" i="95"/>
  <c r="E47" i="111"/>
  <c r="L46" i="111"/>
  <c r="O46" i="111" s="1"/>
  <c r="L28" i="134"/>
  <c r="M27" i="134"/>
  <c r="N27" i="134" s="1"/>
  <c r="O27" i="134"/>
  <c r="E33" i="134"/>
  <c r="F32" i="134"/>
  <c r="J32" i="134" s="1"/>
  <c r="K17" i="112"/>
  <c r="I18" i="112" s="1"/>
  <c r="C20" i="113" s="1"/>
  <c r="E20" i="113" s="1"/>
  <c r="B20" i="113" s="1"/>
  <c r="D81" i="113"/>
  <c r="I19" i="113"/>
  <c r="J19" i="113" s="1"/>
  <c r="B107" i="77"/>
  <c r="N28" i="133"/>
  <c r="D29" i="133"/>
  <c r="E28" i="133"/>
  <c r="I28" i="133" s="1"/>
  <c r="E31" i="135"/>
  <c r="F30" i="135"/>
  <c r="J30" i="135" s="1"/>
  <c r="D80" i="113"/>
  <c r="D48" i="93"/>
  <c r="E47" i="93"/>
  <c r="M27" i="133"/>
  <c r="L28" i="133"/>
  <c r="E32" i="95"/>
  <c r="O31" i="95"/>
  <c r="F31" i="95"/>
  <c r="J31" i="95" s="1"/>
  <c r="N31" i="95" s="1"/>
  <c r="O27" i="114" l="1"/>
  <c r="N28" i="114"/>
  <c r="M39" i="95"/>
  <c r="L40" i="95"/>
  <c r="N32" i="147"/>
  <c r="G27" i="110"/>
  <c r="L27" i="110"/>
  <c r="F28" i="110"/>
  <c r="N84" i="110"/>
  <c r="O83" i="110"/>
  <c r="E96" i="110"/>
  <c r="M95" i="110"/>
  <c r="F31" i="78"/>
  <c r="I31" i="78" s="1"/>
  <c r="L31" i="78" s="1"/>
  <c r="C32" i="78"/>
  <c r="Q29" i="78"/>
  <c r="R29" i="78" s="1"/>
  <c r="B33" i="78"/>
  <c r="K32" i="78"/>
  <c r="O33" i="147"/>
  <c r="F56" i="114"/>
  <c r="G55" i="114"/>
  <c r="W55" i="114" s="1"/>
  <c r="K55" i="114"/>
  <c r="X55" i="114"/>
  <c r="P37" i="113"/>
  <c r="Q36" i="113"/>
  <c r="H38" i="91"/>
  <c r="I37" i="91"/>
  <c r="J37" i="91" s="1"/>
  <c r="E40" i="91"/>
  <c r="G39" i="91"/>
  <c r="M94" i="88"/>
  <c r="E95" i="88"/>
  <c r="N58" i="88"/>
  <c r="O57" i="88"/>
  <c r="F30" i="88"/>
  <c r="G29" i="88"/>
  <c r="K29" i="88" s="1"/>
  <c r="P29" i="88" s="1"/>
  <c r="L29" i="88"/>
  <c r="L32" i="77"/>
  <c r="C33" i="77"/>
  <c r="N30" i="78"/>
  <c r="O30" i="78" s="1"/>
  <c r="S30" i="78"/>
  <c r="T29" i="78"/>
  <c r="P29" i="78"/>
  <c r="Q28" i="77"/>
  <c r="R28" i="77" s="1"/>
  <c r="P28" i="77"/>
  <c r="K29" i="77"/>
  <c r="N29" i="77" s="1"/>
  <c r="O29" i="77" s="1"/>
  <c r="H30" i="77"/>
  <c r="M28" i="133"/>
  <c r="O27" i="135"/>
  <c r="M27" i="135"/>
  <c r="N27" i="135" s="1"/>
  <c r="L28" i="135"/>
  <c r="K72" i="95"/>
  <c r="G73" i="95"/>
  <c r="K35" i="148"/>
  <c r="L35" i="148" s="1"/>
  <c r="N33" i="148"/>
  <c r="O34" i="148"/>
  <c r="E37" i="148"/>
  <c r="F36" i="148"/>
  <c r="L34" i="147"/>
  <c r="M33" i="147"/>
  <c r="H35" i="148"/>
  <c r="J34" i="148"/>
  <c r="E36" i="147"/>
  <c r="G35" i="147"/>
  <c r="F35" i="147"/>
  <c r="H34" i="147"/>
  <c r="I33" i="147"/>
  <c r="J33" i="147" s="1"/>
  <c r="E33" i="95"/>
  <c r="O32" i="95"/>
  <c r="F32" i="95"/>
  <c r="J32" i="95" s="1"/>
  <c r="N32" i="95" s="1"/>
  <c r="D49" i="93"/>
  <c r="E48" i="93"/>
  <c r="E32" i="135"/>
  <c r="F31" i="135"/>
  <c r="D30" i="133"/>
  <c r="E29" i="133"/>
  <c r="J29" i="133"/>
  <c r="K29" i="133" s="1"/>
  <c r="G29" i="133"/>
  <c r="F30" i="133" s="1"/>
  <c r="J18" i="112"/>
  <c r="H48" i="95"/>
  <c r="I47" i="95"/>
  <c r="G20" i="113"/>
  <c r="H31" i="135"/>
  <c r="G32" i="135" s="1"/>
  <c r="K31" i="135"/>
  <c r="B108" i="77"/>
  <c r="E34" i="134"/>
  <c r="F33" i="134"/>
  <c r="J33" i="134" s="1"/>
  <c r="L29" i="134"/>
  <c r="M28" i="134"/>
  <c r="O28" i="134"/>
  <c r="E48" i="111"/>
  <c r="L47" i="111"/>
  <c r="O47" i="111" s="1"/>
  <c r="I20" i="113"/>
  <c r="O34" i="147" l="1"/>
  <c r="N29" i="114"/>
  <c r="O28" i="114"/>
  <c r="L41" i="95"/>
  <c r="M40" i="95"/>
  <c r="G28" i="110"/>
  <c r="F29" i="110"/>
  <c r="L28" i="110"/>
  <c r="N85" i="110"/>
  <c r="O84" i="110"/>
  <c r="E97" i="110"/>
  <c r="M96" i="110"/>
  <c r="B34" i="78"/>
  <c r="K33" i="78"/>
  <c r="F32" i="78"/>
  <c r="I32" i="78" s="1"/>
  <c r="C33" i="78"/>
  <c r="O35" i="148"/>
  <c r="K35" i="147"/>
  <c r="L35" i="147" s="1"/>
  <c r="X56" i="114"/>
  <c r="G56" i="114"/>
  <c r="W56" i="114" s="1"/>
  <c r="K56" i="114"/>
  <c r="F57" i="114"/>
  <c r="P38" i="113"/>
  <c r="Q37" i="113"/>
  <c r="G40" i="91"/>
  <c r="E41" i="91"/>
  <c r="I38" i="91"/>
  <c r="J38" i="91" s="1"/>
  <c r="H39" i="91"/>
  <c r="E96" i="88"/>
  <c r="M95" i="88"/>
  <c r="N59" i="88"/>
  <c r="O58" i="88"/>
  <c r="L30" i="88"/>
  <c r="G30" i="88"/>
  <c r="K30" i="88" s="1"/>
  <c r="P30" i="88" s="1"/>
  <c r="F31" i="88"/>
  <c r="L33" i="77"/>
  <c r="C34" i="77"/>
  <c r="N31" i="78"/>
  <c r="O31" i="78" s="1"/>
  <c r="S31" i="78"/>
  <c r="P30" i="78"/>
  <c r="T30" i="78"/>
  <c r="Q30" i="78"/>
  <c r="R30" i="78" s="1"/>
  <c r="P29" i="77"/>
  <c r="Q29" i="77"/>
  <c r="H31" i="77"/>
  <c r="K30" i="77"/>
  <c r="N30" i="77" s="1"/>
  <c r="O30" i="77" s="1"/>
  <c r="O31" i="77" s="1"/>
  <c r="O28" i="135"/>
  <c r="M28" i="135"/>
  <c r="N28" i="135" s="1"/>
  <c r="L29" i="135"/>
  <c r="G74" i="95"/>
  <c r="K73" i="95"/>
  <c r="N29" i="133"/>
  <c r="K36" i="148"/>
  <c r="L36" i="148" s="1"/>
  <c r="H35" i="147"/>
  <c r="I34" i="147"/>
  <c r="J34" i="147" s="1"/>
  <c r="H36" i="148"/>
  <c r="I35" i="148"/>
  <c r="J35" i="148" s="1"/>
  <c r="N33" i="147"/>
  <c r="M34" i="147"/>
  <c r="E37" i="147"/>
  <c r="G36" i="147"/>
  <c r="F36" i="147"/>
  <c r="N34" i="148"/>
  <c r="M35" i="148"/>
  <c r="E38" i="148"/>
  <c r="G37" i="148"/>
  <c r="F37" i="148"/>
  <c r="D83" i="113"/>
  <c r="I31" i="135"/>
  <c r="J31" i="135" s="1"/>
  <c r="H32" i="135"/>
  <c r="F21" i="113"/>
  <c r="J30" i="133"/>
  <c r="K30" i="133" s="1"/>
  <c r="F31" i="133"/>
  <c r="D31" i="133"/>
  <c r="E30" i="133"/>
  <c r="D50" i="93"/>
  <c r="E49" i="93"/>
  <c r="E34" i="95"/>
  <c r="O33" i="95"/>
  <c r="F33" i="95"/>
  <c r="J33" i="95" s="1"/>
  <c r="N33" i="95" s="1"/>
  <c r="J20" i="113"/>
  <c r="E49" i="111"/>
  <c r="L48" i="111"/>
  <c r="O48" i="111" s="1"/>
  <c r="N28" i="134"/>
  <c r="L30" i="134"/>
  <c r="M29" i="134"/>
  <c r="N29" i="134" s="1"/>
  <c r="O29" i="134"/>
  <c r="E35" i="134"/>
  <c r="F34" i="134"/>
  <c r="J34" i="134" s="1"/>
  <c r="B109" i="77"/>
  <c r="G33" i="135"/>
  <c r="K32" i="135"/>
  <c r="H49" i="95"/>
  <c r="I48" i="95"/>
  <c r="D82" i="113"/>
  <c r="K18" i="112"/>
  <c r="I19" i="112" s="1"/>
  <c r="C21" i="113" s="1"/>
  <c r="E21" i="113" s="1"/>
  <c r="B21" i="113" s="1"/>
  <c r="H29" i="133"/>
  <c r="I29" i="133" s="1"/>
  <c r="G30" i="133"/>
  <c r="L29" i="133"/>
  <c r="E33" i="135"/>
  <c r="F32" i="135"/>
  <c r="N30" i="114" l="1"/>
  <c r="O29" i="114"/>
  <c r="L42" i="95"/>
  <c r="M41" i="95"/>
  <c r="F30" i="110"/>
  <c r="L29" i="110"/>
  <c r="G29" i="110"/>
  <c r="H36" i="147"/>
  <c r="K37" i="148"/>
  <c r="L37" i="148" s="1"/>
  <c r="N86" i="110"/>
  <c r="O85" i="110"/>
  <c r="M97" i="110"/>
  <c r="E98" i="110"/>
  <c r="J19" i="112"/>
  <c r="L32" i="78"/>
  <c r="N32" i="78" s="1"/>
  <c r="O32" i="78" s="1"/>
  <c r="F33" i="78"/>
  <c r="I33" i="78" s="1"/>
  <c r="C34" i="78"/>
  <c r="B35" i="78"/>
  <c r="K34" i="78"/>
  <c r="Q31" i="78"/>
  <c r="R31" i="78" s="1"/>
  <c r="K36" i="147"/>
  <c r="L36" i="147" s="1"/>
  <c r="N34" i="147"/>
  <c r="O35" i="147"/>
  <c r="H57" i="114"/>
  <c r="I57" i="114" s="1"/>
  <c r="K57" i="114" s="1"/>
  <c r="G57" i="114"/>
  <c r="F58" i="114"/>
  <c r="P39" i="113"/>
  <c r="Q38" i="113"/>
  <c r="H40" i="91"/>
  <c r="I39" i="91"/>
  <c r="J39" i="91" s="1"/>
  <c r="G41" i="91"/>
  <c r="E42" i="91"/>
  <c r="M96" i="88"/>
  <c r="E97" i="88"/>
  <c r="N60" i="88"/>
  <c r="O59" i="88"/>
  <c r="L31" i="88"/>
  <c r="G31" i="88"/>
  <c r="K31" i="88" s="1"/>
  <c r="P31" i="88" s="1"/>
  <c r="F32" i="88"/>
  <c r="Q33" i="77"/>
  <c r="C35" i="77"/>
  <c r="L34" i="77"/>
  <c r="T31" i="78"/>
  <c r="P31" i="78"/>
  <c r="H32" i="77"/>
  <c r="K31" i="77"/>
  <c r="N31" i="77" s="1"/>
  <c r="R29" i="77"/>
  <c r="P30" i="77"/>
  <c r="Q30" i="77"/>
  <c r="O29" i="135"/>
  <c r="M29" i="135"/>
  <c r="N29" i="135" s="1"/>
  <c r="L30" i="135"/>
  <c r="G75" i="95"/>
  <c r="K74" i="95"/>
  <c r="N35" i="148"/>
  <c r="M29" i="133"/>
  <c r="O36" i="148"/>
  <c r="E39" i="148"/>
  <c r="G38" i="148"/>
  <c r="K38" i="148" s="1"/>
  <c r="F38" i="148"/>
  <c r="M35" i="147"/>
  <c r="H37" i="148"/>
  <c r="I36" i="148"/>
  <c r="J36" i="148" s="1"/>
  <c r="M36" i="148"/>
  <c r="E38" i="147"/>
  <c r="G37" i="147"/>
  <c r="K37" i="147" s="1"/>
  <c r="F37" i="147"/>
  <c r="I35" i="147"/>
  <c r="J35" i="147" s="1"/>
  <c r="K19" i="112"/>
  <c r="I20" i="112" s="1"/>
  <c r="C22" i="113" s="1"/>
  <c r="E22" i="113" s="1"/>
  <c r="B22" i="113" s="1"/>
  <c r="L31" i="134"/>
  <c r="M30" i="134"/>
  <c r="N30" i="134" s="1"/>
  <c r="O30" i="134"/>
  <c r="E50" i="111"/>
  <c r="L49" i="111"/>
  <c r="O49" i="111" s="1"/>
  <c r="D51" i="93"/>
  <c r="E50" i="93"/>
  <c r="J31" i="133"/>
  <c r="K31" i="133" s="1"/>
  <c r="F32" i="133"/>
  <c r="G21" i="113"/>
  <c r="I32" i="135"/>
  <c r="J32" i="135" s="1"/>
  <c r="H33" i="135"/>
  <c r="E34" i="135"/>
  <c r="F33" i="135"/>
  <c r="L30" i="133"/>
  <c r="H30" i="133"/>
  <c r="I30" i="133" s="1"/>
  <c r="G31" i="133"/>
  <c r="H50" i="95"/>
  <c r="I49" i="95"/>
  <c r="G34" i="135"/>
  <c r="K33" i="135"/>
  <c r="B110" i="77"/>
  <c r="E36" i="134"/>
  <c r="F35" i="134"/>
  <c r="J35" i="134" s="1"/>
  <c r="E35" i="95"/>
  <c r="O34" i="95"/>
  <c r="F34" i="95"/>
  <c r="J34" i="95" s="1"/>
  <c r="N34" i="95" s="1"/>
  <c r="N30" i="133"/>
  <c r="D32" i="133"/>
  <c r="E31" i="133"/>
  <c r="I21" i="113"/>
  <c r="N31" i="114" l="1"/>
  <c r="O30" i="114"/>
  <c r="J57" i="114"/>
  <c r="L43" i="95"/>
  <c r="M42" i="95"/>
  <c r="G30" i="110"/>
  <c r="L30" i="110"/>
  <c r="F31" i="110"/>
  <c r="O36" i="147"/>
  <c r="N87" i="110"/>
  <c r="O86" i="110"/>
  <c r="E99" i="110"/>
  <c r="M98" i="110"/>
  <c r="Q32" i="78"/>
  <c r="R32" i="78" s="1"/>
  <c r="L33" i="78"/>
  <c r="S33" i="78" s="1"/>
  <c r="S32" i="78"/>
  <c r="C35" i="78"/>
  <c r="F34" i="78"/>
  <c r="I34" i="78" s="1"/>
  <c r="K35" i="78"/>
  <c r="B36" i="78"/>
  <c r="H58" i="114"/>
  <c r="I58" i="114" s="1"/>
  <c r="K58" i="114" s="1"/>
  <c r="G58" i="114"/>
  <c r="F59" i="114"/>
  <c r="P40" i="113"/>
  <c r="Q39" i="113"/>
  <c r="H41" i="91"/>
  <c r="I40" i="91"/>
  <c r="J40" i="91" s="1"/>
  <c r="E43" i="91"/>
  <c r="G42" i="91"/>
  <c r="M97" i="88"/>
  <c r="E98" i="88"/>
  <c r="N61" i="88"/>
  <c r="O60" i="88"/>
  <c r="G32" i="88"/>
  <c r="K32" i="88" s="1"/>
  <c r="P32" i="88" s="1"/>
  <c r="L32" i="88"/>
  <c r="F33" i="88"/>
  <c r="C36" i="77"/>
  <c r="L35" i="77"/>
  <c r="Q34" i="77"/>
  <c r="T32" i="78"/>
  <c r="P32" i="78"/>
  <c r="R30" i="77"/>
  <c r="Q31" i="77"/>
  <c r="P31" i="77"/>
  <c r="O32" i="77"/>
  <c r="H33" i="77"/>
  <c r="K32" i="77"/>
  <c r="N32" i="77" s="1"/>
  <c r="O30" i="135"/>
  <c r="M30" i="135"/>
  <c r="N30" i="135" s="1"/>
  <c r="L31" i="135"/>
  <c r="G76" i="95"/>
  <c r="K75" i="95"/>
  <c r="N31" i="133"/>
  <c r="O37" i="148"/>
  <c r="E39" i="147"/>
  <c r="G39" i="147" s="1"/>
  <c r="G38" i="147"/>
  <c r="K38" i="147" s="1"/>
  <c r="F38" i="147"/>
  <c r="H38" i="148"/>
  <c r="I37" i="148"/>
  <c r="J37" i="148" s="1"/>
  <c r="E40" i="148"/>
  <c r="G39" i="148"/>
  <c r="K39" i="148" s="1"/>
  <c r="F39" i="148"/>
  <c r="H37" i="147"/>
  <c r="I36" i="147"/>
  <c r="J36" i="147" s="1"/>
  <c r="N36" i="148"/>
  <c r="L38" i="148"/>
  <c r="M37" i="148"/>
  <c r="N37" i="148" s="1"/>
  <c r="N35" i="147"/>
  <c r="L37" i="147"/>
  <c r="M36" i="147"/>
  <c r="D33" i="133"/>
  <c r="E32" i="133"/>
  <c r="J21" i="113"/>
  <c r="D84" i="113"/>
  <c r="Y57" i="114"/>
  <c r="H51" i="95"/>
  <c r="I50" i="95"/>
  <c r="E35" i="135"/>
  <c r="F34" i="135"/>
  <c r="H34" i="135"/>
  <c r="I33" i="135"/>
  <c r="J33" i="135" s="1"/>
  <c r="F22" i="113"/>
  <c r="G22" i="113" s="1"/>
  <c r="J32" i="133"/>
  <c r="K32" i="133" s="1"/>
  <c r="F33" i="133"/>
  <c r="L50" i="111"/>
  <c r="O50" i="111" s="1"/>
  <c r="E51" i="111"/>
  <c r="E36" i="95"/>
  <c r="O35" i="95"/>
  <c r="F35" i="95"/>
  <c r="J35" i="95" s="1"/>
  <c r="N35" i="95" s="1"/>
  <c r="L57" i="114"/>
  <c r="H36" i="134"/>
  <c r="G37" i="134" s="1"/>
  <c r="K37" i="134" s="1"/>
  <c r="E37" i="134"/>
  <c r="F36" i="134"/>
  <c r="B111" i="77"/>
  <c r="K34" i="135"/>
  <c r="G35" i="135"/>
  <c r="G32" i="133"/>
  <c r="H31" i="133"/>
  <c r="I31" i="133" s="1"/>
  <c r="M30" i="133"/>
  <c r="L31" i="133"/>
  <c r="D52" i="93"/>
  <c r="E51" i="93"/>
  <c r="D85" i="113"/>
  <c r="L32" i="134"/>
  <c r="M31" i="134"/>
  <c r="N31" i="134" s="1"/>
  <c r="O31" i="134"/>
  <c r="J20" i="112"/>
  <c r="O31" i="114" l="1"/>
  <c r="N32" i="114"/>
  <c r="N33" i="78"/>
  <c r="O33" i="78" s="1"/>
  <c r="Q33" i="78" s="1"/>
  <c r="R33" i="78" s="1"/>
  <c r="T35" i="77"/>
  <c r="P33" i="77"/>
  <c r="M43" i="95"/>
  <c r="L44" i="95"/>
  <c r="G31" i="110"/>
  <c r="F32" i="110"/>
  <c r="L31" i="110"/>
  <c r="J58" i="114"/>
  <c r="Y58" i="114" s="1"/>
  <c r="N36" i="147"/>
  <c r="N88" i="110"/>
  <c r="O87" i="110"/>
  <c r="E100" i="110"/>
  <c r="M99" i="110"/>
  <c r="L34" i="78"/>
  <c r="N34" i="78" s="1"/>
  <c r="O34" i="78" s="1"/>
  <c r="B37" i="78"/>
  <c r="K36" i="78"/>
  <c r="C36" i="78"/>
  <c r="F35" i="78"/>
  <c r="I35" i="78" s="1"/>
  <c r="L35" i="78" s="1"/>
  <c r="O37" i="147"/>
  <c r="H59" i="114"/>
  <c r="I59" i="114" s="1"/>
  <c r="K59" i="114" s="1"/>
  <c r="F60" i="114"/>
  <c r="G59" i="114"/>
  <c r="Q40" i="113"/>
  <c r="P41" i="113"/>
  <c r="G43" i="91"/>
  <c r="E44" i="91"/>
  <c r="H42" i="91"/>
  <c r="I41" i="91"/>
  <c r="J41" i="91" s="1"/>
  <c r="M98" i="88"/>
  <c r="E99" i="88"/>
  <c r="N62" i="88"/>
  <c r="O61" i="88"/>
  <c r="L33" i="88"/>
  <c r="F34" i="88"/>
  <c r="G33" i="88"/>
  <c r="K33" i="88" s="1"/>
  <c r="P33" i="88" s="1"/>
  <c r="C37" i="77"/>
  <c r="L36" i="77"/>
  <c r="Q35" i="77"/>
  <c r="P32" i="77"/>
  <c r="Q32" i="77"/>
  <c r="R34" i="77" s="1"/>
  <c r="T36" i="77"/>
  <c r="T37" i="77"/>
  <c r="T39" i="77"/>
  <c r="T33" i="77"/>
  <c r="T38" i="77"/>
  <c r="T34" i="77"/>
  <c r="T41" i="77"/>
  <c r="T40" i="77"/>
  <c r="R31" i="77"/>
  <c r="K33" i="77"/>
  <c r="N33" i="77" s="1"/>
  <c r="S33" i="77" s="1"/>
  <c r="H34" i="77"/>
  <c r="N32" i="133"/>
  <c r="M31" i="135"/>
  <c r="N31" i="135" s="1"/>
  <c r="O31" i="135"/>
  <c r="L32" i="135"/>
  <c r="G77" i="95"/>
  <c r="K76" i="95"/>
  <c r="O38" i="148"/>
  <c r="E41" i="148"/>
  <c r="G40" i="148"/>
  <c r="K40" i="148" s="1"/>
  <c r="F40" i="148"/>
  <c r="E40" i="147"/>
  <c r="K39" i="147"/>
  <c r="F39" i="147"/>
  <c r="L38" i="147"/>
  <c r="M37" i="147"/>
  <c r="L39" i="148"/>
  <c r="M38" i="148"/>
  <c r="H38" i="147"/>
  <c r="O38" i="147" s="1"/>
  <c r="I37" i="147"/>
  <c r="J37" i="147" s="1"/>
  <c r="H39" i="148"/>
  <c r="I38" i="148"/>
  <c r="J38" i="148" s="1"/>
  <c r="F23" i="113"/>
  <c r="L33" i="134"/>
  <c r="M32" i="134"/>
  <c r="N32" i="134" s="1"/>
  <c r="O32" i="134"/>
  <c r="B112" i="77"/>
  <c r="E38" i="134"/>
  <c r="F37" i="134"/>
  <c r="I36" i="134"/>
  <c r="J36" i="134" s="1"/>
  <c r="H37" i="134"/>
  <c r="G38" i="134"/>
  <c r="K38" i="134" s="1"/>
  <c r="N57" i="114"/>
  <c r="M57" i="114"/>
  <c r="U57" i="114" s="1"/>
  <c r="E37" i="95"/>
  <c r="O36" i="95"/>
  <c r="F36" i="95"/>
  <c r="J36" i="95" s="1"/>
  <c r="N36" i="95" s="1"/>
  <c r="L51" i="111"/>
  <c r="O51" i="111" s="1"/>
  <c r="E52" i="111"/>
  <c r="I34" i="135"/>
  <c r="J34" i="135" s="1"/>
  <c r="H35" i="135"/>
  <c r="E36" i="135"/>
  <c r="F35" i="135"/>
  <c r="D34" i="133"/>
  <c r="E33" i="133"/>
  <c r="K20" i="112"/>
  <c r="I21" i="112" s="1"/>
  <c r="C23" i="113" s="1"/>
  <c r="E23" i="113" s="1"/>
  <c r="B23" i="113" s="1"/>
  <c r="D53" i="93"/>
  <c r="E52" i="93"/>
  <c r="M31" i="133"/>
  <c r="L32" i="133"/>
  <c r="G33" i="133"/>
  <c r="H32" i="133"/>
  <c r="I32" i="133" s="1"/>
  <c r="G36" i="135"/>
  <c r="K35" i="135"/>
  <c r="L58" i="114"/>
  <c r="M58" i="114" s="1"/>
  <c r="D86" i="113"/>
  <c r="J33" i="133"/>
  <c r="K33" i="133" s="1"/>
  <c r="F34" i="133"/>
  <c r="I22" i="113"/>
  <c r="H52" i="95"/>
  <c r="I51" i="95"/>
  <c r="O39" i="148" l="1"/>
  <c r="P33" i="78"/>
  <c r="T33" i="78"/>
  <c r="N33" i="114"/>
  <c r="O32" i="114"/>
  <c r="S34" i="78"/>
  <c r="M44" i="95"/>
  <c r="L45" i="95"/>
  <c r="L32" i="110"/>
  <c r="G32" i="110"/>
  <c r="F33" i="110"/>
  <c r="J59" i="114"/>
  <c r="Y59" i="114" s="1"/>
  <c r="J22" i="113"/>
  <c r="R35" i="77"/>
  <c r="M100" i="110"/>
  <c r="E101" i="110"/>
  <c r="N89" i="110"/>
  <c r="O88" i="110"/>
  <c r="B38" i="78"/>
  <c r="K37" i="78"/>
  <c r="C37" i="78"/>
  <c r="F36" i="78"/>
  <c r="I36" i="78" s="1"/>
  <c r="F61" i="114"/>
  <c r="H60" i="114"/>
  <c r="I60" i="114" s="1"/>
  <c r="G60" i="114"/>
  <c r="Q41" i="113"/>
  <c r="P42" i="113"/>
  <c r="I42" i="91"/>
  <c r="J42" i="91" s="1"/>
  <c r="H43" i="91"/>
  <c r="G44" i="91"/>
  <c r="E45" i="91"/>
  <c r="M99" i="88"/>
  <c r="E100" i="88"/>
  <c r="N63" i="88"/>
  <c r="O62" i="88"/>
  <c r="L34" i="88"/>
  <c r="G34" i="88"/>
  <c r="K34" i="88" s="1"/>
  <c r="P34" i="88" s="1"/>
  <c r="F35" i="88"/>
  <c r="L37" i="77"/>
  <c r="C38" i="77"/>
  <c r="Q36" i="77"/>
  <c r="R36" i="77" s="1"/>
  <c r="N35" i="78"/>
  <c r="O35" i="78" s="1"/>
  <c r="S35" i="78"/>
  <c r="Q34" i="78"/>
  <c r="R34" i="78" s="1"/>
  <c r="T34" i="78"/>
  <c r="P34" i="78"/>
  <c r="R32" i="77"/>
  <c r="R33" i="77"/>
  <c r="K34" i="77"/>
  <c r="N34" i="77" s="1"/>
  <c r="S34" i="77" s="1"/>
  <c r="H35" i="77"/>
  <c r="M32" i="135"/>
  <c r="N32" i="135" s="1"/>
  <c r="O32" i="135"/>
  <c r="L33" i="135"/>
  <c r="K77" i="95"/>
  <c r="G78" i="95"/>
  <c r="N38" i="148"/>
  <c r="H40" i="148"/>
  <c r="I39" i="148"/>
  <c r="J39" i="148" s="1"/>
  <c r="L40" i="148"/>
  <c r="M39" i="148"/>
  <c r="E41" i="147"/>
  <c r="G40" i="147"/>
  <c r="K40" i="147" s="1"/>
  <c r="F40" i="147"/>
  <c r="H39" i="147"/>
  <c r="I38" i="147"/>
  <c r="J38" i="147" s="1"/>
  <c r="N37" i="147"/>
  <c r="L39" i="147"/>
  <c r="M38" i="147"/>
  <c r="E42" i="148"/>
  <c r="G41" i="148"/>
  <c r="K41" i="148" s="1"/>
  <c r="F41" i="148"/>
  <c r="N33" i="133"/>
  <c r="L33" i="133"/>
  <c r="J34" i="133"/>
  <c r="K34" i="133" s="1"/>
  <c r="F35" i="133"/>
  <c r="L59" i="114"/>
  <c r="M59" i="114" s="1"/>
  <c r="M32" i="133"/>
  <c r="D54" i="93"/>
  <c r="E53" i="93"/>
  <c r="J21" i="112"/>
  <c r="D35" i="133"/>
  <c r="E34" i="133"/>
  <c r="I35" i="135"/>
  <c r="J35" i="135" s="1"/>
  <c r="H36" i="135"/>
  <c r="D87" i="113"/>
  <c r="E38" i="95"/>
  <c r="O37" i="95"/>
  <c r="F37" i="95"/>
  <c r="J37" i="95" s="1"/>
  <c r="N37" i="95" s="1"/>
  <c r="O57" i="114"/>
  <c r="P57" i="114" s="1"/>
  <c r="N58" i="114"/>
  <c r="G39" i="134"/>
  <c r="K39" i="134" s="1"/>
  <c r="E39" i="134"/>
  <c r="F38" i="134"/>
  <c r="G23" i="113"/>
  <c r="H53" i="95"/>
  <c r="I52" i="95"/>
  <c r="G37" i="135"/>
  <c r="K36" i="135"/>
  <c r="G34" i="133"/>
  <c r="H33" i="133"/>
  <c r="I33" i="133" s="1"/>
  <c r="E37" i="135"/>
  <c r="F36" i="135"/>
  <c r="L52" i="111"/>
  <c r="O52" i="111" s="1"/>
  <c r="E53" i="111"/>
  <c r="V57" i="114"/>
  <c r="W57" i="114" s="1"/>
  <c r="U58" i="114"/>
  <c r="X57" i="114"/>
  <c r="I37" i="134"/>
  <c r="J37" i="134" s="1"/>
  <c r="H38" i="134"/>
  <c r="B113" i="77"/>
  <c r="L34" i="134"/>
  <c r="M33" i="134"/>
  <c r="N33" i="134" s="1"/>
  <c r="O33" i="134"/>
  <c r="I23" i="113"/>
  <c r="N34" i="114" l="1"/>
  <c r="O33" i="114"/>
  <c r="J23" i="113"/>
  <c r="L46" i="95"/>
  <c r="M45" i="95"/>
  <c r="N39" i="148"/>
  <c r="L33" i="110"/>
  <c r="F34" i="110"/>
  <c r="G33" i="110"/>
  <c r="Q35" i="78"/>
  <c r="R35" i="78" s="1"/>
  <c r="N90" i="110"/>
  <c r="O89" i="110"/>
  <c r="E102" i="110"/>
  <c r="M101" i="110"/>
  <c r="L36" i="78"/>
  <c r="S36" i="78" s="1"/>
  <c r="C38" i="78"/>
  <c r="F37" i="78"/>
  <c r="I37" i="78" s="1"/>
  <c r="B39" i="78"/>
  <c r="K38" i="78"/>
  <c r="N38" i="147"/>
  <c r="O39" i="147"/>
  <c r="K60" i="114"/>
  <c r="L60" i="114" s="1"/>
  <c r="M60" i="114" s="1"/>
  <c r="J60" i="114"/>
  <c r="Y60" i="114" s="1"/>
  <c r="H61" i="114"/>
  <c r="I61" i="114" s="1"/>
  <c r="G61" i="114"/>
  <c r="F62" i="114"/>
  <c r="P43" i="113"/>
  <c r="Q42" i="113"/>
  <c r="G45" i="91"/>
  <c r="E46" i="91"/>
  <c r="H44" i="91"/>
  <c r="I43" i="91"/>
  <c r="J43" i="91" s="1"/>
  <c r="E101" i="88"/>
  <c r="M100" i="88"/>
  <c r="N64" i="88"/>
  <c r="O63" i="88"/>
  <c r="L35" i="88"/>
  <c r="F36" i="88"/>
  <c r="G35" i="88"/>
  <c r="K35" i="88" s="1"/>
  <c r="P35" i="88" s="1"/>
  <c r="Q37" i="77"/>
  <c r="R37" i="77" s="1"/>
  <c r="L38" i="77"/>
  <c r="C39" i="77"/>
  <c r="T35" i="78"/>
  <c r="P35" i="78"/>
  <c r="H36" i="77"/>
  <c r="K35" i="77"/>
  <c r="N35" i="77" s="1"/>
  <c r="S35" i="77" s="1"/>
  <c r="O33" i="135"/>
  <c r="M33" i="135"/>
  <c r="N33" i="135" s="1"/>
  <c r="L34" i="135"/>
  <c r="G79" i="95"/>
  <c r="K78" i="95"/>
  <c r="O40" i="148"/>
  <c r="E43" i="148"/>
  <c r="G42" i="148"/>
  <c r="K42" i="148" s="1"/>
  <c r="F42" i="148"/>
  <c r="E42" i="147"/>
  <c r="G41" i="147"/>
  <c r="K41" i="147" s="1"/>
  <c r="F41" i="147"/>
  <c r="L40" i="147"/>
  <c r="M39" i="147"/>
  <c r="H40" i="147"/>
  <c r="I39" i="147"/>
  <c r="J39" i="147" s="1"/>
  <c r="L41" i="148"/>
  <c r="M40" i="148"/>
  <c r="H41" i="148"/>
  <c r="I40" i="148"/>
  <c r="J40" i="148" s="1"/>
  <c r="L34" i="133"/>
  <c r="L35" i="134"/>
  <c r="M34" i="134"/>
  <c r="N34" i="134" s="1"/>
  <c r="O34" i="134"/>
  <c r="B114" i="77"/>
  <c r="H39" i="134"/>
  <c r="I38" i="134"/>
  <c r="J38" i="134" s="1"/>
  <c r="D88" i="113"/>
  <c r="E38" i="135"/>
  <c r="F37" i="135"/>
  <c r="G35" i="133"/>
  <c r="H34" i="133"/>
  <c r="I34" i="133" s="1"/>
  <c r="H54" i="95"/>
  <c r="I53" i="95"/>
  <c r="E40" i="134"/>
  <c r="F39" i="134"/>
  <c r="G40" i="134"/>
  <c r="K40" i="134" s="1"/>
  <c r="O58" i="114"/>
  <c r="P58" i="114" s="1"/>
  <c r="N59" i="114"/>
  <c r="E39" i="95"/>
  <c r="O38" i="95"/>
  <c r="F38" i="95"/>
  <c r="J38" i="95" s="1"/>
  <c r="N38" i="95" s="1"/>
  <c r="H37" i="135"/>
  <c r="I36" i="135"/>
  <c r="J36" i="135" s="1"/>
  <c r="N34" i="133"/>
  <c r="D36" i="133"/>
  <c r="E35" i="133"/>
  <c r="K21" i="112"/>
  <c r="I22" i="112" s="1"/>
  <c r="C24" i="113" s="1"/>
  <c r="E24" i="113" s="1"/>
  <c r="B24" i="113" s="1"/>
  <c r="V58" i="114"/>
  <c r="W58" i="114" s="1"/>
  <c r="U59" i="114"/>
  <c r="X58" i="114"/>
  <c r="E54" i="111"/>
  <c r="L54" i="111" s="1"/>
  <c r="O54" i="111" s="1"/>
  <c r="L53" i="111"/>
  <c r="O53" i="111" s="1"/>
  <c r="K37" i="135"/>
  <c r="G38" i="135"/>
  <c r="F24" i="113"/>
  <c r="D55" i="93"/>
  <c r="E54" i="93"/>
  <c r="J35" i="133"/>
  <c r="K35" i="133" s="1"/>
  <c r="F36" i="133"/>
  <c r="M33" i="133"/>
  <c r="O34" i="114" l="1"/>
  <c r="N35" i="114"/>
  <c r="L47" i="95"/>
  <c r="M46" i="95"/>
  <c r="F35" i="110"/>
  <c r="G34" i="110"/>
  <c r="L34" i="110"/>
  <c r="O40" i="147"/>
  <c r="H40" i="134"/>
  <c r="N91" i="110"/>
  <c r="O90" i="110"/>
  <c r="E103" i="110"/>
  <c r="M102" i="110"/>
  <c r="O41" i="148"/>
  <c r="L37" i="78"/>
  <c r="N37" i="78" s="1"/>
  <c r="O37" i="78" s="1"/>
  <c r="N36" i="78"/>
  <c r="O36" i="78" s="1"/>
  <c r="C39" i="78"/>
  <c r="F38" i="78"/>
  <c r="I38" i="78" s="1"/>
  <c r="B40" i="78"/>
  <c r="K39" i="78"/>
  <c r="K61" i="114"/>
  <c r="L61" i="114" s="1"/>
  <c r="M61" i="114" s="1"/>
  <c r="J61" i="114"/>
  <c r="Y61" i="114" s="1"/>
  <c r="F63" i="114"/>
  <c r="H62" i="114"/>
  <c r="I62" i="114" s="1"/>
  <c r="G62" i="114"/>
  <c r="G24" i="113"/>
  <c r="F25" i="113" s="1"/>
  <c r="Q43" i="113"/>
  <c r="P44" i="113"/>
  <c r="E47" i="91"/>
  <c r="G46" i="91"/>
  <c r="I44" i="91"/>
  <c r="J44" i="91" s="1"/>
  <c r="H45" i="91"/>
  <c r="M101" i="88"/>
  <c r="E102" i="88"/>
  <c r="N65" i="88"/>
  <c r="O64" i="88"/>
  <c r="F37" i="88"/>
  <c r="G36" i="88"/>
  <c r="K36" i="88" s="1"/>
  <c r="P36" i="88" s="1"/>
  <c r="L36" i="88"/>
  <c r="Q38" i="77"/>
  <c r="R38" i="77" s="1"/>
  <c r="L39" i="77"/>
  <c r="C40" i="77"/>
  <c r="K36" i="77"/>
  <c r="N36" i="77" s="1"/>
  <c r="S36" i="77" s="1"/>
  <c r="H37" i="77"/>
  <c r="O34" i="135"/>
  <c r="M34" i="135"/>
  <c r="N34" i="135" s="1"/>
  <c r="L35" i="135"/>
  <c r="K79" i="95"/>
  <c r="G80" i="95"/>
  <c r="H42" i="148"/>
  <c r="I41" i="148"/>
  <c r="J41" i="148" s="1"/>
  <c r="L41" i="147"/>
  <c r="M40" i="147"/>
  <c r="E43" i="147"/>
  <c r="G42" i="147"/>
  <c r="K42" i="147" s="1"/>
  <c r="F42" i="147"/>
  <c r="N40" i="148"/>
  <c r="L42" i="148"/>
  <c r="M41" i="148"/>
  <c r="N41" i="148" s="1"/>
  <c r="H41" i="147"/>
  <c r="O41" i="147" s="1"/>
  <c r="I40" i="147"/>
  <c r="J40" i="147" s="1"/>
  <c r="N39" i="147"/>
  <c r="E44" i="148"/>
  <c r="G43" i="148"/>
  <c r="K43" i="148" s="1"/>
  <c r="F43" i="148"/>
  <c r="L35" i="133"/>
  <c r="N35" i="133"/>
  <c r="J36" i="133"/>
  <c r="K36" i="133" s="1"/>
  <c r="F37" i="133"/>
  <c r="D56" i="93"/>
  <c r="E55" i="93"/>
  <c r="I24" i="113"/>
  <c r="J24" i="113" s="1"/>
  <c r="G39" i="135"/>
  <c r="K38" i="135"/>
  <c r="E55" i="111"/>
  <c r="V59" i="114"/>
  <c r="W59" i="114" s="1"/>
  <c r="U60" i="114"/>
  <c r="X59" i="114"/>
  <c r="J22" i="112"/>
  <c r="D37" i="133"/>
  <c r="E36" i="133"/>
  <c r="H38" i="135"/>
  <c r="I37" i="135"/>
  <c r="J37" i="135" s="1"/>
  <c r="E40" i="95"/>
  <c r="O39" i="95"/>
  <c r="F39" i="95"/>
  <c r="J39" i="95" s="1"/>
  <c r="N39" i="95" s="1"/>
  <c r="E41" i="134"/>
  <c r="F40" i="134"/>
  <c r="E39" i="135"/>
  <c r="F38" i="135"/>
  <c r="M34" i="133"/>
  <c r="D89" i="113"/>
  <c r="O59" i="114"/>
  <c r="P59" i="114" s="1"/>
  <c r="N60" i="114"/>
  <c r="G41" i="134"/>
  <c r="K41" i="134" s="1"/>
  <c r="H55" i="95"/>
  <c r="I54" i="95"/>
  <c r="G36" i="133"/>
  <c r="H35" i="133"/>
  <c r="I35" i="133" s="1"/>
  <c r="I39" i="134"/>
  <c r="J39" i="134" s="1"/>
  <c r="B115" i="77"/>
  <c r="L36" i="134"/>
  <c r="M35" i="134"/>
  <c r="N35" i="134" s="1"/>
  <c r="O35" i="134"/>
  <c r="O35" i="114" l="1"/>
  <c r="N36" i="114"/>
  <c r="O36" i="114" s="1"/>
  <c r="M47" i="95"/>
  <c r="L48" i="95"/>
  <c r="G35" i="110"/>
  <c r="L35" i="110"/>
  <c r="F36" i="110"/>
  <c r="T36" i="78"/>
  <c r="Q36" i="78"/>
  <c r="R36" i="78" s="1"/>
  <c r="P36" i="78"/>
  <c r="N92" i="110"/>
  <c r="O91" i="110"/>
  <c r="E104" i="110"/>
  <c r="M103" i="110"/>
  <c r="L38" i="78"/>
  <c r="S38" i="78" s="1"/>
  <c r="S37" i="78"/>
  <c r="F39" i="78"/>
  <c r="I39" i="78" s="1"/>
  <c r="L39" i="78" s="1"/>
  <c r="C40" i="78"/>
  <c r="B41" i="78"/>
  <c r="K40" i="78"/>
  <c r="J62" i="114"/>
  <c r="Y62" i="114" s="1"/>
  <c r="K62" i="114"/>
  <c r="L62" i="114" s="1"/>
  <c r="M62" i="114" s="1"/>
  <c r="F64" i="114"/>
  <c r="G63" i="114"/>
  <c r="H63" i="114"/>
  <c r="I63" i="114" s="1"/>
  <c r="P45" i="113"/>
  <c r="Q44" i="113"/>
  <c r="G47" i="91"/>
  <c r="E48" i="91"/>
  <c r="H46" i="91"/>
  <c r="I45" i="91"/>
  <c r="M102" i="88"/>
  <c r="E103" i="88"/>
  <c r="N66" i="88"/>
  <c r="O65" i="88"/>
  <c r="G37" i="88"/>
  <c r="K37" i="88" s="1"/>
  <c r="P37" i="88" s="1"/>
  <c r="L37" i="88"/>
  <c r="F38" i="88"/>
  <c r="Q39" i="77"/>
  <c r="R39" i="77" s="1"/>
  <c r="C41" i="77"/>
  <c r="L40" i="77"/>
  <c r="T37" i="78"/>
  <c r="P37" i="78"/>
  <c r="Q37" i="78"/>
  <c r="H38" i="77"/>
  <c r="K37" i="77"/>
  <c r="N37" i="77" s="1"/>
  <c r="S37" i="77" s="1"/>
  <c r="O35" i="135"/>
  <c r="M35" i="135"/>
  <c r="N35" i="135" s="1"/>
  <c r="L36" i="135"/>
  <c r="G81" i="95"/>
  <c r="K80" i="95"/>
  <c r="O42" i="148"/>
  <c r="E45" i="148"/>
  <c r="G44" i="148"/>
  <c r="F44" i="148"/>
  <c r="H42" i="147"/>
  <c r="I41" i="147"/>
  <c r="J41" i="147" s="1"/>
  <c r="N40" i="147"/>
  <c r="L42" i="147"/>
  <c r="M41" i="147"/>
  <c r="L43" i="148"/>
  <c r="M42" i="148"/>
  <c r="E44" i="147"/>
  <c r="G43" i="147"/>
  <c r="K43" i="147" s="1"/>
  <c r="F43" i="147"/>
  <c r="H43" i="148"/>
  <c r="I42" i="148"/>
  <c r="J42" i="148" s="1"/>
  <c r="L36" i="133"/>
  <c r="H41" i="134"/>
  <c r="I40" i="134"/>
  <c r="J40" i="134" s="1"/>
  <c r="G37" i="133"/>
  <c r="H36" i="133"/>
  <c r="I36" i="133" s="1"/>
  <c r="H56" i="95"/>
  <c r="I55" i="95"/>
  <c r="G42" i="134"/>
  <c r="K42" i="134" s="1"/>
  <c r="E40" i="135"/>
  <c r="F39" i="135"/>
  <c r="E41" i="95"/>
  <c r="O40" i="95"/>
  <c r="F40" i="95"/>
  <c r="J40" i="95" s="1"/>
  <c r="N40" i="95" s="1"/>
  <c r="H39" i="135"/>
  <c r="I38" i="135"/>
  <c r="J38" i="135" s="1"/>
  <c r="N36" i="133"/>
  <c r="D38" i="133"/>
  <c r="E37" i="133"/>
  <c r="D90" i="113"/>
  <c r="J37" i="133"/>
  <c r="K37" i="133" s="1"/>
  <c r="F38" i="133"/>
  <c r="L37" i="134"/>
  <c r="M36" i="134"/>
  <c r="N36" i="134" s="1"/>
  <c r="O36" i="134"/>
  <c r="B116" i="77"/>
  <c r="O60" i="114"/>
  <c r="P60" i="114" s="1"/>
  <c r="N61" i="114"/>
  <c r="I25" i="113"/>
  <c r="E42" i="134"/>
  <c r="F41" i="134"/>
  <c r="K22" i="112"/>
  <c r="I23" i="112" s="1"/>
  <c r="C25" i="113" s="1"/>
  <c r="E25" i="113" s="1"/>
  <c r="U61" i="114"/>
  <c r="V60" i="114"/>
  <c r="W60" i="114" s="1"/>
  <c r="X60" i="114"/>
  <c r="E56" i="111"/>
  <c r="L55" i="111"/>
  <c r="O55" i="111" s="1"/>
  <c r="G40" i="135"/>
  <c r="K39" i="135"/>
  <c r="D57" i="93"/>
  <c r="E56" i="93"/>
  <c r="M35" i="133"/>
  <c r="N38" i="78" l="1"/>
  <c r="O38" i="78" s="1"/>
  <c r="Q38" i="78" s="1"/>
  <c r="R38" i="78" s="1"/>
  <c r="L49" i="95"/>
  <c r="M48" i="95"/>
  <c r="G36" i="110"/>
  <c r="L36" i="110"/>
  <c r="F37" i="110"/>
  <c r="R37" i="78"/>
  <c r="K44" i="148"/>
  <c r="L44" i="148" s="1"/>
  <c r="E105" i="110"/>
  <c r="M104" i="110"/>
  <c r="N93" i="110"/>
  <c r="O92" i="110"/>
  <c r="J23" i="112"/>
  <c r="K23" i="112" s="1"/>
  <c r="I24" i="112" s="1"/>
  <c r="C26" i="113" s="1"/>
  <c r="E26" i="113" s="1"/>
  <c r="B26" i="113" s="1"/>
  <c r="F40" i="78"/>
  <c r="I40" i="78" s="1"/>
  <c r="L40" i="78" s="1"/>
  <c r="C41" i="78"/>
  <c r="K41" i="78"/>
  <c r="B42" i="78"/>
  <c r="N41" i="147"/>
  <c r="O42" i="147"/>
  <c r="J63" i="114"/>
  <c r="Y63" i="114" s="1"/>
  <c r="K63" i="114"/>
  <c r="L63" i="114" s="1"/>
  <c r="M63" i="114" s="1"/>
  <c r="F65" i="114"/>
  <c r="G64" i="114"/>
  <c r="H64" i="114"/>
  <c r="I64" i="114" s="1"/>
  <c r="J64" i="114" s="1"/>
  <c r="J25" i="113"/>
  <c r="Q45" i="113"/>
  <c r="P46" i="113"/>
  <c r="I46" i="91"/>
  <c r="H47" i="91"/>
  <c r="J45" i="91"/>
  <c r="E49" i="91"/>
  <c r="G48" i="91"/>
  <c r="E104" i="88"/>
  <c r="M103" i="88"/>
  <c r="N67" i="88"/>
  <c r="O66" i="88"/>
  <c r="G38" i="88"/>
  <c r="K38" i="88" s="1"/>
  <c r="P38" i="88" s="1"/>
  <c r="F39" i="88"/>
  <c r="L38" i="88"/>
  <c r="C42" i="77"/>
  <c r="L41" i="77"/>
  <c r="Q40" i="77"/>
  <c r="R40" i="77" s="1"/>
  <c r="S39" i="78"/>
  <c r="N39" i="78"/>
  <c r="O39" i="78" s="1"/>
  <c r="K38" i="77"/>
  <c r="N38" i="77" s="1"/>
  <c r="S38" i="77" s="1"/>
  <c r="H39" i="77"/>
  <c r="M36" i="135"/>
  <c r="O36" i="135"/>
  <c r="L37" i="135"/>
  <c r="G82" i="95"/>
  <c r="K81" i="95"/>
  <c r="O43" i="148"/>
  <c r="E45" i="147"/>
  <c r="G44" i="147"/>
  <c r="F44" i="147"/>
  <c r="H44" i="148"/>
  <c r="I43" i="148"/>
  <c r="J43" i="148" s="1"/>
  <c r="N42" i="148"/>
  <c r="M43" i="148"/>
  <c r="L43" i="147"/>
  <c r="M42" i="147"/>
  <c r="H43" i="147"/>
  <c r="I42" i="147"/>
  <c r="J42" i="147" s="1"/>
  <c r="E46" i="148"/>
  <c r="G45" i="148"/>
  <c r="K45" i="148" s="1"/>
  <c r="F45" i="148"/>
  <c r="L37" i="133"/>
  <c r="N37" i="133"/>
  <c r="D58" i="93"/>
  <c r="E57" i="93"/>
  <c r="G41" i="135"/>
  <c r="K40" i="135"/>
  <c r="E57" i="111"/>
  <c r="L56" i="111"/>
  <c r="O56" i="111" s="1"/>
  <c r="U62" i="114"/>
  <c r="V61" i="114"/>
  <c r="W61" i="114" s="1"/>
  <c r="X61" i="114"/>
  <c r="B117" i="77"/>
  <c r="J38" i="133"/>
  <c r="K38" i="133" s="1"/>
  <c r="F39" i="133"/>
  <c r="D39" i="133"/>
  <c r="E38" i="133"/>
  <c r="H40" i="135"/>
  <c r="I39" i="135"/>
  <c r="J39" i="135" s="1"/>
  <c r="E42" i="95"/>
  <c r="O41" i="95"/>
  <c r="F41" i="95"/>
  <c r="J41" i="95" s="1"/>
  <c r="N41" i="95" s="1"/>
  <c r="E41" i="135"/>
  <c r="F40" i="135"/>
  <c r="G38" i="133"/>
  <c r="H37" i="133"/>
  <c r="I37" i="133" s="1"/>
  <c r="D91" i="113"/>
  <c r="B25" i="113"/>
  <c r="G25" i="113"/>
  <c r="E43" i="134"/>
  <c r="F42" i="134"/>
  <c r="O61" i="114"/>
  <c r="P61" i="114" s="1"/>
  <c r="N62" i="114"/>
  <c r="L38" i="134"/>
  <c r="M37" i="134"/>
  <c r="N37" i="134" s="1"/>
  <c r="O37" i="134"/>
  <c r="G43" i="134"/>
  <c r="K43" i="134" s="1"/>
  <c r="H57" i="95"/>
  <c r="I56" i="95"/>
  <c r="H42" i="134"/>
  <c r="I41" i="134"/>
  <c r="J41" i="134" s="1"/>
  <c r="M36" i="133"/>
  <c r="O43" i="147" l="1"/>
  <c r="T38" i="78"/>
  <c r="P38" i="78"/>
  <c r="L50" i="95"/>
  <c r="M49" i="95"/>
  <c r="F38" i="110"/>
  <c r="G37" i="110"/>
  <c r="L37" i="110"/>
  <c r="N43" i="148"/>
  <c r="K44" i="147"/>
  <c r="L44" i="147" s="1"/>
  <c r="M105" i="110"/>
  <c r="E106" i="110"/>
  <c r="N94" i="110"/>
  <c r="O93" i="110"/>
  <c r="B43" i="78"/>
  <c r="K42" i="78"/>
  <c r="C42" i="78"/>
  <c r="F41" i="78"/>
  <c r="I41" i="78" s="1"/>
  <c r="L41" i="78" s="1"/>
  <c r="O44" i="148"/>
  <c r="N36" i="135"/>
  <c r="O38" i="134"/>
  <c r="K64" i="114"/>
  <c r="L64" i="114" s="1"/>
  <c r="M64" i="114" s="1"/>
  <c r="H65" i="114"/>
  <c r="I65" i="114" s="1"/>
  <c r="J65" i="114" s="1"/>
  <c r="G65" i="114"/>
  <c r="F66" i="114"/>
  <c r="P47" i="113"/>
  <c r="Q46" i="113"/>
  <c r="J46" i="91"/>
  <c r="G49" i="91"/>
  <c r="E50" i="91"/>
  <c r="H48" i="91"/>
  <c r="I47" i="91"/>
  <c r="E105" i="88"/>
  <c r="M104" i="88"/>
  <c r="N68" i="88"/>
  <c r="O67" i="88"/>
  <c r="G39" i="88"/>
  <c r="K39" i="88" s="1"/>
  <c r="P39" i="88" s="1"/>
  <c r="L39" i="88"/>
  <c r="F40" i="88"/>
  <c r="C43" i="77"/>
  <c r="L42" i="77"/>
  <c r="Q41" i="77"/>
  <c r="R41" i="77" s="1"/>
  <c r="N40" i="78"/>
  <c r="O40" i="78" s="1"/>
  <c r="S40" i="78"/>
  <c r="Q39" i="78"/>
  <c r="R39" i="78" s="1"/>
  <c r="T39" i="78"/>
  <c r="P39" i="78"/>
  <c r="H40" i="77"/>
  <c r="K39" i="77"/>
  <c r="N39" i="77" s="1"/>
  <c r="S39" i="77" s="1"/>
  <c r="M37" i="135"/>
  <c r="N37" i="135" s="1"/>
  <c r="O37" i="135"/>
  <c r="L38" i="135"/>
  <c r="K82" i="95"/>
  <c r="G83" i="95"/>
  <c r="H44" i="147"/>
  <c r="I43" i="147"/>
  <c r="J43" i="147" s="1"/>
  <c r="L45" i="148"/>
  <c r="M44" i="148"/>
  <c r="H45" i="148"/>
  <c r="I44" i="148"/>
  <c r="J44" i="148" s="1"/>
  <c r="E47" i="148"/>
  <c r="G46" i="148"/>
  <c r="K46" i="148" s="1"/>
  <c r="F46" i="148"/>
  <c r="N42" i="147"/>
  <c r="M43" i="147"/>
  <c r="E46" i="147"/>
  <c r="G45" i="147"/>
  <c r="K45" i="147" s="1"/>
  <c r="F45" i="147"/>
  <c r="L38" i="133"/>
  <c r="H43" i="134"/>
  <c r="I42" i="134"/>
  <c r="J42" i="134" s="1"/>
  <c r="H58" i="95"/>
  <c r="I57" i="95"/>
  <c r="G44" i="134"/>
  <c r="K44" i="134" s="1"/>
  <c r="L39" i="134"/>
  <c r="M38" i="134"/>
  <c r="N38" i="134" s="1"/>
  <c r="O62" i="114"/>
  <c r="P62" i="114" s="1"/>
  <c r="N63" i="114"/>
  <c r="E42" i="135"/>
  <c r="F41" i="135"/>
  <c r="I40" i="135"/>
  <c r="J40" i="135" s="1"/>
  <c r="H41" i="135"/>
  <c r="D40" i="133"/>
  <c r="E39" i="133"/>
  <c r="B118" i="77"/>
  <c r="J24" i="112"/>
  <c r="V62" i="114"/>
  <c r="W62" i="114" s="1"/>
  <c r="U63" i="114"/>
  <c r="X62" i="114"/>
  <c r="E58" i="111"/>
  <c r="L57" i="111"/>
  <c r="O57" i="111" s="1"/>
  <c r="K41" i="135"/>
  <c r="G42" i="135"/>
  <c r="E44" i="134"/>
  <c r="F43" i="134"/>
  <c r="F26" i="113"/>
  <c r="G26" i="113" s="1"/>
  <c r="G39" i="133"/>
  <c r="H38" i="133"/>
  <c r="I38" i="133" s="1"/>
  <c r="E43" i="95"/>
  <c r="O42" i="95"/>
  <c r="F42" i="95"/>
  <c r="J42" i="95" s="1"/>
  <c r="N42" i="95" s="1"/>
  <c r="N38" i="133"/>
  <c r="J39" i="133"/>
  <c r="K39" i="133" s="1"/>
  <c r="F40" i="133"/>
  <c r="D92" i="113"/>
  <c r="D59" i="93"/>
  <c r="E58" i="93"/>
  <c r="Y64" i="114"/>
  <c r="M37" i="133"/>
  <c r="N43" i="147" l="1"/>
  <c r="L51" i="95"/>
  <c r="M50" i="95"/>
  <c r="O45" i="148"/>
  <c r="F39" i="110"/>
  <c r="G38" i="110"/>
  <c r="L38" i="110"/>
  <c r="N95" i="110"/>
  <c r="O94" i="110"/>
  <c r="E107" i="110"/>
  <c r="M106" i="110"/>
  <c r="K65" i="114"/>
  <c r="L65" i="114" s="1"/>
  <c r="M65" i="114" s="1"/>
  <c r="K43" i="78"/>
  <c r="B44" i="78"/>
  <c r="C43" i="78"/>
  <c r="F42" i="78"/>
  <c r="I42" i="78" s="1"/>
  <c r="L42" i="78" s="1"/>
  <c r="O44" i="147"/>
  <c r="F67" i="114"/>
  <c r="G66" i="114"/>
  <c r="H66" i="114"/>
  <c r="I66" i="114" s="1"/>
  <c r="J66" i="114" s="1"/>
  <c r="Q47" i="113"/>
  <c r="P48" i="113"/>
  <c r="H49" i="91"/>
  <c r="I48" i="91"/>
  <c r="J47" i="91"/>
  <c r="G50" i="91"/>
  <c r="E51" i="91"/>
  <c r="E106" i="88"/>
  <c r="M105" i="88"/>
  <c r="N69" i="88"/>
  <c r="O68" i="88"/>
  <c r="L40" i="88"/>
  <c r="G40" i="88"/>
  <c r="K40" i="88" s="1"/>
  <c r="P40" i="88" s="1"/>
  <c r="F41" i="88"/>
  <c r="C44" i="77"/>
  <c r="L43" i="77"/>
  <c r="T40" i="78"/>
  <c r="P40" i="78"/>
  <c r="S41" i="78"/>
  <c r="N41" i="78"/>
  <c r="O41" i="78" s="1"/>
  <c r="Q40" i="78"/>
  <c r="R40" i="78" s="1"/>
  <c r="H41" i="77"/>
  <c r="K40" i="77"/>
  <c r="N40" i="77" s="1"/>
  <c r="S40" i="77" s="1"/>
  <c r="M38" i="135"/>
  <c r="N38" i="135" s="1"/>
  <c r="O38" i="135"/>
  <c r="L39" i="135"/>
  <c r="G84" i="95"/>
  <c r="K83" i="95"/>
  <c r="N44" i="148"/>
  <c r="E48" i="148"/>
  <c r="G47" i="148"/>
  <c r="F47" i="148"/>
  <c r="L46" i="148"/>
  <c r="M45" i="148"/>
  <c r="H45" i="147"/>
  <c r="I44" i="147"/>
  <c r="J44" i="147" s="1"/>
  <c r="E47" i="147"/>
  <c r="G46" i="147"/>
  <c r="K46" i="147" s="1"/>
  <c r="F46" i="147"/>
  <c r="L45" i="147"/>
  <c r="M44" i="147"/>
  <c r="H46" i="148"/>
  <c r="I45" i="148"/>
  <c r="J45" i="148" s="1"/>
  <c r="F27" i="113"/>
  <c r="L39" i="133"/>
  <c r="D60" i="93"/>
  <c r="E59" i="93"/>
  <c r="Y65" i="114"/>
  <c r="E44" i="95"/>
  <c r="O43" i="95"/>
  <c r="F43" i="95"/>
  <c r="J43" i="95" s="1"/>
  <c r="N43" i="95" s="1"/>
  <c r="E45" i="134"/>
  <c r="F44" i="134"/>
  <c r="G43" i="135"/>
  <c r="K42" i="135"/>
  <c r="D93" i="113"/>
  <c r="U64" i="114"/>
  <c r="V63" i="114"/>
  <c r="W63" i="114" s="1"/>
  <c r="X63" i="114"/>
  <c r="K24" i="112"/>
  <c r="I25" i="112" s="1"/>
  <c r="C27" i="113" s="1"/>
  <c r="E27" i="113" s="1"/>
  <c r="B27" i="113" s="1"/>
  <c r="B119" i="77"/>
  <c r="D41" i="133"/>
  <c r="E40" i="133"/>
  <c r="I41" i="135"/>
  <c r="J41" i="135" s="1"/>
  <c r="H42" i="135"/>
  <c r="O63" i="114"/>
  <c r="P63" i="114" s="1"/>
  <c r="N64" i="114"/>
  <c r="L40" i="134"/>
  <c r="M39" i="134"/>
  <c r="N39" i="134" s="1"/>
  <c r="O39" i="134"/>
  <c r="G45" i="134"/>
  <c r="K45" i="134" s="1"/>
  <c r="H59" i="95"/>
  <c r="I58" i="95"/>
  <c r="M38" i="133"/>
  <c r="J40" i="133"/>
  <c r="K40" i="133" s="1"/>
  <c r="F41" i="133"/>
  <c r="G40" i="133"/>
  <c r="H39" i="133"/>
  <c r="I39" i="133" s="1"/>
  <c r="I26" i="113"/>
  <c r="J26" i="113" s="1"/>
  <c r="E59" i="111"/>
  <c r="E60" i="111" s="1"/>
  <c r="L60" i="111" s="1"/>
  <c r="O60" i="111" s="1"/>
  <c r="L58" i="111"/>
  <c r="O58" i="111" s="1"/>
  <c r="N39" i="133"/>
  <c r="E43" i="135"/>
  <c r="F42" i="135"/>
  <c r="H44" i="134"/>
  <c r="I43" i="134"/>
  <c r="J43" i="134" s="1"/>
  <c r="M51" i="95" l="1"/>
  <c r="L52" i="95"/>
  <c r="F40" i="110"/>
  <c r="G39" i="110"/>
  <c r="L39" i="110"/>
  <c r="N44" i="147"/>
  <c r="O45" i="147"/>
  <c r="N96" i="110"/>
  <c r="O95" i="110"/>
  <c r="E108" i="110"/>
  <c r="M107" i="110"/>
  <c r="O46" i="148"/>
  <c r="F43" i="78"/>
  <c r="I43" i="78" s="1"/>
  <c r="C44" i="78"/>
  <c r="B45" i="78"/>
  <c r="K44" i="78"/>
  <c r="K66" i="114"/>
  <c r="L66" i="114" s="1"/>
  <c r="M66" i="114" s="1"/>
  <c r="G67" i="114"/>
  <c r="F68" i="114"/>
  <c r="H67" i="114"/>
  <c r="I67" i="114" s="1"/>
  <c r="P49" i="113"/>
  <c r="Q48" i="113"/>
  <c r="I49" i="91"/>
  <c r="H50" i="91"/>
  <c r="G51" i="91"/>
  <c r="E52" i="91"/>
  <c r="J48" i="91"/>
  <c r="E107" i="88"/>
  <c r="M106" i="88"/>
  <c r="N70" i="88"/>
  <c r="O69" i="88"/>
  <c r="L41" i="88"/>
  <c r="G41" i="88"/>
  <c r="K41" i="88" s="1"/>
  <c r="P41" i="88" s="1"/>
  <c r="F42" i="88"/>
  <c r="L44" i="77"/>
  <c r="C45" i="77"/>
  <c r="Q43" i="77"/>
  <c r="Q41" i="78"/>
  <c r="R41" i="78" s="1"/>
  <c r="P41" i="78"/>
  <c r="T41" i="78"/>
  <c r="N42" i="78"/>
  <c r="O42" i="78" s="1"/>
  <c r="S42" i="78"/>
  <c r="H42" i="77"/>
  <c r="K41" i="77"/>
  <c r="N41" i="77" s="1"/>
  <c r="S41" i="77" s="1"/>
  <c r="O39" i="135"/>
  <c r="M39" i="135"/>
  <c r="L40" i="135"/>
  <c r="K84" i="95"/>
  <c r="G85" i="95"/>
  <c r="K47" i="148"/>
  <c r="L47" i="148" s="1"/>
  <c r="H47" i="148"/>
  <c r="I46" i="148"/>
  <c r="J46" i="148" s="1"/>
  <c r="L46" i="147"/>
  <c r="M45" i="147"/>
  <c r="E48" i="147"/>
  <c r="G47" i="147"/>
  <c r="F47" i="147"/>
  <c r="H46" i="147"/>
  <c r="I45" i="147"/>
  <c r="J45" i="147" s="1"/>
  <c r="N45" i="148"/>
  <c r="M46" i="148"/>
  <c r="E49" i="148"/>
  <c r="G48" i="148"/>
  <c r="F48" i="148"/>
  <c r="L40" i="133"/>
  <c r="H45" i="134"/>
  <c r="I44" i="134"/>
  <c r="J44" i="134" s="1"/>
  <c r="E44" i="135"/>
  <c r="F43" i="135"/>
  <c r="D94" i="113"/>
  <c r="G41" i="133"/>
  <c r="H40" i="133"/>
  <c r="I40" i="133" s="1"/>
  <c r="J41" i="133"/>
  <c r="K41" i="133" s="1"/>
  <c r="F42" i="133"/>
  <c r="F43" i="133" s="1"/>
  <c r="H60" i="95"/>
  <c r="I59" i="95"/>
  <c r="G46" i="134"/>
  <c r="K46" i="134" s="1"/>
  <c r="O64" i="114"/>
  <c r="P64" i="114" s="1"/>
  <c r="N65" i="114"/>
  <c r="D42" i="133"/>
  <c r="E41" i="133"/>
  <c r="J25" i="112"/>
  <c r="E46" i="134"/>
  <c r="F45" i="134"/>
  <c r="D61" i="93"/>
  <c r="E60" i="93"/>
  <c r="G27" i="113"/>
  <c r="L59" i="111"/>
  <c r="O59" i="111" s="1"/>
  <c r="L41" i="134"/>
  <c r="M40" i="134"/>
  <c r="O40" i="134"/>
  <c r="H43" i="135"/>
  <c r="I42" i="135"/>
  <c r="J42" i="135" s="1"/>
  <c r="N40" i="133"/>
  <c r="B120" i="77"/>
  <c r="V64" i="114"/>
  <c r="W64" i="114" s="1"/>
  <c r="U65" i="114"/>
  <c r="X64" i="114"/>
  <c r="K43" i="135"/>
  <c r="G44" i="135"/>
  <c r="E45" i="95"/>
  <c r="O44" i="95"/>
  <c r="F44" i="95"/>
  <c r="J44" i="95" s="1"/>
  <c r="N44" i="95" s="1"/>
  <c r="Y66" i="114"/>
  <c r="M39" i="133"/>
  <c r="I27" i="113"/>
  <c r="J27" i="113" s="1"/>
  <c r="M52" i="95" l="1"/>
  <c r="L53" i="95"/>
  <c r="L40" i="110"/>
  <c r="G40" i="110"/>
  <c r="F41" i="110"/>
  <c r="O46" i="147"/>
  <c r="N46" i="148"/>
  <c r="Q42" i="78"/>
  <c r="R42" i="78" s="1"/>
  <c r="E109" i="110"/>
  <c r="M108" i="110"/>
  <c r="N97" i="110"/>
  <c r="O96" i="110"/>
  <c r="L43" i="78"/>
  <c r="N43" i="78" s="1"/>
  <c r="O43" i="78" s="1"/>
  <c r="K45" i="78"/>
  <c r="B46" i="78"/>
  <c r="C45" i="78"/>
  <c r="F44" i="78"/>
  <c r="I44" i="78" s="1"/>
  <c r="L44" i="78" s="1"/>
  <c r="N39" i="135"/>
  <c r="N40" i="134"/>
  <c r="K47" i="147"/>
  <c r="L47" i="147" s="1"/>
  <c r="J67" i="114"/>
  <c r="Y67" i="114" s="1"/>
  <c r="K67" i="114"/>
  <c r="L67" i="114" s="1"/>
  <c r="M67" i="114" s="1"/>
  <c r="G68" i="114"/>
  <c r="F69" i="114"/>
  <c r="H68" i="114"/>
  <c r="I68" i="114" s="1"/>
  <c r="J68" i="114" s="1"/>
  <c r="P50" i="113"/>
  <c r="Q49" i="113"/>
  <c r="J49" i="91"/>
  <c r="G52" i="91"/>
  <c r="E53" i="91"/>
  <c r="I50" i="91"/>
  <c r="H51" i="91"/>
  <c r="M107" i="88"/>
  <c r="E108" i="88"/>
  <c r="N71" i="88"/>
  <c r="O70" i="88"/>
  <c r="G42" i="88"/>
  <c r="K42" i="88" s="1"/>
  <c r="P42" i="88" s="1"/>
  <c r="F43" i="88"/>
  <c r="L42" i="88"/>
  <c r="Q44" i="77"/>
  <c r="C46" i="77"/>
  <c r="L45" i="77"/>
  <c r="T42" i="78"/>
  <c r="P42" i="78"/>
  <c r="S43" i="78"/>
  <c r="K42" i="77"/>
  <c r="N42" i="77" s="1"/>
  <c r="H43" i="77"/>
  <c r="M40" i="135"/>
  <c r="N40" i="135" s="1"/>
  <c r="O40" i="135"/>
  <c r="L41" i="135"/>
  <c r="G86" i="95"/>
  <c r="K85" i="95"/>
  <c r="O47" i="148"/>
  <c r="K48" i="148"/>
  <c r="L48" i="148" s="1"/>
  <c r="M47" i="148"/>
  <c r="N45" i="147"/>
  <c r="E50" i="148"/>
  <c r="G49" i="148"/>
  <c r="K49" i="148" s="1"/>
  <c r="F49" i="148"/>
  <c r="H47" i="147"/>
  <c r="I46" i="147"/>
  <c r="J46" i="147" s="1"/>
  <c r="E49" i="147"/>
  <c r="G48" i="147"/>
  <c r="F48" i="147"/>
  <c r="M46" i="147"/>
  <c r="H48" i="148"/>
  <c r="I47" i="148"/>
  <c r="J47" i="148" s="1"/>
  <c r="L41" i="133"/>
  <c r="N41" i="133"/>
  <c r="G45" i="135"/>
  <c r="K44" i="135"/>
  <c r="V65" i="114"/>
  <c r="W65" i="114" s="1"/>
  <c r="U66" i="114"/>
  <c r="X65" i="114"/>
  <c r="B121" i="77"/>
  <c r="H44" i="135"/>
  <c r="I43" i="135"/>
  <c r="J43" i="135" s="1"/>
  <c r="L42" i="134"/>
  <c r="M41" i="134"/>
  <c r="N41" i="134" s="1"/>
  <c r="O41" i="134"/>
  <c r="D95" i="113"/>
  <c r="F28" i="113"/>
  <c r="N66" i="114"/>
  <c r="O65" i="114"/>
  <c r="P65" i="114" s="1"/>
  <c r="H61" i="95"/>
  <c r="I60" i="95"/>
  <c r="E45" i="135"/>
  <c r="F44" i="135"/>
  <c r="H46" i="134"/>
  <c r="I45" i="134"/>
  <c r="J45" i="134" s="1"/>
  <c r="M40" i="133"/>
  <c r="E46" i="95"/>
  <c r="O45" i="95"/>
  <c r="F45" i="95"/>
  <c r="J45" i="95" s="1"/>
  <c r="N45" i="95" s="1"/>
  <c r="E61" i="111"/>
  <c r="D62" i="93"/>
  <c r="E61" i="93"/>
  <c r="E47" i="134"/>
  <c r="F46" i="134"/>
  <c r="K25" i="112"/>
  <c r="I26" i="112" s="1"/>
  <c r="C28" i="113" s="1"/>
  <c r="E28" i="113" s="1"/>
  <c r="B28" i="113" s="1"/>
  <c r="D43" i="133"/>
  <c r="E42" i="133"/>
  <c r="G47" i="134"/>
  <c r="J42" i="133"/>
  <c r="K42" i="133" s="1"/>
  <c r="G42" i="133"/>
  <c r="H41" i="133"/>
  <c r="I41" i="133" s="1"/>
  <c r="N46" i="147" l="1"/>
  <c r="N42" i="133"/>
  <c r="L54" i="95"/>
  <c r="M53" i="95"/>
  <c r="F42" i="110"/>
  <c r="L41" i="110"/>
  <c r="G41" i="110"/>
  <c r="K47" i="134"/>
  <c r="M109" i="110"/>
  <c r="E110" i="110"/>
  <c r="N98" i="110"/>
  <c r="O97" i="110"/>
  <c r="J26" i="112"/>
  <c r="K26" i="112" s="1"/>
  <c r="I27" i="112" s="1"/>
  <c r="C29" i="113" s="1"/>
  <c r="E29" i="113" s="1"/>
  <c r="B29" i="113" s="1"/>
  <c r="K46" i="78"/>
  <c r="B47" i="78"/>
  <c r="C46" i="78"/>
  <c r="F45" i="78"/>
  <c r="I45" i="78" s="1"/>
  <c r="L45" i="78" s="1"/>
  <c r="O47" i="147"/>
  <c r="K48" i="147"/>
  <c r="L48" i="147" s="1"/>
  <c r="K68" i="114"/>
  <c r="L68" i="114" s="1"/>
  <c r="M68" i="114" s="1"/>
  <c r="F70" i="114"/>
  <c r="H69" i="114"/>
  <c r="I69" i="114" s="1"/>
  <c r="J69" i="114" s="1"/>
  <c r="G69" i="114"/>
  <c r="Q50" i="113"/>
  <c r="P51" i="113"/>
  <c r="J50" i="91"/>
  <c r="H52" i="91"/>
  <c r="I51" i="91"/>
  <c r="G53" i="91"/>
  <c r="E54" i="91"/>
  <c r="M108" i="88"/>
  <c r="E109" i="88"/>
  <c r="N72" i="88"/>
  <c r="O71" i="88"/>
  <c r="F44" i="88"/>
  <c r="L43" i="88"/>
  <c r="G43" i="88"/>
  <c r="K43" i="88" s="1"/>
  <c r="P43" i="88" s="1"/>
  <c r="L46" i="77"/>
  <c r="C47" i="77"/>
  <c r="Q45" i="77"/>
  <c r="Q43" i="78"/>
  <c r="R43" i="78" s="1"/>
  <c r="P43" i="78"/>
  <c r="T43" i="78"/>
  <c r="N44" i="78"/>
  <c r="O44" i="78" s="1"/>
  <c r="S44" i="78"/>
  <c r="S42" i="77"/>
  <c r="O42" i="77"/>
  <c r="H44" i="77"/>
  <c r="K43" i="77"/>
  <c r="N43" i="77" s="1"/>
  <c r="S43" i="77" s="1"/>
  <c r="M41" i="135"/>
  <c r="N41" i="135" s="1"/>
  <c r="O41" i="135"/>
  <c r="L42" i="135"/>
  <c r="K86" i="95"/>
  <c r="G87" i="95"/>
  <c r="O48" i="148"/>
  <c r="H49" i="148"/>
  <c r="I48" i="148"/>
  <c r="J48" i="148" s="1"/>
  <c r="M47" i="147"/>
  <c r="E50" i="147"/>
  <c r="G49" i="147"/>
  <c r="K49" i="147" s="1"/>
  <c r="F49" i="147"/>
  <c r="H48" i="147"/>
  <c r="I47" i="147"/>
  <c r="J47" i="147" s="1"/>
  <c r="E51" i="148"/>
  <c r="G50" i="148"/>
  <c r="K50" i="148" s="1"/>
  <c r="F50" i="148"/>
  <c r="N47" i="148"/>
  <c r="L49" i="148"/>
  <c r="M48" i="148"/>
  <c r="L42" i="133"/>
  <c r="E48" i="134"/>
  <c r="F47" i="134"/>
  <c r="D96" i="113"/>
  <c r="E47" i="95"/>
  <c r="O46" i="95"/>
  <c r="F46" i="95"/>
  <c r="J46" i="95" s="1"/>
  <c r="N46" i="95" s="1"/>
  <c r="E46" i="135"/>
  <c r="F45" i="135"/>
  <c r="O66" i="114"/>
  <c r="P66" i="114" s="1"/>
  <c r="N67" i="114"/>
  <c r="G28" i="113"/>
  <c r="L43" i="134"/>
  <c r="M42" i="134"/>
  <c r="N42" i="134" s="1"/>
  <c r="O42" i="134"/>
  <c r="H45" i="135"/>
  <c r="I44" i="135"/>
  <c r="J44" i="135" s="1"/>
  <c r="B122" i="77"/>
  <c r="V66" i="114"/>
  <c r="W66" i="114" s="1"/>
  <c r="U67" i="114"/>
  <c r="X66" i="114"/>
  <c r="K45" i="135"/>
  <c r="G46" i="135"/>
  <c r="G43" i="133"/>
  <c r="H42" i="133"/>
  <c r="I42" i="133" s="1"/>
  <c r="J43" i="133"/>
  <c r="K43" i="133" s="1"/>
  <c r="F44" i="133"/>
  <c r="G48" i="134"/>
  <c r="K48" i="134" s="1"/>
  <c r="D44" i="133"/>
  <c r="E43" i="133"/>
  <c r="D63" i="93"/>
  <c r="E62" i="93"/>
  <c r="Y68" i="114"/>
  <c r="L61" i="111"/>
  <c r="O61" i="111" s="1"/>
  <c r="E62" i="111"/>
  <c r="H47" i="134"/>
  <c r="I46" i="134"/>
  <c r="J46" i="134" s="1"/>
  <c r="H62" i="95"/>
  <c r="I61" i="95"/>
  <c r="I28" i="113"/>
  <c r="J28" i="113" s="1"/>
  <c r="M41" i="133"/>
  <c r="L55" i="95" l="1"/>
  <c r="M54" i="95"/>
  <c r="L42" i="110"/>
  <c r="G42" i="110"/>
  <c r="F43" i="110"/>
  <c r="N99" i="110"/>
  <c r="O98" i="110"/>
  <c r="E111" i="110"/>
  <c r="M110" i="110"/>
  <c r="N48" i="148"/>
  <c r="F46" i="78"/>
  <c r="I46" i="78" s="1"/>
  <c r="C47" i="78"/>
  <c r="K47" i="78"/>
  <c r="B48" i="78"/>
  <c r="O48" i="147"/>
  <c r="K69" i="114"/>
  <c r="L69" i="114" s="1"/>
  <c r="M69" i="114" s="1"/>
  <c r="F71" i="114"/>
  <c r="G70" i="114"/>
  <c r="H70" i="114"/>
  <c r="I70" i="114" s="1"/>
  <c r="K70" i="114" s="1"/>
  <c r="Q51" i="113"/>
  <c r="P52" i="113"/>
  <c r="I52" i="91"/>
  <c r="H53" i="91"/>
  <c r="E55" i="91"/>
  <c r="G54" i="91"/>
  <c r="J51" i="91"/>
  <c r="M109" i="88"/>
  <c r="E110" i="88"/>
  <c r="N73" i="88"/>
  <c r="O72" i="88"/>
  <c r="G44" i="88"/>
  <c r="K44" i="88" s="1"/>
  <c r="P44" i="88" s="1"/>
  <c r="L44" i="88"/>
  <c r="F45" i="88"/>
  <c r="Q46" i="77"/>
  <c r="C48" i="77"/>
  <c r="L47" i="77"/>
  <c r="N45" i="78"/>
  <c r="O45" i="78" s="1"/>
  <c r="S45" i="78"/>
  <c r="Q44" i="78"/>
  <c r="R44" i="78" s="1"/>
  <c r="P44" i="78"/>
  <c r="T44" i="78"/>
  <c r="K44" i="77"/>
  <c r="N44" i="77" s="1"/>
  <c r="S44" i="77" s="1"/>
  <c r="H45" i="77"/>
  <c r="P43" i="77"/>
  <c r="P42" i="77"/>
  <c r="T49" i="77"/>
  <c r="T43" i="77"/>
  <c r="T46" i="77"/>
  <c r="T47" i="77"/>
  <c r="T48" i="77"/>
  <c r="T50" i="77"/>
  <c r="T42" i="77"/>
  <c r="T44" i="77"/>
  <c r="T45" i="77"/>
  <c r="Q42" i="77"/>
  <c r="M42" i="135"/>
  <c r="N42" i="135" s="1"/>
  <c r="O42" i="135"/>
  <c r="L43" i="135"/>
  <c r="K87" i="95"/>
  <c r="G88" i="95"/>
  <c r="O49" i="148"/>
  <c r="N47" i="147"/>
  <c r="L50" i="148"/>
  <c r="M49" i="148"/>
  <c r="E52" i="148"/>
  <c r="G51" i="148"/>
  <c r="K51" i="148" s="1"/>
  <c r="F51" i="148"/>
  <c r="H49" i="147"/>
  <c r="I48" i="147"/>
  <c r="J48" i="147" s="1"/>
  <c r="E51" i="147"/>
  <c r="G50" i="147"/>
  <c r="K50" i="147" s="1"/>
  <c r="F50" i="147"/>
  <c r="L49" i="147"/>
  <c r="M48" i="147"/>
  <c r="H50" i="148"/>
  <c r="I49" i="148"/>
  <c r="J49" i="148" s="1"/>
  <c r="L43" i="133"/>
  <c r="N43" i="133"/>
  <c r="H63" i="95"/>
  <c r="I62" i="95"/>
  <c r="E63" i="111"/>
  <c r="L62" i="111"/>
  <c r="O62" i="111" s="1"/>
  <c r="D64" i="93"/>
  <c r="E63" i="93"/>
  <c r="G49" i="134"/>
  <c r="K49" i="134" s="1"/>
  <c r="G44" i="133"/>
  <c r="H43" i="133"/>
  <c r="I43" i="133" s="1"/>
  <c r="K46" i="135"/>
  <c r="G47" i="135"/>
  <c r="U68" i="114"/>
  <c r="V67" i="114"/>
  <c r="W67" i="114" s="1"/>
  <c r="X67" i="114"/>
  <c r="H46" i="135"/>
  <c r="I45" i="135"/>
  <c r="J45" i="135" s="1"/>
  <c r="L44" i="134"/>
  <c r="M43" i="134"/>
  <c r="N43" i="134" s="1"/>
  <c r="O43" i="134"/>
  <c r="Y69" i="114"/>
  <c r="E49" i="134"/>
  <c r="F48" i="134"/>
  <c r="H48" i="134"/>
  <c r="I47" i="134"/>
  <c r="J47" i="134" s="1"/>
  <c r="D97" i="113"/>
  <c r="D45" i="133"/>
  <c r="E44" i="133"/>
  <c r="J44" i="133"/>
  <c r="K44" i="133" s="1"/>
  <c r="F45" i="133"/>
  <c r="B123" i="77"/>
  <c r="F29" i="113"/>
  <c r="N68" i="114"/>
  <c r="O67" i="114"/>
  <c r="P67" i="114" s="1"/>
  <c r="E47" i="135"/>
  <c r="F46" i="135"/>
  <c r="E48" i="95"/>
  <c r="O47" i="95"/>
  <c r="F47" i="95"/>
  <c r="J47" i="95" s="1"/>
  <c r="N47" i="95" s="1"/>
  <c r="J27" i="112"/>
  <c r="M42" i="133"/>
  <c r="O50" i="148" l="1"/>
  <c r="L56" i="95"/>
  <c r="M55" i="95"/>
  <c r="G43" i="110"/>
  <c r="L43" i="110"/>
  <c r="F44" i="110"/>
  <c r="Q45" i="78"/>
  <c r="R45" i="78" s="1"/>
  <c r="N100" i="110"/>
  <c r="O99" i="110"/>
  <c r="E112" i="110"/>
  <c r="M111" i="110"/>
  <c r="L46" i="78"/>
  <c r="S46" i="78" s="1"/>
  <c r="B49" i="78"/>
  <c r="K48" i="78"/>
  <c r="C48" i="78"/>
  <c r="F47" i="78"/>
  <c r="I47" i="78" s="1"/>
  <c r="L47" i="78" s="1"/>
  <c r="N48" i="147"/>
  <c r="O49" i="147"/>
  <c r="J70" i="114"/>
  <c r="Y70" i="114" s="1"/>
  <c r="L70" i="114"/>
  <c r="M70" i="114" s="1"/>
  <c r="G71" i="114"/>
  <c r="F72" i="114"/>
  <c r="H71" i="114"/>
  <c r="I71" i="114" s="1"/>
  <c r="Q52" i="113"/>
  <c r="P53" i="113"/>
  <c r="G55" i="91"/>
  <c r="E56" i="91"/>
  <c r="J52" i="91"/>
  <c r="I53" i="91"/>
  <c r="H54" i="91"/>
  <c r="M110" i="88"/>
  <c r="E111" i="88"/>
  <c r="N74" i="88"/>
  <c r="O73" i="88"/>
  <c r="F46" i="88"/>
  <c r="L45" i="88"/>
  <c r="G45" i="88"/>
  <c r="K45" i="88" s="1"/>
  <c r="P45" i="88" s="1"/>
  <c r="C49" i="77"/>
  <c r="L48" i="77"/>
  <c r="Q47" i="77"/>
  <c r="R47" i="77" s="1"/>
  <c r="P45" i="78"/>
  <c r="T45" i="78"/>
  <c r="R43" i="77"/>
  <c r="R44" i="77"/>
  <c r="R42" i="77"/>
  <c r="R45" i="77"/>
  <c r="R46" i="77"/>
  <c r="H46" i="77"/>
  <c r="K45" i="77"/>
  <c r="N45" i="77" s="1"/>
  <c r="S45" i="77" s="1"/>
  <c r="M43" i="135"/>
  <c r="N43" i="135" s="1"/>
  <c r="O43" i="135"/>
  <c r="L44" i="135"/>
  <c r="K88" i="95"/>
  <c r="G89" i="95"/>
  <c r="H51" i="148"/>
  <c r="I50" i="148"/>
  <c r="J50" i="148" s="1"/>
  <c r="N49" i="148"/>
  <c r="L50" i="147"/>
  <c r="M49" i="147"/>
  <c r="E52" i="147"/>
  <c r="G51" i="147"/>
  <c r="K51" i="147" s="1"/>
  <c r="F51" i="147"/>
  <c r="H50" i="147"/>
  <c r="I49" i="147"/>
  <c r="J49" i="147" s="1"/>
  <c r="E53" i="148"/>
  <c r="G52" i="148"/>
  <c r="K52" i="148" s="1"/>
  <c r="F52" i="148"/>
  <c r="L51" i="148"/>
  <c r="M50" i="148"/>
  <c r="L44" i="133"/>
  <c r="N44" i="133"/>
  <c r="E48" i="135"/>
  <c r="F47" i="135"/>
  <c r="O68" i="114"/>
  <c r="P68" i="114" s="1"/>
  <c r="N69" i="114"/>
  <c r="I29" i="113"/>
  <c r="J29" i="113" s="1"/>
  <c r="F46" i="133"/>
  <c r="J45" i="133"/>
  <c r="K45" i="133" s="1"/>
  <c r="H49" i="134"/>
  <c r="I48" i="134"/>
  <c r="J48" i="134" s="1"/>
  <c r="H47" i="135"/>
  <c r="I46" i="135"/>
  <c r="J46" i="135" s="1"/>
  <c r="V68" i="114"/>
  <c r="W68" i="114" s="1"/>
  <c r="U69" i="114"/>
  <c r="X68" i="114"/>
  <c r="D98" i="113"/>
  <c r="K27" i="112"/>
  <c r="I28" i="112" s="1"/>
  <c r="C30" i="113" s="1"/>
  <c r="E30" i="113" s="1"/>
  <c r="E49" i="95"/>
  <c r="O48" i="95"/>
  <c r="F48" i="95"/>
  <c r="J48" i="95" s="1"/>
  <c r="N48" i="95" s="1"/>
  <c r="G29" i="113"/>
  <c r="B124" i="77"/>
  <c r="D46" i="133"/>
  <c r="E45" i="133"/>
  <c r="E50" i="134"/>
  <c r="F49" i="134"/>
  <c r="L45" i="134"/>
  <c r="M44" i="134"/>
  <c r="O44" i="134"/>
  <c r="G48" i="135"/>
  <c r="K47" i="135"/>
  <c r="G45" i="133"/>
  <c r="H44" i="133"/>
  <c r="I44" i="133" s="1"/>
  <c r="G50" i="134"/>
  <c r="D65" i="93"/>
  <c r="E64" i="93"/>
  <c r="L63" i="111"/>
  <c r="O63" i="111" s="1"/>
  <c r="E64" i="111"/>
  <c r="H64" i="95"/>
  <c r="I63" i="95"/>
  <c r="M43" i="133"/>
  <c r="N46" i="78" l="1"/>
  <c r="O46" i="78" s="1"/>
  <c r="Q46" i="78" s="1"/>
  <c r="R46" i="78" s="1"/>
  <c r="J28" i="112"/>
  <c r="M56" i="95"/>
  <c r="L57" i="95"/>
  <c r="O50" i="147"/>
  <c r="N45" i="133"/>
  <c r="L44" i="110"/>
  <c r="G44" i="110"/>
  <c r="F45" i="110"/>
  <c r="N101" i="110"/>
  <c r="O100" i="110"/>
  <c r="M112" i="110"/>
  <c r="E113" i="110"/>
  <c r="C49" i="78"/>
  <c r="F48" i="78"/>
  <c r="I48" i="78" s="1"/>
  <c r="B50" i="78"/>
  <c r="K49" i="78"/>
  <c r="N44" i="134"/>
  <c r="N50" i="148"/>
  <c r="K71" i="114"/>
  <c r="L71" i="114" s="1"/>
  <c r="M71" i="114" s="1"/>
  <c r="J71" i="114"/>
  <c r="Y71" i="114" s="1"/>
  <c r="F73" i="114"/>
  <c r="H72" i="114"/>
  <c r="I72" i="114" s="1"/>
  <c r="G72" i="114"/>
  <c r="Q53" i="113"/>
  <c r="P54" i="113"/>
  <c r="J53" i="91"/>
  <c r="H55" i="91"/>
  <c r="I54" i="91"/>
  <c r="E57" i="91"/>
  <c r="G56" i="91"/>
  <c r="E112" i="88"/>
  <c r="M111" i="88"/>
  <c r="N75" i="88"/>
  <c r="O74" i="88"/>
  <c r="G46" i="88"/>
  <c r="K46" i="88" s="1"/>
  <c r="P46" i="88" s="1"/>
  <c r="L46" i="88"/>
  <c r="F47" i="88"/>
  <c r="C50" i="77"/>
  <c r="L49" i="77"/>
  <c r="Q48" i="77"/>
  <c r="R48" i="77" s="1"/>
  <c r="S47" i="78"/>
  <c r="N47" i="78"/>
  <c r="O47" i="78" s="1"/>
  <c r="T46" i="78"/>
  <c r="H47" i="77"/>
  <c r="K46" i="77"/>
  <c r="N46" i="77" s="1"/>
  <c r="S46" i="77" s="1"/>
  <c r="M44" i="135"/>
  <c r="N44" i="135" s="1"/>
  <c r="O44" i="135"/>
  <c r="L45" i="135"/>
  <c r="G90" i="95"/>
  <c r="K89" i="95"/>
  <c r="O51" i="148"/>
  <c r="L52" i="148"/>
  <c r="M51" i="148"/>
  <c r="E54" i="148"/>
  <c r="G53" i="148"/>
  <c r="K53" i="148" s="1"/>
  <c r="F53" i="148"/>
  <c r="H51" i="147"/>
  <c r="I50" i="147"/>
  <c r="J50" i="147" s="1"/>
  <c r="E53" i="147"/>
  <c r="G52" i="147"/>
  <c r="K52" i="147" s="1"/>
  <c r="F52" i="147"/>
  <c r="L51" i="147"/>
  <c r="M50" i="147"/>
  <c r="H52" i="148"/>
  <c r="I51" i="148"/>
  <c r="J51" i="148" s="1"/>
  <c r="N49" i="147"/>
  <c r="L45" i="133"/>
  <c r="H65" i="95"/>
  <c r="I64" i="95"/>
  <c r="D99" i="113"/>
  <c r="D66" i="93"/>
  <c r="E65" i="93"/>
  <c r="E51" i="134"/>
  <c r="F50" i="134"/>
  <c r="B125" i="77"/>
  <c r="K28" i="112"/>
  <c r="I29" i="112" s="1"/>
  <c r="C31" i="113" s="1"/>
  <c r="H31" i="113" s="1"/>
  <c r="H50" i="134"/>
  <c r="I49" i="134"/>
  <c r="J49" i="134" s="1"/>
  <c r="J46" i="133"/>
  <c r="K46" i="133" s="1"/>
  <c r="F47" i="133"/>
  <c r="E65" i="111"/>
  <c r="L64" i="111"/>
  <c r="O64" i="111" s="1"/>
  <c r="K50" i="134"/>
  <c r="G51" i="134"/>
  <c r="G46" i="133"/>
  <c r="H45" i="133"/>
  <c r="I45" i="133" s="1"/>
  <c r="G49" i="135"/>
  <c r="K48" i="135"/>
  <c r="L46" i="134"/>
  <c r="M45" i="134"/>
  <c r="N45" i="134" s="1"/>
  <c r="O45" i="134"/>
  <c r="D47" i="133"/>
  <c r="E46" i="133"/>
  <c r="F30" i="113"/>
  <c r="G30" i="113" s="1"/>
  <c r="E50" i="95"/>
  <c r="O49" i="95"/>
  <c r="F49" i="95"/>
  <c r="J49" i="95" s="1"/>
  <c r="N49" i="95" s="1"/>
  <c r="B30" i="113"/>
  <c r="E299" i="113"/>
  <c r="U70" i="114"/>
  <c r="V69" i="114"/>
  <c r="W69" i="114" s="1"/>
  <c r="X69" i="114"/>
  <c r="H48" i="135"/>
  <c r="I47" i="135"/>
  <c r="J47" i="135" s="1"/>
  <c r="N70" i="114"/>
  <c r="O69" i="114"/>
  <c r="P69" i="114" s="1"/>
  <c r="E49" i="135"/>
  <c r="F48" i="135"/>
  <c r="M44" i="133"/>
  <c r="O52" i="148" l="1"/>
  <c r="P46" i="78"/>
  <c r="L58" i="95"/>
  <c r="M57" i="95"/>
  <c r="F46" i="110"/>
  <c r="L45" i="110"/>
  <c r="G45" i="110"/>
  <c r="Q47" i="78"/>
  <c r="R47" i="78" s="1"/>
  <c r="N102" i="110"/>
  <c r="O101" i="110"/>
  <c r="E114" i="110"/>
  <c r="M113" i="110"/>
  <c r="L48" i="78"/>
  <c r="S48" i="78" s="1"/>
  <c r="K50" i="78"/>
  <c r="B51" i="78"/>
  <c r="C50" i="78"/>
  <c r="F49" i="78"/>
  <c r="I49" i="78" s="1"/>
  <c r="L49" i="78" s="1"/>
  <c r="N50" i="147"/>
  <c r="O51" i="147"/>
  <c r="K72" i="114"/>
  <c r="L72" i="114" s="1"/>
  <c r="M72" i="114" s="1"/>
  <c r="J72" i="114"/>
  <c r="Y72" i="114" s="1"/>
  <c r="F74" i="114"/>
  <c r="G73" i="114"/>
  <c r="H73" i="114"/>
  <c r="H74" i="114" s="1"/>
  <c r="P55" i="113"/>
  <c r="Q54" i="113"/>
  <c r="G57" i="91"/>
  <c r="E58" i="91"/>
  <c r="H56" i="91"/>
  <c r="I55" i="91"/>
  <c r="J54" i="91"/>
  <c r="M112" i="88"/>
  <c r="E113" i="88"/>
  <c r="N76" i="88"/>
  <c r="O75" i="88"/>
  <c r="G47" i="88"/>
  <c r="K47" i="88" s="1"/>
  <c r="P47" i="88" s="1"/>
  <c r="F48" i="88"/>
  <c r="L47" i="88"/>
  <c r="Q49" i="77"/>
  <c r="R49" i="77" s="1"/>
  <c r="L50" i="77"/>
  <c r="C51" i="77"/>
  <c r="T47" i="78"/>
  <c r="P47" i="78"/>
  <c r="H48" i="77"/>
  <c r="K47" i="77"/>
  <c r="N47" i="77" s="1"/>
  <c r="S47" i="77" s="1"/>
  <c r="M45" i="135"/>
  <c r="N45" i="135" s="1"/>
  <c r="O45" i="135"/>
  <c r="L46" i="135"/>
  <c r="G91" i="95"/>
  <c r="K90" i="95"/>
  <c r="L52" i="147"/>
  <c r="M51" i="147"/>
  <c r="E54" i="147"/>
  <c r="G53" i="147"/>
  <c r="K53" i="147" s="1"/>
  <c r="F53" i="147"/>
  <c r="H52" i="147"/>
  <c r="I51" i="147"/>
  <c r="J51" i="147" s="1"/>
  <c r="E55" i="148"/>
  <c r="G54" i="148"/>
  <c r="K54" i="148" s="1"/>
  <c r="F54" i="148"/>
  <c r="L53" i="148"/>
  <c r="M52" i="148"/>
  <c r="H53" i="148"/>
  <c r="I52" i="148"/>
  <c r="J52" i="148" s="1"/>
  <c r="N51" i="148"/>
  <c r="F31" i="113"/>
  <c r="L46" i="133"/>
  <c r="N46" i="133"/>
  <c r="E50" i="135"/>
  <c r="F49" i="135"/>
  <c r="E51" i="95"/>
  <c r="O50" i="95"/>
  <c r="F50" i="95"/>
  <c r="J50" i="95" s="1"/>
  <c r="N50" i="95" s="1"/>
  <c r="L47" i="134"/>
  <c r="M46" i="134"/>
  <c r="N46" i="134" s="1"/>
  <c r="O46" i="134"/>
  <c r="G47" i="133"/>
  <c r="H46" i="133"/>
  <c r="I46" i="133" s="1"/>
  <c r="D100" i="113"/>
  <c r="J47" i="133"/>
  <c r="K47" i="133" s="1"/>
  <c r="F48" i="133"/>
  <c r="J29" i="112"/>
  <c r="H66" i="95"/>
  <c r="I65" i="95"/>
  <c r="M45" i="133"/>
  <c r="N71" i="114"/>
  <c r="O70" i="114"/>
  <c r="P70" i="114" s="1"/>
  <c r="H49" i="135"/>
  <c r="I48" i="135"/>
  <c r="J48" i="135" s="1"/>
  <c r="U71" i="114"/>
  <c r="V70" i="114"/>
  <c r="W70" i="114" s="1"/>
  <c r="X70" i="114"/>
  <c r="I30" i="113"/>
  <c r="J30" i="113" s="1"/>
  <c r="D48" i="133"/>
  <c r="E47" i="133"/>
  <c r="K49" i="135"/>
  <c r="G50" i="135"/>
  <c r="K51" i="134"/>
  <c r="G52" i="134"/>
  <c r="L65" i="111"/>
  <c r="O65" i="111" s="1"/>
  <c r="E66" i="111"/>
  <c r="H51" i="134"/>
  <c r="I50" i="134"/>
  <c r="J50" i="134" s="1"/>
  <c r="B31" i="113"/>
  <c r="B126" i="77"/>
  <c r="E52" i="134"/>
  <c r="F51" i="134"/>
  <c r="D67" i="93"/>
  <c r="E66" i="93"/>
  <c r="N48" i="78" l="1"/>
  <c r="O48" i="78" s="1"/>
  <c r="T48" i="78" s="1"/>
  <c r="L59" i="95"/>
  <c r="M58" i="95"/>
  <c r="F47" i="110"/>
  <c r="L46" i="110"/>
  <c r="G46" i="110"/>
  <c r="O53" i="148"/>
  <c r="O52" i="147"/>
  <c r="N103" i="110"/>
  <c r="O102" i="110"/>
  <c r="E115" i="110"/>
  <c r="M114" i="110"/>
  <c r="I73" i="114"/>
  <c r="K73" i="114" s="1"/>
  <c r="L73" i="114" s="1"/>
  <c r="M73" i="114" s="1"/>
  <c r="K51" i="78"/>
  <c r="B52" i="78"/>
  <c r="F50" i="78"/>
  <c r="I50" i="78" s="1"/>
  <c r="L50" i="78" s="1"/>
  <c r="C51" i="78"/>
  <c r="F75" i="114"/>
  <c r="G74" i="114"/>
  <c r="Q55" i="113"/>
  <c r="P56" i="113"/>
  <c r="I56" i="91"/>
  <c r="H57" i="91"/>
  <c r="J55" i="91"/>
  <c r="G58" i="91"/>
  <c r="E59" i="91"/>
  <c r="E114" i="88"/>
  <c r="M113" i="88"/>
  <c r="N77" i="88"/>
  <c r="O76" i="88"/>
  <c r="L48" i="88"/>
  <c r="F49" i="88"/>
  <c r="G48" i="88"/>
  <c r="K48" i="88" s="1"/>
  <c r="P48" i="88" s="1"/>
  <c r="L51" i="77"/>
  <c r="C52" i="77"/>
  <c r="Q50" i="77"/>
  <c r="R50" i="77" s="1"/>
  <c r="S49" i="78"/>
  <c r="N49" i="78"/>
  <c r="O49" i="78" s="1"/>
  <c r="P48" i="78"/>
  <c r="H49" i="77"/>
  <c r="K48" i="77"/>
  <c r="N48" i="77" s="1"/>
  <c r="S48" i="77" s="1"/>
  <c r="M46" i="135"/>
  <c r="N46" i="135" s="1"/>
  <c r="O46" i="135"/>
  <c r="L47" i="135"/>
  <c r="G92" i="95"/>
  <c r="K91" i="95"/>
  <c r="L54" i="148"/>
  <c r="M53" i="148"/>
  <c r="E56" i="148"/>
  <c r="G55" i="148"/>
  <c r="K55" i="148" s="1"/>
  <c r="F55" i="148"/>
  <c r="H53" i="147"/>
  <c r="I52" i="147"/>
  <c r="J52" i="147" s="1"/>
  <c r="E55" i="147"/>
  <c r="G54" i="147"/>
  <c r="F54" i="147"/>
  <c r="L53" i="147"/>
  <c r="M52" i="147"/>
  <c r="H54" i="148"/>
  <c r="I53" i="148"/>
  <c r="J53" i="148" s="1"/>
  <c r="N52" i="148"/>
  <c r="N51" i="147"/>
  <c r="L47" i="133"/>
  <c r="N47" i="133"/>
  <c r="H52" i="134"/>
  <c r="I51" i="134"/>
  <c r="J51" i="134" s="1"/>
  <c r="D101" i="113"/>
  <c r="H50" i="135"/>
  <c r="I49" i="135"/>
  <c r="J49" i="135" s="1"/>
  <c r="N72" i="114"/>
  <c r="O71" i="114"/>
  <c r="P71" i="114" s="1"/>
  <c r="H67" i="95"/>
  <c r="I66" i="95"/>
  <c r="K29" i="112"/>
  <c r="I30" i="112" s="1"/>
  <c r="C32" i="113" s="1"/>
  <c r="H32" i="113" s="1"/>
  <c r="F49" i="133"/>
  <c r="J48" i="133"/>
  <c r="K48" i="133" s="1"/>
  <c r="G48" i="133"/>
  <c r="H47" i="133"/>
  <c r="I47" i="133" s="1"/>
  <c r="E52" i="95"/>
  <c r="O51" i="95"/>
  <c r="F51" i="95"/>
  <c r="J51" i="95" s="1"/>
  <c r="N51" i="95" s="1"/>
  <c r="M46" i="133"/>
  <c r="I31" i="113"/>
  <c r="D68" i="93"/>
  <c r="E67" i="93"/>
  <c r="E53" i="134"/>
  <c r="F52" i="134"/>
  <c r="B127" i="77"/>
  <c r="L66" i="111"/>
  <c r="O66" i="111" s="1"/>
  <c r="E67" i="111"/>
  <c r="G53" i="134"/>
  <c r="K52" i="134"/>
  <c r="G51" i="135"/>
  <c r="K50" i="135"/>
  <c r="D49" i="133"/>
  <c r="E48" i="133"/>
  <c r="U72" i="114"/>
  <c r="V71" i="114"/>
  <c r="W71" i="114" s="1"/>
  <c r="X71" i="114"/>
  <c r="L48" i="134"/>
  <c r="M47" i="134"/>
  <c r="N47" i="134" s="1"/>
  <c r="O47" i="134"/>
  <c r="E51" i="135"/>
  <c r="F50" i="135"/>
  <c r="G31" i="113"/>
  <c r="O54" i="148" l="1"/>
  <c r="Q48" i="78"/>
  <c r="R48" i="78" s="1"/>
  <c r="K54" i="147"/>
  <c r="L60" i="95"/>
  <c r="M59" i="95"/>
  <c r="G47" i="110"/>
  <c r="L47" i="110"/>
  <c r="F48" i="110"/>
  <c r="N104" i="110"/>
  <c r="O103" i="110"/>
  <c r="M115" i="110"/>
  <c r="E116" i="110"/>
  <c r="J30" i="112"/>
  <c r="I74" i="114"/>
  <c r="J73" i="114"/>
  <c r="Y73" i="114" s="1"/>
  <c r="Q49" i="78"/>
  <c r="R49" i="78" s="1"/>
  <c r="F51" i="78"/>
  <c r="I51" i="78" s="1"/>
  <c r="C52" i="78"/>
  <c r="K52" i="78"/>
  <c r="B53" i="78"/>
  <c r="N52" i="147"/>
  <c r="O53" i="147"/>
  <c r="F76" i="114"/>
  <c r="G75" i="114"/>
  <c r="Q56" i="113"/>
  <c r="P57" i="113"/>
  <c r="J31" i="113"/>
  <c r="J56" i="91"/>
  <c r="G59" i="91"/>
  <c r="E60" i="91"/>
  <c r="H58" i="91"/>
  <c r="I57" i="91"/>
  <c r="E115" i="88"/>
  <c r="M114" i="88"/>
  <c r="N78" i="88"/>
  <c r="O77" i="88"/>
  <c r="L49" i="88"/>
  <c r="F50" i="88"/>
  <c r="G49" i="88"/>
  <c r="K49" i="88" s="1"/>
  <c r="P49" i="88" s="1"/>
  <c r="L52" i="77"/>
  <c r="C53" i="77"/>
  <c r="T49" i="78"/>
  <c r="P49" i="78"/>
  <c r="S50" i="78"/>
  <c r="N50" i="78"/>
  <c r="O50" i="78" s="1"/>
  <c r="K49" i="77"/>
  <c r="N49" i="77" s="1"/>
  <c r="S49" i="77" s="1"/>
  <c r="H50" i="77"/>
  <c r="M47" i="135"/>
  <c r="N47" i="135" s="1"/>
  <c r="O47" i="135"/>
  <c r="L48" i="135"/>
  <c r="K92" i="95"/>
  <c r="G93" i="95"/>
  <c r="L54" i="147"/>
  <c r="M53" i="147"/>
  <c r="E56" i="147"/>
  <c r="G55" i="147"/>
  <c r="K55" i="147" s="1"/>
  <c r="F55" i="147"/>
  <c r="H54" i="147"/>
  <c r="I53" i="147"/>
  <c r="J53" i="147" s="1"/>
  <c r="E57" i="148"/>
  <c r="G56" i="148"/>
  <c r="K56" i="148" s="1"/>
  <c r="F56" i="148"/>
  <c r="L55" i="148"/>
  <c r="M54" i="148"/>
  <c r="H55" i="148"/>
  <c r="I54" i="148"/>
  <c r="J54" i="148" s="1"/>
  <c r="N53" i="148"/>
  <c r="L48" i="133"/>
  <c r="N48" i="133"/>
  <c r="L49" i="134"/>
  <c r="M48" i="134"/>
  <c r="N48" i="134" s="1"/>
  <c r="O48" i="134"/>
  <c r="U73" i="114"/>
  <c r="V72" i="114"/>
  <c r="W72" i="114" s="1"/>
  <c r="X72" i="114"/>
  <c r="G52" i="135"/>
  <c r="K51" i="135"/>
  <c r="K53" i="134"/>
  <c r="G54" i="134"/>
  <c r="D102" i="113"/>
  <c r="B128" i="77"/>
  <c r="E53" i="95"/>
  <c r="O52" i="95"/>
  <c r="F52" i="95"/>
  <c r="J52" i="95" s="1"/>
  <c r="N52" i="95" s="1"/>
  <c r="J49" i="133"/>
  <c r="K49" i="133" s="1"/>
  <c r="F50" i="133"/>
  <c r="K30" i="112"/>
  <c r="I31" i="112" s="1"/>
  <c r="C33" i="113" s="1"/>
  <c r="H33" i="113" s="1"/>
  <c r="B33" i="113" s="1"/>
  <c r="H68" i="95"/>
  <c r="I67" i="95"/>
  <c r="H51" i="135"/>
  <c r="I50" i="135"/>
  <c r="J50" i="135" s="1"/>
  <c r="H53" i="134"/>
  <c r="I52" i="134"/>
  <c r="J52" i="134" s="1"/>
  <c r="F32" i="113"/>
  <c r="E52" i="135"/>
  <c r="F51" i="135"/>
  <c r="D50" i="133"/>
  <c r="E49" i="133"/>
  <c r="L67" i="111"/>
  <c r="O67" i="111" s="1"/>
  <c r="E68" i="111"/>
  <c r="E54" i="134"/>
  <c r="F53" i="134"/>
  <c r="D69" i="93"/>
  <c r="E68" i="93"/>
  <c r="G49" i="133"/>
  <c r="H48" i="133"/>
  <c r="I48" i="133" s="1"/>
  <c r="B32" i="113"/>
  <c r="N73" i="114"/>
  <c r="O72" i="114"/>
  <c r="P72" i="114" s="1"/>
  <c r="M47" i="133"/>
  <c r="L61" i="95" l="1"/>
  <c r="M60" i="95"/>
  <c r="G48" i="110"/>
  <c r="L48" i="110"/>
  <c r="F49" i="110"/>
  <c r="O55" i="148"/>
  <c r="N105" i="110"/>
  <c r="O104" i="110"/>
  <c r="E117" i="110"/>
  <c r="M116" i="110"/>
  <c r="I75" i="114"/>
  <c r="J74" i="114"/>
  <c r="Y74" i="114" s="1"/>
  <c r="K74" i="114"/>
  <c r="L74" i="114" s="1"/>
  <c r="N74" i="114" s="1"/>
  <c r="J31" i="112"/>
  <c r="L51" i="78"/>
  <c r="N51" i="78" s="1"/>
  <c r="O51" i="78" s="1"/>
  <c r="F52" i="78"/>
  <c r="I52" i="78" s="1"/>
  <c r="L52" i="78" s="1"/>
  <c r="C53" i="78"/>
  <c r="B54" i="78"/>
  <c r="K53" i="78"/>
  <c r="O54" i="147"/>
  <c r="G76" i="114"/>
  <c r="F77" i="114"/>
  <c r="P58" i="113"/>
  <c r="Q57" i="113"/>
  <c r="I58" i="91"/>
  <c r="H59" i="91"/>
  <c r="J57" i="91"/>
  <c r="E61" i="91"/>
  <c r="G60" i="91"/>
  <c r="E116" i="88"/>
  <c r="M115" i="88"/>
  <c r="N79" i="88"/>
  <c r="O78" i="88"/>
  <c r="G50" i="88"/>
  <c r="K50" i="88" s="1"/>
  <c r="P50" i="88" s="1"/>
  <c r="F51" i="88"/>
  <c r="L50" i="88"/>
  <c r="C54" i="77"/>
  <c r="L53" i="77"/>
  <c r="T50" i="78"/>
  <c r="P50" i="78"/>
  <c r="Q50" i="78"/>
  <c r="K50" i="77"/>
  <c r="N50" i="77" s="1"/>
  <c r="S50" i="77" s="1"/>
  <c r="H51" i="77"/>
  <c r="M48" i="135"/>
  <c r="N48" i="135" s="1"/>
  <c r="O48" i="135"/>
  <c r="L49" i="135"/>
  <c r="K93" i="95"/>
  <c r="G94" i="95"/>
  <c r="L56" i="148"/>
  <c r="M55" i="148"/>
  <c r="E58" i="148"/>
  <c r="G57" i="148"/>
  <c r="K57" i="148" s="1"/>
  <c r="F57" i="148"/>
  <c r="H55" i="147"/>
  <c r="I54" i="147"/>
  <c r="J54" i="147" s="1"/>
  <c r="L55" i="147"/>
  <c r="M54" i="147"/>
  <c r="H56" i="148"/>
  <c r="I55" i="148"/>
  <c r="J55" i="148" s="1"/>
  <c r="N54" i="148"/>
  <c r="E57" i="147"/>
  <c r="G56" i="147"/>
  <c r="F56" i="147"/>
  <c r="N53" i="147"/>
  <c r="L49" i="133"/>
  <c r="G50" i="133"/>
  <c r="H49" i="133"/>
  <c r="I49" i="133" s="1"/>
  <c r="L68" i="111"/>
  <c r="O68" i="111" s="1"/>
  <c r="E69" i="111"/>
  <c r="D51" i="133"/>
  <c r="E50" i="133"/>
  <c r="I32" i="113"/>
  <c r="J32" i="113" s="1"/>
  <c r="H54" i="134"/>
  <c r="I53" i="134"/>
  <c r="J53" i="134" s="1"/>
  <c r="H69" i="95"/>
  <c r="I68" i="95"/>
  <c r="K31" i="112"/>
  <c r="I32" i="112" s="1"/>
  <c r="C34" i="113" s="1"/>
  <c r="H34" i="113" s="1"/>
  <c r="J50" i="133"/>
  <c r="K50" i="133" s="1"/>
  <c r="F51" i="133"/>
  <c r="K54" i="134"/>
  <c r="G55" i="134"/>
  <c r="U74" i="114"/>
  <c r="V73" i="114"/>
  <c r="W73" i="114" s="1"/>
  <c r="X73" i="114"/>
  <c r="M48" i="133"/>
  <c r="O73" i="114"/>
  <c r="P73" i="114" s="1"/>
  <c r="D70" i="93"/>
  <c r="E69" i="93"/>
  <c r="E55" i="134"/>
  <c r="F54" i="134"/>
  <c r="D103" i="113"/>
  <c r="N49" i="133"/>
  <c r="E53" i="135"/>
  <c r="F52" i="135"/>
  <c r="G32" i="113"/>
  <c r="H52" i="135"/>
  <c r="I51" i="135"/>
  <c r="J51" i="135" s="1"/>
  <c r="E54" i="95"/>
  <c r="O53" i="95"/>
  <c r="F53" i="95"/>
  <c r="J53" i="95" s="1"/>
  <c r="N53" i="95" s="1"/>
  <c r="B129" i="77"/>
  <c r="K52" i="135"/>
  <c r="G53" i="135"/>
  <c r="L50" i="134"/>
  <c r="M49" i="134"/>
  <c r="N49" i="134" s="1"/>
  <c r="O49" i="134"/>
  <c r="S51" i="78" l="1"/>
  <c r="K56" i="147"/>
  <c r="L56" i="147" s="1"/>
  <c r="L62" i="95"/>
  <c r="M61" i="95"/>
  <c r="F50" i="110"/>
  <c r="L49" i="110"/>
  <c r="G49" i="110"/>
  <c r="N54" i="147"/>
  <c r="N106" i="110"/>
  <c r="O105" i="110"/>
  <c r="M117" i="110"/>
  <c r="E118" i="110"/>
  <c r="I76" i="114"/>
  <c r="J75" i="114"/>
  <c r="Y75" i="114" s="1"/>
  <c r="K75" i="114"/>
  <c r="L75" i="114" s="1"/>
  <c r="N75" i="114" s="1"/>
  <c r="Q51" i="78"/>
  <c r="R51" i="78" s="1"/>
  <c r="C54" i="78"/>
  <c r="F53" i="78"/>
  <c r="I53" i="78" s="1"/>
  <c r="K54" i="78"/>
  <c r="B55" i="78"/>
  <c r="O56" i="148"/>
  <c r="O55" i="147"/>
  <c r="G77" i="114"/>
  <c r="F78" i="114"/>
  <c r="Q58" i="113"/>
  <c r="P59" i="113"/>
  <c r="E62" i="91"/>
  <c r="G61" i="91"/>
  <c r="I59" i="91"/>
  <c r="H60" i="91"/>
  <c r="J58" i="91"/>
  <c r="M116" i="88"/>
  <c r="E117" i="88"/>
  <c r="N80" i="88"/>
  <c r="O79" i="88"/>
  <c r="L51" i="88"/>
  <c r="G51" i="88"/>
  <c r="K51" i="88" s="1"/>
  <c r="P51" i="88" s="1"/>
  <c r="F52" i="88"/>
  <c r="L54" i="77"/>
  <c r="C55" i="77"/>
  <c r="N52" i="78"/>
  <c r="O52" i="78" s="1"/>
  <c r="Q52" i="78" s="1"/>
  <c r="S52" i="78"/>
  <c r="T51" i="78"/>
  <c r="P51" i="78"/>
  <c r="R50" i="78"/>
  <c r="K51" i="77"/>
  <c r="N51" i="77" s="1"/>
  <c r="H52" i="77"/>
  <c r="M49" i="135"/>
  <c r="N49" i="135" s="1"/>
  <c r="O49" i="135"/>
  <c r="L50" i="135"/>
  <c r="K94" i="95"/>
  <c r="G95" i="95"/>
  <c r="E58" i="147"/>
  <c r="G57" i="147"/>
  <c r="K57" i="147" s="1"/>
  <c r="F57" i="147"/>
  <c r="M55" i="147"/>
  <c r="H56" i="147"/>
  <c r="I55" i="147"/>
  <c r="J55" i="147" s="1"/>
  <c r="E59" i="148"/>
  <c r="G58" i="148"/>
  <c r="K58" i="148" s="1"/>
  <c r="F58" i="148"/>
  <c r="L57" i="148"/>
  <c r="M56" i="148"/>
  <c r="H57" i="148"/>
  <c r="I56" i="148"/>
  <c r="J56" i="148" s="1"/>
  <c r="N55" i="148"/>
  <c r="L50" i="133"/>
  <c r="N50" i="133"/>
  <c r="G54" i="135"/>
  <c r="K53" i="135"/>
  <c r="L51" i="134"/>
  <c r="M50" i="134"/>
  <c r="N50" i="134" s="1"/>
  <c r="O50" i="134"/>
  <c r="B130" i="77"/>
  <c r="O54" i="95"/>
  <c r="E55" i="95"/>
  <c r="F54" i="95"/>
  <c r="J54" i="95" s="1"/>
  <c r="N54" i="95" s="1"/>
  <c r="H53" i="135"/>
  <c r="I52" i="135"/>
  <c r="J52" i="135" s="1"/>
  <c r="F33" i="113"/>
  <c r="E54" i="135"/>
  <c r="F53" i="135"/>
  <c r="D71" i="93"/>
  <c r="E70" i="93"/>
  <c r="J32" i="112"/>
  <c r="L69" i="111"/>
  <c r="O69" i="111" s="1"/>
  <c r="E70" i="111"/>
  <c r="M49" i="133"/>
  <c r="E56" i="134"/>
  <c r="F55" i="134"/>
  <c r="O74" i="114"/>
  <c r="P74" i="114" s="1"/>
  <c r="U75" i="114"/>
  <c r="V74" i="114"/>
  <c r="W74" i="114" s="1"/>
  <c r="X74" i="114"/>
  <c r="G56" i="134"/>
  <c r="K55" i="134"/>
  <c r="F52" i="133"/>
  <c r="J51" i="133"/>
  <c r="K51" i="133" s="1"/>
  <c r="B34" i="113"/>
  <c r="H70" i="95"/>
  <c r="I69" i="95"/>
  <c r="H55" i="134"/>
  <c r="I54" i="134"/>
  <c r="J54" i="134" s="1"/>
  <c r="D52" i="133"/>
  <c r="E51" i="133"/>
  <c r="D104" i="113"/>
  <c r="G51" i="133"/>
  <c r="H50" i="133"/>
  <c r="I50" i="133" s="1"/>
  <c r="M62" i="95" l="1"/>
  <c r="L63" i="95"/>
  <c r="F51" i="110"/>
  <c r="G50" i="110"/>
  <c r="L50" i="110"/>
  <c r="O56" i="147"/>
  <c r="M118" i="110"/>
  <c r="E119" i="110"/>
  <c r="N107" i="110"/>
  <c r="O106" i="110"/>
  <c r="J76" i="114"/>
  <c r="Y76" i="114" s="1"/>
  <c r="K76" i="114"/>
  <c r="L76" i="114" s="1"/>
  <c r="N76" i="114" s="1"/>
  <c r="I77" i="114"/>
  <c r="O57" i="148"/>
  <c r="L53" i="78"/>
  <c r="N53" i="78" s="1"/>
  <c r="O53" i="78" s="1"/>
  <c r="F54" i="78"/>
  <c r="I54" i="78" s="1"/>
  <c r="L54" i="78" s="1"/>
  <c r="C55" i="78"/>
  <c r="B56" i="78"/>
  <c r="K55" i="78"/>
  <c r="G78" i="114"/>
  <c r="F79" i="114"/>
  <c r="P60" i="113"/>
  <c r="Q59" i="113"/>
  <c r="J59" i="91"/>
  <c r="E63" i="91"/>
  <c r="G62" i="91"/>
  <c r="I60" i="91"/>
  <c r="H61" i="91"/>
  <c r="M117" i="88"/>
  <c r="E118" i="88"/>
  <c r="N81" i="88"/>
  <c r="O80" i="88"/>
  <c r="L52" i="88"/>
  <c r="G52" i="88"/>
  <c r="K52" i="88" s="1"/>
  <c r="P52" i="88" s="1"/>
  <c r="F53" i="88"/>
  <c r="C56" i="77"/>
  <c r="L55" i="77"/>
  <c r="R52" i="78"/>
  <c r="P52" i="78"/>
  <c r="T52" i="78"/>
  <c r="O51" i="77"/>
  <c r="S51" i="77"/>
  <c r="H53" i="77"/>
  <c r="K52" i="77"/>
  <c r="N52" i="77" s="1"/>
  <c r="O50" i="135"/>
  <c r="M50" i="135"/>
  <c r="N50" i="135" s="1"/>
  <c r="L51" i="135"/>
  <c r="K95" i="95"/>
  <c r="G96" i="95"/>
  <c r="N56" i="148"/>
  <c r="L57" i="147"/>
  <c r="M56" i="147"/>
  <c r="H58" i="148"/>
  <c r="I57" i="148"/>
  <c r="J57" i="148" s="1"/>
  <c r="L58" i="148"/>
  <c r="M57" i="148"/>
  <c r="E60" i="148"/>
  <c r="G59" i="148"/>
  <c r="F59" i="148"/>
  <c r="H57" i="147"/>
  <c r="I56" i="147"/>
  <c r="J56" i="147" s="1"/>
  <c r="N55" i="147"/>
  <c r="E59" i="147"/>
  <c r="G58" i="147"/>
  <c r="K58" i="147" s="1"/>
  <c r="F58" i="147"/>
  <c r="L51" i="133"/>
  <c r="G52" i="133"/>
  <c r="H51" i="133"/>
  <c r="I51" i="133" s="1"/>
  <c r="N51" i="133"/>
  <c r="H71" i="95"/>
  <c r="I70" i="95"/>
  <c r="J52" i="133"/>
  <c r="K52" i="133" s="1"/>
  <c r="F53" i="133"/>
  <c r="D105" i="113"/>
  <c r="K32" i="112"/>
  <c r="I33" i="112" s="1"/>
  <c r="C35" i="113" s="1"/>
  <c r="H35" i="113" s="1"/>
  <c r="D72" i="93"/>
  <c r="E71" i="93"/>
  <c r="E55" i="135"/>
  <c r="F54" i="135"/>
  <c r="I33" i="113"/>
  <c r="J33" i="113" s="1"/>
  <c r="H54" i="135"/>
  <c r="I53" i="135"/>
  <c r="J53" i="135" s="1"/>
  <c r="B131" i="77"/>
  <c r="K54" i="135"/>
  <c r="G55" i="135"/>
  <c r="M50" i="133"/>
  <c r="D53" i="133"/>
  <c r="E52" i="133"/>
  <c r="H56" i="134"/>
  <c r="I55" i="134"/>
  <c r="J55" i="134" s="1"/>
  <c r="G57" i="134"/>
  <c r="K56" i="134"/>
  <c r="U76" i="114"/>
  <c r="V75" i="114"/>
  <c r="W75" i="114" s="1"/>
  <c r="X75" i="114"/>
  <c r="O75" i="114"/>
  <c r="P75" i="114" s="1"/>
  <c r="E57" i="134"/>
  <c r="F56" i="134"/>
  <c r="E71" i="111"/>
  <c r="L70" i="111"/>
  <c r="O70" i="111" s="1"/>
  <c r="G33" i="113"/>
  <c r="E56" i="95"/>
  <c r="O55" i="95"/>
  <c r="F55" i="95"/>
  <c r="J55" i="95" s="1"/>
  <c r="N55" i="95" s="1"/>
  <c r="L52" i="134"/>
  <c r="M51" i="134"/>
  <c r="N51" i="134" s="1"/>
  <c r="O51" i="134"/>
  <c r="S53" i="78" l="1"/>
  <c r="M63" i="95"/>
  <c r="L64" i="95"/>
  <c r="L51" i="110"/>
  <c r="F52" i="110"/>
  <c r="G51" i="110"/>
  <c r="O57" i="147"/>
  <c r="N108" i="110"/>
  <c r="O107" i="110"/>
  <c r="M119" i="110"/>
  <c r="E120" i="110"/>
  <c r="J33" i="112"/>
  <c r="I78" i="114"/>
  <c r="K77" i="114"/>
  <c r="L77" i="114" s="1"/>
  <c r="M77" i="114" s="1"/>
  <c r="U77" i="114" s="1"/>
  <c r="J77" i="114"/>
  <c r="Y77" i="114" s="1"/>
  <c r="F55" i="78"/>
  <c r="I55" i="78" s="1"/>
  <c r="L55" i="78" s="1"/>
  <c r="C56" i="78"/>
  <c r="B57" i="78"/>
  <c r="K56" i="78"/>
  <c r="G79" i="114"/>
  <c r="F80" i="114"/>
  <c r="V76" i="114"/>
  <c r="W76" i="114" s="1"/>
  <c r="P61" i="113"/>
  <c r="Q60" i="113"/>
  <c r="H62" i="91"/>
  <c r="I61" i="91"/>
  <c r="J60" i="91"/>
  <c r="G63" i="91"/>
  <c r="E64" i="91"/>
  <c r="M118" i="88"/>
  <c r="E119" i="88"/>
  <c r="N82" i="88"/>
  <c r="O81" i="88"/>
  <c r="G53" i="88"/>
  <c r="K53" i="88" s="1"/>
  <c r="P53" i="88" s="1"/>
  <c r="L53" i="88"/>
  <c r="F54" i="88"/>
  <c r="L56" i="77"/>
  <c r="C57" i="77"/>
  <c r="N54" i="78"/>
  <c r="O54" i="78" s="1"/>
  <c r="S54" i="78"/>
  <c r="P53" i="78"/>
  <c r="T53" i="78"/>
  <c r="Q53" i="78"/>
  <c r="H54" i="77"/>
  <c r="K53" i="77"/>
  <c r="N53" i="77" s="1"/>
  <c r="T51" i="77"/>
  <c r="P51" i="77"/>
  <c r="Q51" i="77"/>
  <c r="R51" i="77" s="1"/>
  <c r="O52" i="77"/>
  <c r="S52" i="77"/>
  <c r="M51" i="135"/>
  <c r="N51" i="135" s="1"/>
  <c r="O51" i="135"/>
  <c r="L52" i="135"/>
  <c r="G97" i="95"/>
  <c r="K96" i="95"/>
  <c r="K59" i="148"/>
  <c r="L59" i="148" s="1"/>
  <c r="O58" i="148"/>
  <c r="H58" i="147"/>
  <c r="I57" i="147"/>
  <c r="J57" i="147" s="1"/>
  <c r="E61" i="148"/>
  <c r="G60" i="148"/>
  <c r="F60" i="148"/>
  <c r="M58" i="148"/>
  <c r="N56" i="147"/>
  <c r="E60" i="147"/>
  <c r="G59" i="147"/>
  <c r="F59" i="147"/>
  <c r="N57" i="148"/>
  <c r="H59" i="148"/>
  <c r="I58" i="148"/>
  <c r="J58" i="148" s="1"/>
  <c r="L58" i="147"/>
  <c r="M57" i="147"/>
  <c r="N57" i="147" s="1"/>
  <c r="L52" i="133"/>
  <c r="N52" i="133"/>
  <c r="L53" i="134"/>
  <c r="M52" i="134"/>
  <c r="N52" i="134" s="1"/>
  <c r="O52" i="134"/>
  <c r="L71" i="111"/>
  <c r="O71" i="111" s="1"/>
  <c r="E72" i="111"/>
  <c r="O76" i="114"/>
  <c r="P76" i="114" s="1"/>
  <c r="X76" i="114"/>
  <c r="K57" i="134"/>
  <c r="G58" i="134"/>
  <c r="H57" i="134"/>
  <c r="I56" i="134"/>
  <c r="J56" i="134" s="1"/>
  <c r="H55" i="135"/>
  <c r="I54" i="135"/>
  <c r="J54" i="135" s="1"/>
  <c r="E56" i="135"/>
  <c r="F55" i="135"/>
  <c r="D73" i="93"/>
  <c r="E72" i="93"/>
  <c r="K33" i="112"/>
  <c r="I34" i="112" s="1"/>
  <c r="C36" i="113" s="1"/>
  <c r="H36" i="113" s="1"/>
  <c r="B36" i="113" s="1"/>
  <c r="H72" i="95"/>
  <c r="I71" i="95"/>
  <c r="G53" i="133"/>
  <c r="H52" i="133"/>
  <c r="I52" i="133" s="1"/>
  <c r="M51" i="133"/>
  <c r="F34" i="113"/>
  <c r="G34" i="113" s="1"/>
  <c r="E57" i="95"/>
  <c r="O56" i="95"/>
  <c r="F56" i="95"/>
  <c r="J56" i="95" s="1"/>
  <c r="N56" i="95" s="1"/>
  <c r="D106" i="113"/>
  <c r="E58" i="134"/>
  <c r="F57" i="134"/>
  <c r="D54" i="133"/>
  <c r="E53" i="133"/>
  <c r="K55" i="135"/>
  <c r="G56" i="135"/>
  <c r="B132" i="77"/>
  <c r="B35" i="113"/>
  <c r="J53" i="133"/>
  <c r="K53" i="133" s="1"/>
  <c r="F54" i="133"/>
  <c r="K60" i="148" l="1"/>
  <c r="M64" i="95"/>
  <c r="L65" i="95"/>
  <c r="G52" i="110"/>
  <c r="F53" i="110"/>
  <c r="L52" i="110"/>
  <c r="M120" i="110"/>
  <c r="E121" i="110"/>
  <c r="N109" i="110"/>
  <c r="O108" i="110"/>
  <c r="N77" i="114"/>
  <c r="O77" i="114" s="1"/>
  <c r="P77" i="114" s="1"/>
  <c r="J78" i="114"/>
  <c r="Y78" i="114" s="1"/>
  <c r="K78" i="114"/>
  <c r="L78" i="114" s="1"/>
  <c r="M78" i="114" s="1"/>
  <c r="U78" i="114" s="1"/>
  <c r="I79" i="114"/>
  <c r="K57" i="78"/>
  <c r="B58" i="78"/>
  <c r="C57" i="78"/>
  <c r="F56" i="78"/>
  <c r="I56" i="78" s="1"/>
  <c r="L56" i="78" s="1"/>
  <c r="Q54" i="78"/>
  <c r="R54" i="78" s="1"/>
  <c r="K59" i="147"/>
  <c r="O58" i="147"/>
  <c r="O59" i="148"/>
  <c r="G80" i="114"/>
  <c r="F81" i="114"/>
  <c r="Q61" i="113"/>
  <c r="P62" i="113"/>
  <c r="J61" i="91"/>
  <c r="E65" i="91"/>
  <c r="G64" i="91"/>
  <c r="H63" i="91"/>
  <c r="I62" i="91"/>
  <c r="M119" i="88"/>
  <c r="E120" i="88"/>
  <c r="N83" i="88"/>
  <c r="O82" i="88"/>
  <c r="L54" i="88"/>
  <c r="G54" i="88"/>
  <c r="K54" i="88" s="1"/>
  <c r="P54" i="88" s="1"/>
  <c r="F55" i="88"/>
  <c r="C58" i="77"/>
  <c r="L57" i="77"/>
  <c r="P54" i="78"/>
  <c r="T54" i="78"/>
  <c r="R53" i="78"/>
  <c r="S55" i="78"/>
  <c r="N55" i="78"/>
  <c r="O55" i="78" s="1"/>
  <c r="H55" i="77"/>
  <c r="K54" i="77"/>
  <c r="N54" i="77" s="1"/>
  <c r="S53" i="77"/>
  <c r="O53" i="77"/>
  <c r="Q52" i="77"/>
  <c r="R52" i="77" s="1"/>
  <c r="T52" i="77"/>
  <c r="P52" i="77"/>
  <c r="O52" i="135"/>
  <c r="M52" i="135"/>
  <c r="N52" i="135" s="1"/>
  <c r="L53" i="135"/>
  <c r="G98" i="95"/>
  <c r="K97" i="95"/>
  <c r="H60" i="148"/>
  <c r="I59" i="148"/>
  <c r="J59" i="148" s="1"/>
  <c r="E61" i="147"/>
  <c r="G60" i="147"/>
  <c r="F60" i="147"/>
  <c r="N58" i="148"/>
  <c r="E62" i="148"/>
  <c r="G61" i="148"/>
  <c r="K61" i="148" s="1"/>
  <c r="F61" i="148"/>
  <c r="L59" i="147"/>
  <c r="M58" i="147"/>
  <c r="L60" i="148"/>
  <c r="M59" i="148"/>
  <c r="H59" i="147"/>
  <c r="O59" i="147" s="1"/>
  <c r="I58" i="147"/>
  <c r="J58" i="147" s="1"/>
  <c r="L53" i="133"/>
  <c r="N53" i="133"/>
  <c r="F35" i="113"/>
  <c r="G35" i="113" s="1"/>
  <c r="B133" i="77"/>
  <c r="G57" i="135"/>
  <c r="K56" i="135"/>
  <c r="D55" i="133"/>
  <c r="E54" i="133"/>
  <c r="G54" i="133"/>
  <c r="H53" i="133"/>
  <c r="I53" i="133" s="1"/>
  <c r="J34" i="112"/>
  <c r="G59" i="134"/>
  <c r="K58" i="134"/>
  <c r="V77" i="114"/>
  <c r="W77" i="114" s="1"/>
  <c r="X77" i="114"/>
  <c r="D107" i="113"/>
  <c r="J54" i="133"/>
  <c r="K54" i="133" s="1"/>
  <c r="F55" i="133"/>
  <c r="J55" i="133" s="1"/>
  <c r="E59" i="134"/>
  <c r="F58" i="134"/>
  <c r="O57" i="95"/>
  <c r="E58" i="95"/>
  <c r="F57" i="95"/>
  <c r="J57" i="95" s="1"/>
  <c r="N57" i="95" s="1"/>
  <c r="I34" i="113"/>
  <c r="J34" i="113" s="1"/>
  <c r="H73" i="95"/>
  <c r="I72" i="95"/>
  <c r="D74" i="93"/>
  <c r="E73" i="93"/>
  <c r="E57" i="135"/>
  <c r="F56" i="135"/>
  <c r="H56" i="135"/>
  <c r="I55" i="135"/>
  <c r="J55" i="135" s="1"/>
  <c r="H58" i="134"/>
  <c r="I57" i="134"/>
  <c r="J57" i="134" s="1"/>
  <c r="E73" i="111"/>
  <c r="L72" i="111"/>
  <c r="L54" i="134"/>
  <c r="M53" i="134"/>
  <c r="N53" i="134" s="1"/>
  <c r="O53" i="134"/>
  <c r="M52" i="133"/>
  <c r="K60" i="147" l="1"/>
  <c r="L60" i="147" s="1"/>
  <c r="L66" i="95"/>
  <c r="M65" i="95"/>
  <c r="G53" i="110"/>
  <c r="L53" i="110"/>
  <c r="F54" i="110"/>
  <c r="N110" i="110"/>
  <c r="O109" i="110"/>
  <c r="E122" i="110"/>
  <c r="M121" i="110"/>
  <c r="I80" i="114"/>
  <c r="K79" i="114"/>
  <c r="L79" i="114" s="1"/>
  <c r="M79" i="114" s="1"/>
  <c r="U79" i="114" s="1"/>
  <c r="J79" i="114"/>
  <c r="Y79" i="114" s="1"/>
  <c r="N78" i="114"/>
  <c r="O78" i="114" s="1"/>
  <c r="P78" i="114" s="1"/>
  <c r="F57" i="78"/>
  <c r="I57" i="78" s="1"/>
  <c r="L57" i="78" s="1"/>
  <c r="C58" i="78"/>
  <c r="K58" i="78"/>
  <c r="B59" i="78"/>
  <c r="N59" i="148"/>
  <c r="F82" i="114"/>
  <c r="G81" i="114"/>
  <c r="Q62" i="113"/>
  <c r="H64" i="91"/>
  <c r="I63" i="91"/>
  <c r="G65" i="91"/>
  <c r="E66" i="91"/>
  <c r="J62" i="91"/>
  <c r="E121" i="88"/>
  <c r="M120" i="88"/>
  <c r="N84" i="88"/>
  <c r="O83" i="88"/>
  <c r="F56" i="88"/>
  <c r="G55" i="88"/>
  <c r="K55" i="88" s="1"/>
  <c r="P55" i="88" s="1"/>
  <c r="L55" i="88"/>
  <c r="L58" i="77"/>
  <c r="C59" i="77"/>
  <c r="S56" i="78"/>
  <c r="N56" i="78"/>
  <c r="O56" i="78" s="1"/>
  <c r="Q55" i="78"/>
  <c r="P55" i="78"/>
  <c r="T55" i="78"/>
  <c r="H56" i="77"/>
  <c r="K55" i="77"/>
  <c r="N55" i="77" s="1"/>
  <c r="P53" i="77"/>
  <c r="Q53" i="77"/>
  <c r="R53" i="77" s="1"/>
  <c r="T53" i="77"/>
  <c r="S54" i="77"/>
  <c r="O54" i="77"/>
  <c r="O53" i="135"/>
  <c r="M53" i="135"/>
  <c r="L54" i="135"/>
  <c r="G99" i="95"/>
  <c r="K98" i="95"/>
  <c r="O60" i="148"/>
  <c r="M59" i="147"/>
  <c r="E62" i="147"/>
  <c r="G61" i="147"/>
  <c r="K61" i="147" s="1"/>
  <c r="F61" i="147"/>
  <c r="H61" i="148"/>
  <c r="I60" i="148"/>
  <c r="J60" i="148" s="1"/>
  <c r="H60" i="147"/>
  <c r="I59" i="147"/>
  <c r="J59" i="147" s="1"/>
  <c r="L61" i="148"/>
  <c r="M60" i="148"/>
  <c r="N58" i="147"/>
  <c r="E63" i="148"/>
  <c r="G62" i="148"/>
  <c r="K62" i="148" s="1"/>
  <c r="F62" i="148"/>
  <c r="N54" i="133"/>
  <c r="L54" i="133"/>
  <c r="L73" i="111"/>
  <c r="E74" i="111"/>
  <c r="H57" i="135"/>
  <c r="I56" i="135"/>
  <c r="J56" i="135" s="1"/>
  <c r="H74" i="95"/>
  <c r="I73" i="95"/>
  <c r="E60" i="134"/>
  <c r="F59" i="134"/>
  <c r="G60" i="134"/>
  <c r="K59" i="134"/>
  <c r="G58" i="135"/>
  <c r="K57" i="135"/>
  <c r="B134" i="77"/>
  <c r="F36" i="113"/>
  <c r="G36" i="113" s="1"/>
  <c r="M53" i="133"/>
  <c r="L55" i="134"/>
  <c r="M54" i="134"/>
  <c r="N54" i="134" s="1"/>
  <c r="O54" i="134"/>
  <c r="H106" i="112"/>
  <c r="D108" i="113" s="1"/>
  <c r="H59" i="134"/>
  <c r="I58" i="134"/>
  <c r="J58" i="134" s="1"/>
  <c r="E58" i="135"/>
  <c r="F57" i="135"/>
  <c r="D75" i="93"/>
  <c r="E74" i="93"/>
  <c r="E59" i="95"/>
  <c r="O58" i="95"/>
  <c r="F58" i="95"/>
  <c r="J58" i="95" s="1"/>
  <c r="N58" i="95" s="1"/>
  <c r="K55" i="133"/>
  <c r="F56" i="133"/>
  <c r="V78" i="114"/>
  <c r="W78" i="114" s="1"/>
  <c r="X78" i="114"/>
  <c r="K34" i="112"/>
  <c r="I35" i="112" s="1"/>
  <c r="C37" i="113" s="1"/>
  <c r="H37" i="113" s="1"/>
  <c r="G55" i="133"/>
  <c r="H54" i="133"/>
  <c r="I54" i="133" s="1"/>
  <c r="D56" i="133"/>
  <c r="E55" i="133"/>
  <c r="I35" i="113"/>
  <c r="J35" i="113" s="1"/>
  <c r="M66" i="95" l="1"/>
  <c r="L67" i="95"/>
  <c r="N60" i="148"/>
  <c r="L54" i="110"/>
  <c r="F55" i="110"/>
  <c r="G54" i="110"/>
  <c r="N79" i="114"/>
  <c r="O79" i="114" s="1"/>
  <c r="P79" i="114" s="1"/>
  <c r="L62" i="148"/>
  <c r="N53" i="135"/>
  <c r="Q56" i="78"/>
  <c r="N111" i="110"/>
  <c r="O110" i="110"/>
  <c r="E123" i="110"/>
  <c r="M122" i="110"/>
  <c r="J35" i="112"/>
  <c r="K35" i="112" s="1"/>
  <c r="I36" i="112" s="1"/>
  <c r="C38" i="113" s="1"/>
  <c r="H38" i="113" s="1"/>
  <c r="B38" i="113" s="1"/>
  <c r="K80" i="114"/>
  <c r="L80" i="114" s="1"/>
  <c r="M80" i="114" s="1"/>
  <c r="U80" i="114" s="1"/>
  <c r="I81" i="114"/>
  <c r="K81" i="114" s="1"/>
  <c r="J80" i="114"/>
  <c r="Y80" i="114" s="1"/>
  <c r="K59" i="78"/>
  <c r="B60" i="78"/>
  <c r="C59" i="78"/>
  <c r="F58" i="78"/>
  <c r="I58" i="78" s="1"/>
  <c r="O60" i="147"/>
  <c r="G82" i="114"/>
  <c r="F83" i="114"/>
  <c r="I64" i="91"/>
  <c r="H65" i="91"/>
  <c r="G66" i="91"/>
  <c r="E67" i="91"/>
  <c r="J63" i="91"/>
  <c r="M121" i="88"/>
  <c r="E122" i="88"/>
  <c r="N85" i="88"/>
  <c r="O84" i="88"/>
  <c r="L56" i="88"/>
  <c r="G56" i="88"/>
  <c r="K56" i="88" s="1"/>
  <c r="P56" i="88" s="1"/>
  <c r="F57" i="88"/>
  <c r="L59" i="77"/>
  <c r="C60" i="77"/>
  <c r="S57" i="78"/>
  <c r="N57" i="78"/>
  <c r="O57" i="78" s="1"/>
  <c r="R56" i="78"/>
  <c r="R55" i="78"/>
  <c r="T56" i="78"/>
  <c r="P56" i="78"/>
  <c r="T54" i="77"/>
  <c r="P54" i="77"/>
  <c r="Q54" i="77"/>
  <c r="R54" i="77" s="1"/>
  <c r="S55" i="77"/>
  <c r="O55" i="77"/>
  <c r="H57" i="77"/>
  <c r="K56" i="77"/>
  <c r="N56" i="77" s="1"/>
  <c r="O54" i="135"/>
  <c r="M54" i="135"/>
  <c r="N54" i="135" s="1"/>
  <c r="L55" i="135"/>
  <c r="K99" i="95"/>
  <c r="G100" i="95"/>
  <c r="O61" i="148"/>
  <c r="E64" i="148"/>
  <c r="G63" i="148"/>
  <c r="F63" i="148"/>
  <c r="M61" i="148"/>
  <c r="H62" i="148"/>
  <c r="I61" i="148"/>
  <c r="J61" i="148" s="1"/>
  <c r="E63" i="147"/>
  <c r="G62" i="147"/>
  <c r="K62" i="147" s="1"/>
  <c r="F62" i="147"/>
  <c r="L61" i="147"/>
  <c r="M60" i="147"/>
  <c r="H61" i="147"/>
  <c r="I60" i="147"/>
  <c r="J60" i="147" s="1"/>
  <c r="N59" i="147"/>
  <c r="L55" i="133"/>
  <c r="D57" i="133"/>
  <c r="E56" i="133"/>
  <c r="O59" i="95"/>
  <c r="E60" i="95"/>
  <c r="F59" i="95"/>
  <c r="J59" i="95" s="1"/>
  <c r="N59" i="95" s="1"/>
  <c r="L56" i="134"/>
  <c r="M55" i="134"/>
  <c r="N55" i="134" s="1"/>
  <c r="O55" i="134"/>
  <c r="F37" i="113"/>
  <c r="B135" i="77"/>
  <c r="K58" i="135"/>
  <c r="G59" i="135"/>
  <c r="G61" i="134"/>
  <c r="K61" i="134" s="1"/>
  <c r="K60" i="134"/>
  <c r="H75" i="95"/>
  <c r="I74" i="95"/>
  <c r="H58" i="135"/>
  <c r="I57" i="135"/>
  <c r="J57" i="135" s="1"/>
  <c r="H107" i="112"/>
  <c r="D109" i="113" s="1"/>
  <c r="G56" i="133"/>
  <c r="H55" i="133"/>
  <c r="I55" i="133" s="1"/>
  <c r="N55" i="133"/>
  <c r="B37" i="113"/>
  <c r="V79" i="114"/>
  <c r="X79" i="114"/>
  <c r="F57" i="133"/>
  <c r="J56" i="133"/>
  <c r="K56" i="133" s="1"/>
  <c r="D76" i="93"/>
  <c r="E75" i="93"/>
  <c r="E59" i="135"/>
  <c r="F58" i="135"/>
  <c r="H60" i="134"/>
  <c r="I59" i="134"/>
  <c r="J59" i="134" s="1"/>
  <c r="I36" i="113"/>
  <c r="J36" i="113" s="1"/>
  <c r="E61" i="134"/>
  <c r="F60" i="134"/>
  <c r="L74" i="111"/>
  <c r="E75" i="111"/>
  <c r="M54" i="133"/>
  <c r="K63" i="148" l="1"/>
  <c r="L63" i="148" s="1"/>
  <c r="M67" i="95"/>
  <c r="L68" i="95"/>
  <c r="L55" i="110"/>
  <c r="G55" i="110"/>
  <c r="F56" i="110"/>
  <c r="O61" i="147"/>
  <c r="L62" i="147"/>
  <c r="N80" i="114"/>
  <c r="O84" i="114" s="1"/>
  <c r="N112" i="110"/>
  <c r="O111" i="110"/>
  <c r="M123" i="110"/>
  <c r="E124" i="110"/>
  <c r="L81" i="114"/>
  <c r="M81" i="114" s="1"/>
  <c r="U81" i="114" s="1"/>
  <c r="I82" i="114"/>
  <c r="J81" i="114"/>
  <c r="Y81" i="114" s="1"/>
  <c r="J36" i="112"/>
  <c r="K36" i="112" s="1"/>
  <c r="I37" i="112" s="1"/>
  <c r="C39" i="113" s="1"/>
  <c r="H39" i="113" s="1"/>
  <c r="B39" i="113" s="1"/>
  <c r="O62" i="148"/>
  <c r="L58" i="78"/>
  <c r="N58" i="78" s="1"/>
  <c r="O58" i="78" s="1"/>
  <c r="C60" i="78"/>
  <c r="F59" i="78"/>
  <c r="K60" i="78"/>
  <c r="B61" i="78"/>
  <c r="G83" i="114"/>
  <c r="F84" i="114"/>
  <c r="J64" i="91"/>
  <c r="E68" i="91"/>
  <c r="G67" i="91"/>
  <c r="H66" i="91"/>
  <c r="I65" i="91"/>
  <c r="E123" i="88"/>
  <c r="M122" i="88"/>
  <c r="N86" i="88"/>
  <c r="O85" i="88"/>
  <c r="F58" i="88"/>
  <c r="G57" i="88"/>
  <c r="K57" i="88" s="1"/>
  <c r="P57" i="88" s="1"/>
  <c r="L57" i="88"/>
  <c r="C61" i="77"/>
  <c r="L60" i="77"/>
  <c r="Q57" i="78"/>
  <c r="T57" i="78"/>
  <c r="P57" i="78"/>
  <c r="S56" i="77"/>
  <c r="O56" i="77"/>
  <c r="T55" i="77"/>
  <c r="Q55" i="77"/>
  <c r="R55" i="77" s="1"/>
  <c r="P55" i="77"/>
  <c r="H58" i="77"/>
  <c r="K57" i="77"/>
  <c r="N57" i="77" s="1"/>
  <c r="O55" i="135"/>
  <c r="M55" i="135"/>
  <c r="N55" i="135" s="1"/>
  <c r="L56" i="135"/>
  <c r="G101" i="95"/>
  <c r="K100" i="95"/>
  <c r="H62" i="147"/>
  <c r="I61" i="147"/>
  <c r="J61" i="147" s="1"/>
  <c r="N60" i="147"/>
  <c r="E64" i="147"/>
  <c r="G63" i="147"/>
  <c r="F63" i="147"/>
  <c r="H63" i="148"/>
  <c r="I62" i="148"/>
  <c r="J62" i="148" s="1"/>
  <c r="N61" i="148"/>
  <c r="E65" i="148"/>
  <c r="G64" i="148"/>
  <c r="K64" i="148" s="1"/>
  <c r="F64" i="148"/>
  <c r="M61" i="147"/>
  <c r="M62" i="148"/>
  <c r="L56" i="133"/>
  <c r="L75" i="111"/>
  <c r="E76" i="111"/>
  <c r="H108" i="112"/>
  <c r="D110" i="113" s="1"/>
  <c r="O92" i="114"/>
  <c r="O90" i="114"/>
  <c r="E62" i="134"/>
  <c r="F61" i="134"/>
  <c r="D77" i="93"/>
  <c r="E76" i="93"/>
  <c r="H76" i="95"/>
  <c r="I75" i="95"/>
  <c r="G62" i="134"/>
  <c r="K59" i="135"/>
  <c r="G60" i="135"/>
  <c r="B136" i="77"/>
  <c r="I37" i="113"/>
  <c r="J37" i="113" s="1"/>
  <c r="L57" i="134"/>
  <c r="M56" i="134"/>
  <c r="N56" i="134" s="1"/>
  <c r="O56" i="134"/>
  <c r="E61" i="95"/>
  <c r="O60" i="95"/>
  <c r="F60" i="95"/>
  <c r="J60" i="95" s="1"/>
  <c r="N60" i="95" s="1"/>
  <c r="D58" i="133"/>
  <c r="E57" i="133"/>
  <c r="M55" i="133"/>
  <c r="H61" i="134"/>
  <c r="I60" i="134"/>
  <c r="J60" i="134" s="1"/>
  <c r="E60" i="135"/>
  <c r="F59" i="135"/>
  <c r="J57" i="133"/>
  <c r="K57" i="133" s="1"/>
  <c r="F58" i="133"/>
  <c r="W79" i="114"/>
  <c r="V80" i="114"/>
  <c r="W80" i="114" s="1"/>
  <c r="X80" i="114"/>
  <c r="G57" i="133"/>
  <c r="H56" i="133"/>
  <c r="I56" i="133" s="1"/>
  <c r="H59" i="135"/>
  <c r="I58" i="135"/>
  <c r="J58" i="135" s="1"/>
  <c r="G37" i="113"/>
  <c r="N56" i="133"/>
  <c r="K63" i="147" l="1"/>
  <c r="L63" i="147" s="1"/>
  <c r="L69" i="95"/>
  <c r="M68" i="95"/>
  <c r="N61" i="147"/>
  <c r="O83" i="114"/>
  <c r="O85" i="114"/>
  <c r="O86" i="114"/>
  <c r="O81" i="114"/>
  <c r="P81" i="114" s="1"/>
  <c r="F57" i="110"/>
  <c r="G56" i="110"/>
  <c r="L56" i="110"/>
  <c r="O88" i="114"/>
  <c r="O82" i="114"/>
  <c r="O80" i="114"/>
  <c r="P80" i="114" s="1"/>
  <c r="O87" i="114"/>
  <c r="O89" i="114"/>
  <c r="O91" i="114"/>
  <c r="E125" i="110"/>
  <c r="M124" i="110"/>
  <c r="N113" i="110"/>
  <c r="O112" i="110"/>
  <c r="I83" i="114"/>
  <c r="K82" i="114"/>
  <c r="L82" i="114" s="1"/>
  <c r="M82" i="114" s="1"/>
  <c r="U82" i="114" s="1"/>
  <c r="J82" i="114"/>
  <c r="Y82" i="114" s="1"/>
  <c r="N62" i="148"/>
  <c r="S58" i="78"/>
  <c r="C61" i="78"/>
  <c r="F60" i="78"/>
  <c r="K61" i="78"/>
  <c r="B62" i="78"/>
  <c r="I59" i="78"/>
  <c r="O62" i="147"/>
  <c r="G84" i="114"/>
  <c r="F85" i="114"/>
  <c r="H67" i="91"/>
  <c r="I66" i="91"/>
  <c r="E69" i="91"/>
  <c r="G68" i="91"/>
  <c r="J65" i="91"/>
  <c r="M123" i="88"/>
  <c r="E124" i="88"/>
  <c r="N87" i="88"/>
  <c r="O86" i="88"/>
  <c r="G58" i="88"/>
  <c r="K58" i="88" s="1"/>
  <c r="P58" i="88" s="1"/>
  <c r="L58" i="88"/>
  <c r="F59" i="88"/>
  <c r="C62" i="77"/>
  <c r="L61" i="77"/>
  <c r="P58" i="78"/>
  <c r="T58" i="78"/>
  <c r="R57" i="78"/>
  <c r="Q58" i="78"/>
  <c r="K58" i="77"/>
  <c r="N58" i="77" s="1"/>
  <c r="H59" i="77"/>
  <c r="O57" i="77"/>
  <c r="S57" i="77"/>
  <c r="P56" i="77"/>
  <c r="T56" i="77"/>
  <c r="Q56" i="77"/>
  <c r="R56" i="77" s="1"/>
  <c r="O56" i="135"/>
  <c r="M56" i="135"/>
  <c r="N56" i="135" s="1"/>
  <c r="L57" i="135"/>
  <c r="K101" i="95"/>
  <c r="G102" i="95"/>
  <c r="O63" i="148"/>
  <c r="L64" i="148"/>
  <c r="M63" i="148"/>
  <c r="E66" i="148"/>
  <c r="G65" i="148"/>
  <c r="K65" i="148" s="1"/>
  <c r="F65" i="148"/>
  <c r="H63" i="147"/>
  <c r="I62" i="147"/>
  <c r="J62" i="147" s="1"/>
  <c r="M62" i="147"/>
  <c r="H64" i="148"/>
  <c r="I63" i="148"/>
  <c r="J63" i="148" s="1"/>
  <c r="E65" i="147"/>
  <c r="G64" i="147"/>
  <c r="F64" i="147"/>
  <c r="L57" i="133"/>
  <c r="G58" i="133"/>
  <c r="H57" i="133"/>
  <c r="I57" i="133" s="1"/>
  <c r="V81" i="114"/>
  <c r="W81" i="114" s="1"/>
  <c r="X81" i="114"/>
  <c r="N57" i="133"/>
  <c r="J37" i="112"/>
  <c r="E62" i="95"/>
  <c r="O61" i="95"/>
  <c r="F61" i="95"/>
  <c r="J61" i="95" s="1"/>
  <c r="N61" i="95" s="1"/>
  <c r="L58" i="134"/>
  <c r="M57" i="134"/>
  <c r="N57" i="134" s="1"/>
  <c r="O57" i="134"/>
  <c r="B137" i="77"/>
  <c r="K60" i="135"/>
  <c r="G61" i="135"/>
  <c r="G63" i="134"/>
  <c r="K62" i="134"/>
  <c r="H77" i="95"/>
  <c r="I76" i="95"/>
  <c r="D78" i="93"/>
  <c r="E77" i="93"/>
  <c r="L76" i="111"/>
  <c r="E77" i="111"/>
  <c r="F38" i="113"/>
  <c r="G38" i="113" s="1"/>
  <c r="H60" i="135"/>
  <c r="I59" i="135"/>
  <c r="J59" i="135" s="1"/>
  <c r="J58" i="133"/>
  <c r="K58" i="133" s="1"/>
  <c r="F59" i="133"/>
  <c r="E61" i="135"/>
  <c r="F60" i="135"/>
  <c r="H62" i="134"/>
  <c r="I61" i="134"/>
  <c r="J61" i="134" s="1"/>
  <c r="D59" i="133"/>
  <c r="E58" i="133"/>
  <c r="E63" i="134"/>
  <c r="F62" i="134"/>
  <c r="H109" i="112"/>
  <c r="D111" i="113" s="1"/>
  <c r="M56" i="133"/>
  <c r="K64" i="147" l="1"/>
  <c r="L64" i="147" s="1"/>
  <c r="N62" i="147"/>
  <c r="M69" i="95"/>
  <c r="L70" i="95"/>
  <c r="L57" i="110"/>
  <c r="G57" i="110"/>
  <c r="F58" i="110"/>
  <c r="E126" i="110"/>
  <c r="M125" i="110"/>
  <c r="N114" i="110"/>
  <c r="O113" i="110"/>
  <c r="P82" i="114"/>
  <c r="J83" i="114"/>
  <c r="Y83" i="114" s="1"/>
  <c r="K83" i="114"/>
  <c r="I84" i="114"/>
  <c r="K62" i="78"/>
  <c r="B63" i="78"/>
  <c r="I60" i="78"/>
  <c r="L59" i="78"/>
  <c r="F61" i="78"/>
  <c r="C62" i="78"/>
  <c r="O63" i="147"/>
  <c r="O64" i="148"/>
  <c r="G85" i="114"/>
  <c r="F86" i="114"/>
  <c r="G69" i="91"/>
  <c r="E70" i="91"/>
  <c r="I67" i="91"/>
  <c r="J67" i="91" s="1"/>
  <c r="H68" i="91"/>
  <c r="J66" i="91"/>
  <c r="E125" i="88"/>
  <c r="M124" i="88"/>
  <c r="N88" i="88"/>
  <c r="O87" i="88"/>
  <c r="L59" i="88"/>
  <c r="G59" i="88"/>
  <c r="K59" i="88" s="1"/>
  <c r="P59" i="88" s="1"/>
  <c r="F60" i="88"/>
  <c r="L62" i="77"/>
  <c r="C63" i="77"/>
  <c r="R58" i="78"/>
  <c r="S58" i="77"/>
  <c r="O58" i="77"/>
  <c r="K59" i="77"/>
  <c r="N59" i="77" s="1"/>
  <c r="H60" i="77"/>
  <c r="Q57" i="77"/>
  <c r="R57" i="77" s="1"/>
  <c r="P57" i="77"/>
  <c r="T57" i="77"/>
  <c r="O57" i="135"/>
  <c r="M57" i="135"/>
  <c r="N57" i="135" s="1"/>
  <c r="L58" i="135"/>
  <c r="K102" i="95"/>
  <c r="G103" i="95"/>
  <c r="E66" i="147"/>
  <c r="G65" i="147"/>
  <c r="F65" i="147"/>
  <c r="M63" i="147"/>
  <c r="H64" i="147"/>
  <c r="I63" i="147"/>
  <c r="J63" i="147" s="1"/>
  <c r="L65" i="148"/>
  <c r="M64" i="148"/>
  <c r="H65" i="148"/>
  <c r="I64" i="148"/>
  <c r="J64" i="148" s="1"/>
  <c r="E67" i="148"/>
  <c r="G66" i="148"/>
  <c r="F66" i="148"/>
  <c r="N63" i="148"/>
  <c r="L58" i="133"/>
  <c r="N58" i="133"/>
  <c r="E64" i="134"/>
  <c r="F63" i="134"/>
  <c r="D60" i="133"/>
  <c r="E59" i="133"/>
  <c r="J59" i="133"/>
  <c r="K59" i="133" s="1"/>
  <c r="F60" i="133"/>
  <c r="I38" i="113"/>
  <c r="J38" i="113" s="1"/>
  <c r="H110" i="112"/>
  <c r="D112" i="113" s="1"/>
  <c r="G62" i="135"/>
  <c r="K61" i="135"/>
  <c r="B138" i="77"/>
  <c r="H63" i="134"/>
  <c r="I62" i="134"/>
  <c r="J62" i="134" s="1"/>
  <c r="E62" i="135"/>
  <c r="F61" i="135"/>
  <c r="H61" i="135"/>
  <c r="I60" i="135"/>
  <c r="J60" i="135" s="1"/>
  <c r="F39" i="113"/>
  <c r="G39" i="113" s="1"/>
  <c r="L77" i="111"/>
  <c r="E78" i="111"/>
  <c r="D79" i="93"/>
  <c r="E78" i="93"/>
  <c r="H78" i="95"/>
  <c r="I77" i="95"/>
  <c r="G64" i="134"/>
  <c r="K63" i="134"/>
  <c r="L59" i="134"/>
  <c r="M58" i="134"/>
  <c r="O58" i="134"/>
  <c r="E63" i="95"/>
  <c r="O62" i="95"/>
  <c r="F62" i="95"/>
  <c r="J62" i="95" s="1"/>
  <c r="N62" i="95" s="1"/>
  <c r="K37" i="112"/>
  <c r="I38" i="112" s="1"/>
  <c r="C40" i="113" s="1"/>
  <c r="H40" i="113" s="1"/>
  <c r="B40" i="113" s="1"/>
  <c r="V82" i="114"/>
  <c r="W82" i="114" s="1"/>
  <c r="X82" i="114"/>
  <c r="G59" i="133"/>
  <c r="H58" i="133"/>
  <c r="I58" i="133" s="1"/>
  <c r="M57" i="133"/>
  <c r="K66" i="148" l="1"/>
  <c r="L66" i="148" s="1"/>
  <c r="K65" i="147"/>
  <c r="O65" i="148"/>
  <c r="M70" i="95"/>
  <c r="L71" i="95"/>
  <c r="F59" i="110"/>
  <c r="L58" i="110"/>
  <c r="G58" i="110"/>
  <c r="O64" i="147"/>
  <c r="N58" i="134"/>
  <c r="E127" i="110"/>
  <c r="M126" i="110"/>
  <c r="N115" i="110"/>
  <c r="O114" i="110"/>
  <c r="P83" i="114"/>
  <c r="L83" i="114"/>
  <c r="M83" i="114" s="1"/>
  <c r="U83" i="114" s="1"/>
  <c r="K84" i="114"/>
  <c r="I85" i="114"/>
  <c r="J84" i="114"/>
  <c r="Y84" i="114" s="1"/>
  <c r="N59" i="78"/>
  <c r="O59" i="78" s="1"/>
  <c r="S59" i="78"/>
  <c r="I61" i="78"/>
  <c r="L60" i="78"/>
  <c r="F62" i="78"/>
  <c r="C63" i="78"/>
  <c r="K63" i="78"/>
  <c r="B64" i="78"/>
  <c r="F87" i="114"/>
  <c r="G86" i="114"/>
  <c r="H69" i="91"/>
  <c r="I68" i="91"/>
  <c r="E71" i="91"/>
  <c r="G70" i="91"/>
  <c r="M125" i="88"/>
  <c r="E126" i="88"/>
  <c r="N89" i="88"/>
  <c r="O88" i="88"/>
  <c r="L60" i="88"/>
  <c r="G60" i="88"/>
  <c r="K60" i="88" s="1"/>
  <c r="P60" i="88" s="1"/>
  <c r="F61" i="88"/>
  <c r="C64" i="77"/>
  <c r="L63" i="77"/>
  <c r="S59" i="77"/>
  <c r="O59" i="77"/>
  <c r="K60" i="77"/>
  <c r="N60" i="77" s="1"/>
  <c r="H61" i="77"/>
  <c r="P58" i="77"/>
  <c r="T58" i="77"/>
  <c r="Q58" i="77"/>
  <c r="R58" i="77" s="1"/>
  <c r="M58" i="135"/>
  <c r="N58" i="135" s="1"/>
  <c r="O58" i="135"/>
  <c r="L59" i="135"/>
  <c r="K103" i="95"/>
  <c r="G104" i="95"/>
  <c r="E68" i="148"/>
  <c r="G67" i="148"/>
  <c r="K67" i="148" s="1"/>
  <c r="F67" i="148"/>
  <c r="H66" i="148"/>
  <c r="I65" i="148"/>
  <c r="J65" i="148" s="1"/>
  <c r="M65" i="148"/>
  <c r="H65" i="147"/>
  <c r="I64" i="147"/>
  <c r="J64" i="147" s="1"/>
  <c r="N63" i="147"/>
  <c r="N64" i="148"/>
  <c r="L65" i="147"/>
  <c r="M64" i="147"/>
  <c r="E67" i="147"/>
  <c r="G66" i="147"/>
  <c r="F66" i="147"/>
  <c r="L59" i="133"/>
  <c r="G60" i="133"/>
  <c r="H59" i="133"/>
  <c r="I59" i="133" s="1"/>
  <c r="E64" i="95"/>
  <c r="O63" i="95"/>
  <c r="F63" i="95"/>
  <c r="J63" i="95" s="1"/>
  <c r="N63" i="95" s="1"/>
  <c r="L60" i="134"/>
  <c r="M59" i="134"/>
  <c r="N59" i="134" s="1"/>
  <c r="O59" i="134"/>
  <c r="D80" i="93"/>
  <c r="E79" i="93"/>
  <c r="L78" i="111"/>
  <c r="E79" i="111"/>
  <c r="I39" i="113"/>
  <c r="H64" i="134"/>
  <c r="I63" i="134"/>
  <c r="J63" i="134" s="1"/>
  <c r="B139" i="77"/>
  <c r="G63" i="135"/>
  <c r="K62" i="135"/>
  <c r="N59" i="133"/>
  <c r="J38" i="112"/>
  <c r="G65" i="134"/>
  <c r="K64" i="134"/>
  <c r="H79" i="95"/>
  <c r="I78" i="95"/>
  <c r="H111" i="112"/>
  <c r="D113" i="113" s="1"/>
  <c r="F40" i="113"/>
  <c r="H62" i="135"/>
  <c r="I61" i="135"/>
  <c r="J61" i="135" s="1"/>
  <c r="E63" i="135"/>
  <c r="F62" i="135"/>
  <c r="J60" i="133"/>
  <c r="K60" i="133" s="1"/>
  <c r="F61" i="133"/>
  <c r="D61" i="133"/>
  <c r="E60" i="133"/>
  <c r="E65" i="134"/>
  <c r="F64" i="134"/>
  <c r="M58" i="133"/>
  <c r="K66" i="147" l="1"/>
  <c r="L66" i="147" s="1"/>
  <c r="L72" i="95"/>
  <c r="M71" i="95"/>
  <c r="G59" i="110"/>
  <c r="F60" i="110"/>
  <c r="L59" i="110"/>
  <c r="J39" i="113"/>
  <c r="X83" i="114"/>
  <c r="V83" i="114"/>
  <c r="W83" i="114" s="1"/>
  <c r="N65" i="148"/>
  <c r="E128" i="110"/>
  <c r="M127" i="110"/>
  <c r="N116" i="110"/>
  <c r="O115" i="110"/>
  <c r="K85" i="114"/>
  <c r="I86" i="114"/>
  <c r="J85" i="114"/>
  <c r="Y85" i="114" s="1"/>
  <c r="L84" i="114"/>
  <c r="M84" i="114" s="1"/>
  <c r="U84" i="114" s="1"/>
  <c r="P84" i="114"/>
  <c r="P59" i="78"/>
  <c r="Q59" i="78"/>
  <c r="T59" i="78"/>
  <c r="B65" i="78"/>
  <c r="K64" i="78"/>
  <c r="N60" i="78"/>
  <c r="O60" i="78" s="1"/>
  <c r="Q60" i="78" s="1"/>
  <c r="S60" i="78"/>
  <c r="L61" i="78"/>
  <c r="I62" i="78"/>
  <c r="C64" i="78"/>
  <c r="F63" i="78"/>
  <c r="O65" i="147"/>
  <c r="G87" i="114"/>
  <c r="F88" i="114"/>
  <c r="J68" i="91"/>
  <c r="G71" i="91"/>
  <c r="E72" i="91"/>
  <c r="H70" i="91"/>
  <c r="I69" i="91"/>
  <c r="M126" i="88"/>
  <c r="E127" i="88"/>
  <c r="N90" i="88"/>
  <c r="O89" i="88"/>
  <c r="G61" i="88"/>
  <c r="K61" i="88" s="1"/>
  <c r="P61" i="88" s="1"/>
  <c r="L61" i="88"/>
  <c r="F62" i="88"/>
  <c r="L64" i="77"/>
  <c r="C65" i="77"/>
  <c r="S60" i="77"/>
  <c r="O60" i="77"/>
  <c r="K61" i="77"/>
  <c r="N61" i="77" s="1"/>
  <c r="H62" i="77"/>
  <c r="T59" i="77"/>
  <c r="Q59" i="77"/>
  <c r="R59" i="77" s="1"/>
  <c r="P59" i="77"/>
  <c r="M59" i="135"/>
  <c r="N59" i="135" s="1"/>
  <c r="O59" i="135"/>
  <c r="L60" i="135"/>
  <c r="K104" i="95"/>
  <c r="G105" i="95"/>
  <c r="O66" i="148"/>
  <c r="M65" i="147"/>
  <c r="L67" i="148"/>
  <c r="M66" i="148"/>
  <c r="E69" i="148"/>
  <c r="G68" i="148"/>
  <c r="F68" i="148"/>
  <c r="E68" i="147"/>
  <c r="G67" i="147"/>
  <c r="K67" i="147" s="1"/>
  <c r="F67" i="147"/>
  <c r="N64" i="147"/>
  <c r="H66" i="147"/>
  <c r="I65" i="147"/>
  <c r="J65" i="147" s="1"/>
  <c r="H67" i="148"/>
  <c r="I66" i="148"/>
  <c r="J66" i="148" s="1"/>
  <c r="L60" i="133"/>
  <c r="N60" i="133"/>
  <c r="I40" i="113"/>
  <c r="G66" i="134"/>
  <c r="K65" i="134"/>
  <c r="B140" i="77"/>
  <c r="L79" i="111"/>
  <c r="E80" i="111"/>
  <c r="D81" i="93"/>
  <c r="E80" i="93"/>
  <c r="M59" i="133"/>
  <c r="D62" i="133"/>
  <c r="E61" i="133"/>
  <c r="E66" i="134"/>
  <c r="F65" i="134"/>
  <c r="J61" i="133"/>
  <c r="K61" i="133" s="1"/>
  <c r="F62" i="133"/>
  <c r="E64" i="135"/>
  <c r="F63" i="135"/>
  <c r="H63" i="135"/>
  <c r="I62" i="135"/>
  <c r="J62" i="135" s="1"/>
  <c r="G40" i="113"/>
  <c r="H80" i="95"/>
  <c r="I79" i="95"/>
  <c r="K38" i="112"/>
  <c r="I39" i="112" s="1"/>
  <c r="C41" i="113" s="1"/>
  <c r="H41" i="113" s="1"/>
  <c r="B41" i="113" s="1"/>
  <c r="G64" i="135"/>
  <c r="K63" i="135"/>
  <c r="H65" i="134"/>
  <c r="I64" i="134"/>
  <c r="J64" i="134" s="1"/>
  <c r="H112" i="112"/>
  <c r="D114" i="113" s="1"/>
  <c r="L61" i="134"/>
  <c r="M60" i="134"/>
  <c r="N60" i="134" s="1"/>
  <c r="O60" i="134"/>
  <c r="E65" i="95"/>
  <c r="O64" i="95"/>
  <c r="F64" i="95"/>
  <c r="J64" i="95" s="1"/>
  <c r="N64" i="95" s="1"/>
  <c r="V84" i="114"/>
  <c r="W84" i="114" s="1"/>
  <c r="G61" i="133"/>
  <c r="H60" i="133"/>
  <c r="I60" i="133" s="1"/>
  <c r="K68" i="148" l="1"/>
  <c r="G102" i="148"/>
  <c r="L73" i="95"/>
  <c r="M72" i="95"/>
  <c r="G60" i="110"/>
  <c r="F61" i="110"/>
  <c r="L60" i="110"/>
  <c r="O67" i="148"/>
  <c r="X84" i="114"/>
  <c r="N117" i="110"/>
  <c r="O116" i="110"/>
  <c r="M128" i="110"/>
  <c r="E129" i="110"/>
  <c r="I87" i="114"/>
  <c r="J86" i="114"/>
  <c r="Y86" i="114" s="1"/>
  <c r="K86" i="114"/>
  <c r="J39" i="112"/>
  <c r="K39" i="112" s="1"/>
  <c r="I40" i="112" s="1"/>
  <c r="C42" i="113" s="1"/>
  <c r="H42" i="113" s="1"/>
  <c r="B42" i="113" s="1"/>
  <c r="P85" i="114"/>
  <c r="L85" i="114"/>
  <c r="M85" i="114" s="1"/>
  <c r="U85" i="114" s="1"/>
  <c r="J40" i="113"/>
  <c r="K65" i="78"/>
  <c r="B66" i="78"/>
  <c r="R60" i="78"/>
  <c r="P60" i="78"/>
  <c r="T60" i="78"/>
  <c r="R59" i="78"/>
  <c r="N61" i="78"/>
  <c r="O61" i="78" s="1"/>
  <c r="S61" i="78"/>
  <c r="L62" i="78"/>
  <c r="I63" i="78"/>
  <c r="F64" i="78"/>
  <c r="C65" i="78"/>
  <c r="O66" i="147"/>
  <c r="G88" i="114"/>
  <c r="F89" i="114"/>
  <c r="J69" i="91"/>
  <c r="I70" i="91"/>
  <c r="H71" i="91"/>
  <c r="E73" i="91"/>
  <c r="G72" i="91"/>
  <c r="E128" i="88"/>
  <c r="E129" i="88" s="1"/>
  <c r="M127" i="88"/>
  <c r="N91" i="88"/>
  <c r="O90" i="88"/>
  <c r="G62" i="88"/>
  <c r="K62" i="88" s="1"/>
  <c r="P62" i="88" s="1"/>
  <c r="L62" i="88"/>
  <c r="F63" i="88"/>
  <c r="L65" i="77"/>
  <c r="C66" i="77"/>
  <c r="H63" i="77"/>
  <c r="K62" i="77"/>
  <c r="N62" i="77" s="1"/>
  <c r="Q60" i="77"/>
  <c r="R60" i="77" s="1"/>
  <c r="T60" i="77"/>
  <c r="P60" i="77"/>
  <c r="S61" i="77"/>
  <c r="O61" i="77"/>
  <c r="O60" i="135"/>
  <c r="M60" i="135"/>
  <c r="N60" i="135" s="1"/>
  <c r="L61" i="135"/>
  <c r="G106" i="95"/>
  <c r="K105" i="95"/>
  <c r="H68" i="148"/>
  <c r="I67" i="148"/>
  <c r="J67" i="148" s="1"/>
  <c r="E69" i="147"/>
  <c r="G68" i="147"/>
  <c r="K68" i="147" s="1"/>
  <c r="F68" i="147"/>
  <c r="E70" i="148"/>
  <c r="F69" i="148"/>
  <c r="L68" i="148"/>
  <c r="L69" i="148" s="1"/>
  <c r="M67" i="148"/>
  <c r="N65" i="147"/>
  <c r="H67" i="147"/>
  <c r="I66" i="147"/>
  <c r="J66" i="147" s="1"/>
  <c r="N66" i="148"/>
  <c r="L67" i="147"/>
  <c r="M66" i="147"/>
  <c r="L61" i="133"/>
  <c r="E66" i="95"/>
  <c r="O65" i="95"/>
  <c r="F65" i="95"/>
  <c r="J65" i="95" s="1"/>
  <c r="N65" i="95" s="1"/>
  <c r="L62" i="134"/>
  <c r="M61" i="134"/>
  <c r="N61" i="134" s="1"/>
  <c r="O61" i="134"/>
  <c r="H66" i="134"/>
  <c r="I65" i="134"/>
  <c r="J65" i="134" s="1"/>
  <c r="H81" i="95"/>
  <c r="I80" i="95"/>
  <c r="F41" i="113"/>
  <c r="G41" i="113" s="1"/>
  <c r="E65" i="135"/>
  <c r="F64" i="135"/>
  <c r="J62" i="133"/>
  <c r="K62" i="133" s="1"/>
  <c r="F63" i="133"/>
  <c r="D63" i="133"/>
  <c r="E62" i="133"/>
  <c r="D82" i="93"/>
  <c r="E81" i="93"/>
  <c r="H113" i="112"/>
  <c r="D115" i="113" s="1"/>
  <c r="B141" i="77"/>
  <c r="G62" i="133"/>
  <c r="H61" i="133"/>
  <c r="I61" i="133" s="1"/>
  <c r="G65" i="135"/>
  <c r="K64" i="135"/>
  <c r="H64" i="135"/>
  <c r="I63" i="135"/>
  <c r="J63" i="135" s="1"/>
  <c r="E67" i="134"/>
  <c r="F66" i="134"/>
  <c r="N61" i="133"/>
  <c r="E81" i="111"/>
  <c r="L80" i="111"/>
  <c r="G67" i="134"/>
  <c r="K66" i="134"/>
  <c r="M60" i="133"/>
  <c r="M69" i="148" l="1"/>
  <c r="L70" i="148"/>
  <c r="L74" i="95"/>
  <c r="M73" i="95"/>
  <c r="G69" i="147"/>
  <c r="G107" i="147" s="1"/>
  <c r="G61" i="110"/>
  <c r="F62" i="110"/>
  <c r="L61" i="110"/>
  <c r="V85" i="114"/>
  <c r="W85" i="114" s="1"/>
  <c r="X85" i="114"/>
  <c r="M129" i="110"/>
  <c r="E130" i="110"/>
  <c r="N118" i="110"/>
  <c r="O117" i="110"/>
  <c r="P86" i="114"/>
  <c r="L86" i="114"/>
  <c r="M86" i="114" s="1"/>
  <c r="U86" i="114" s="1"/>
  <c r="I88" i="114"/>
  <c r="J87" i="114"/>
  <c r="Y87" i="114" s="1"/>
  <c r="K87" i="114"/>
  <c r="N67" i="148"/>
  <c r="L63" i="78"/>
  <c r="I64" i="78"/>
  <c r="P61" i="78"/>
  <c r="T61" i="78"/>
  <c r="N62" i="78"/>
  <c r="O62" i="78" s="1"/>
  <c r="S62" i="78"/>
  <c r="K66" i="78"/>
  <c r="B67" i="78"/>
  <c r="F65" i="78"/>
  <c r="C66" i="78"/>
  <c r="Q61" i="78"/>
  <c r="N66" i="147"/>
  <c r="O67" i="147"/>
  <c r="G89" i="114"/>
  <c r="F90" i="114"/>
  <c r="G73" i="91"/>
  <c r="E74" i="91"/>
  <c r="J70" i="91"/>
  <c r="H72" i="91"/>
  <c r="I71" i="91"/>
  <c r="M128" i="88"/>
  <c r="N92" i="88"/>
  <c r="O91" i="88"/>
  <c r="F64" i="88"/>
  <c r="G63" i="88"/>
  <c r="K63" i="88" s="1"/>
  <c r="P63" i="88" s="1"/>
  <c r="L63" i="88"/>
  <c r="L66" i="77"/>
  <c r="C67" i="77"/>
  <c r="T61" i="77"/>
  <c r="P61" i="77"/>
  <c r="Q61" i="77"/>
  <c r="R61" i="77" s="1"/>
  <c r="S62" i="77"/>
  <c r="O62" i="77"/>
  <c r="H64" i="77"/>
  <c r="K63" i="77"/>
  <c r="N63" i="77" s="1"/>
  <c r="M61" i="135"/>
  <c r="N61" i="135" s="1"/>
  <c r="O61" i="135"/>
  <c r="L62" i="135"/>
  <c r="K106" i="95"/>
  <c r="G107" i="95"/>
  <c r="O68" i="148"/>
  <c r="L68" i="147"/>
  <c r="M67" i="147"/>
  <c r="M68" i="148"/>
  <c r="E70" i="147"/>
  <c r="F69" i="147"/>
  <c r="H69" i="148"/>
  <c r="I68" i="148"/>
  <c r="J68" i="148" s="1"/>
  <c r="H68" i="147"/>
  <c r="H69" i="147" s="1"/>
  <c r="H70" i="147" s="1"/>
  <c r="I67" i="147"/>
  <c r="J67" i="147" s="1"/>
  <c r="E71" i="148"/>
  <c r="F70" i="148"/>
  <c r="L62" i="133"/>
  <c r="L81" i="111"/>
  <c r="E82" i="111"/>
  <c r="D83" i="93"/>
  <c r="E82" i="93"/>
  <c r="D64" i="133"/>
  <c r="E63" i="133"/>
  <c r="E66" i="135"/>
  <c r="F65" i="135"/>
  <c r="F42" i="113"/>
  <c r="G42" i="113" s="1"/>
  <c r="H82" i="95"/>
  <c r="I81" i="95"/>
  <c r="M61" i="133"/>
  <c r="K67" i="134"/>
  <c r="G68" i="134"/>
  <c r="H114" i="112"/>
  <c r="D116" i="113" s="1"/>
  <c r="E68" i="134"/>
  <c r="F67" i="134"/>
  <c r="H65" i="135"/>
  <c r="I64" i="135"/>
  <c r="J64" i="135" s="1"/>
  <c r="J40" i="112"/>
  <c r="G66" i="135"/>
  <c r="K65" i="135"/>
  <c r="G63" i="133"/>
  <c r="H62" i="133"/>
  <c r="I62" i="133" s="1"/>
  <c r="B142" i="77"/>
  <c r="N62" i="133"/>
  <c r="J63" i="133"/>
  <c r="K63" i="133" s="1"/>
  <c r="F64" i="133"/>
  <c r="I41" i="113"/>
  <c r="J41" i="113" s="1"/>
  <c r="H67" i="134"/>
  <c r="I66" i="134"/>
  <c r="J66" i="134" s="1"/>
  <c r="L63" i="134"/>
  <c r="M62" i="134"/>
  <c r="N62" i="134" s="1"/>
  <c r="O62" i="134"/>
  <c r="E67" i="95"/>
  <c r="O66" i="95"/>
  <c r="F66" i="95"/>
  <c r="J66" i="95" s="1"/>
  <c r="N66" i="95" s="1"/>
  <c r="L71" i="148" l="1"/>
  <c r="M70" i="148"/>
  <c r="K69" i="147"/>
  <c r="L69" i="147" s="1"/>
  <c r="O69" i="147" s="1"/>
  <c r="L75" i="95"/>
  <c r="M74" i="95"/>
  <c r="H71" i="147"/>
  <c r="H70" i="148"/>
  <c r="F63" i="110"/>
  <c r="G62" i="110"/>
  <c r="L62" i="110"/>
  <c r="O68" i="147"/>
  <c r="X86" i="114"/>
  <c r="V86" i="114"/>
  <c r="W86" i="114" s="1"/>
  <c r="N119" i="110"/>
  <c r="O118" i="110"/>
  <c r="E131" i="110"/>
  <c r="M130" i="110"/>
  <c r="J88" i="114"/>
  <c r="Y88" i="114" s="1"/>
  <c r="K88" i="114"/>
  <c r="I89" i="114"/>
  <c r="L87" i="114"/>
  <c r="M87" i="114" s="1"/>
  <c r="U87" i="114" s="1"/>
  <c r="V87" i="114" s="1"/>
  <c r="W87" i="114" s="1"/>
  <c r="P87" i="114"/>
  <c r="O69" i="148"/>
  <c r="T62" i="78"/>
  <c r="P62" i="78"/>
  <c r="Q62" i="78"/>
  <c r="R61" i="78"/>
  <c r="B68" i="78"/>
  <c r="K67" i="78"/>
  <c r="F66" i="78"/>
  <c r="C67" i="78"/>
  <c r="I65" i="78"/>
  <c r="L64" i="78"/>
  <c r="S63" i="78"/>
  <c r="N63" i="78"/>
  <c r="O63" i="78" s="1"/>
  <c r="Q63" i="78" s="1"/>
  <c r="F91" i="114"/>
  <c r="G90" i="114"/>
  <c r="J71" i="91"/>
  <c r="H73" i="91"/>
  <c r="I72" i="91"/>
  <c r="E75" i="91"/>
  <c r="G74" i="91"/>
  <c r="M129" i="88"/>
  <c r="E130" i="88"/>
  <c r="N93" i="88"/>
  <c r="O92" i="88"/>
  <c r="G64" i="88"/>
  <c r="K64" i="88" s="1"/>
  <c r="P64" i="88" s="1"/>
  <c r="F65" i="88"/>
  <c r="L64" i="88"/>
  <c r="C68" i="77"/>
  <c r="L67" i="77"/>
  <c r="S63" i="77"/>
  <c r="O63" i="77"/>
  <c r="Q62" i="77"/>
  <c r="R62" i="77" s="1"/>
  <c r="T62" i="77"/>
  <c r="P62" i="77"/>
  <c r="H65" i="77"/>
  <c r="K64" i="77"/>
  <c r="N64" i="77" s="1"/>
  <c r="M62" i="135"/>
  <c r="N62" i="135" s="1"/>
  <c r="O62" i="135"/>
  <c r="L63" i="135"/>
  <c r="G108" i="95"/>
  <c r="K107" i="95"/>
  <c r="I68" i="147"/>
  <c r="J68" i="147" s="1"/>
  <c r="I69" i="148"/>
  <c r="J69" i="148" s="1"/>
  <c r="E71" i="147"/>
  <c r="F70" i="147"/>
  <c r="N68" i="148"/>
  <c r="N67" i="147"/>
  <c r="E72" i="148"/>
  <c r="F71" i="148"/>
  <c r="M68" i="147"/>
  <c r="L63" i="133"/>
  <c r="J64" i="133"/>
  <c r="K64" i="133" s="1"/>
  <c r="F65" i="133"/>
  <c r="G64" i="133"/>
  <c r="H63" i="133"/>
  <c r="I63" i="133" s="1"/>
  <c r="E69" i="134"/>
  <c r="F68" i="134"/>
  <c r="H83" i="95"/>
  <c r="I82" i="95"/>
  <c r="I42" i="113"/>
  <c r="N63" i="133"/>
  <c r="H115" i="112"/>
  <c r="D117" i="113" s="1"/>
  <c r="M62" i="133"/>
  <c r="E68" i="95"/>
  <c r="O67" i="95"/>
  <c r="F67" i="95"/>
  <c r="J67" i="95" s="1"/>
  <c r="N67" i="95" s="1"/>
  <c r="L64" i="134"/>
  <c r="M63" i="134"/>
  <c r="N63" i="134" s="1"/>
  <c r="O63" i="134"/>
  <c r="H68" i="134"/>
  <c r="I67" i="134"/>
  <c r="J67" i="134" s="1"/>
  <c r="B143" i="77"/>
  <c r="K66" i="135"/>
  <c r="G67" i="135"/>
  <c r="K40" i="112"/>
  <c r="I41" i="112" s="1"/>
  <c r="C43" i="113" s="1"/>
  <c r="H43" i="113" s="1"/>
  <c r="B43" i="113" s="1"/>
  <c r="H66" i="135"/>
  <c r="I65" i="135"/>
  <c r="J65" i="135" s="1"/>
  <c r="G69" i="134"/>
  <c r="K68" i="134"/>
  <c r="F43" i="113"/>
  <c r="G43" i="113" s="1"/>
  <c r="E67" i="135"/>
  <c r="F66" i="135"/>
  <c r="D65" i="133"/>
  <c r="E64" i="133"/>
  <c r="D84" i="93"/>
  <c r="E83" i="93"/>
  <c r="L82" i="111"/>
  <c r="E83" i="111"/>
  <c r="H72" i="147" l="1"/>
  <c r="I72" i="147" s="1"/>
  <c r="L72" i="148"/>
  <c r="L76" i="95"/>
  <c r="M75" i="95"/>
  <c r="H71" i="148"/>
  <c r="I70" i="148"/>
  <c r="J70" i="148" s="1"/>
  <c r="O70" i="148"/>
  <c r="F64" i="110"/>
  <c r="G63" i="110"/>
  <c r="L63" i="110"/>
  <c r="X87" i="114"/>
  <c r="J42" i="113"/>
  <c r="N68" i="147"/>
  <c r="E132" i="110"/>
  <c r="M131" i="110"/>
  <c r="N120" i="110"/>
  <c r="O119" i="110"/>
  <c r="J89" i="114"/>
  <c r="Y89" i="114" s="1"/>
  <c r="I90" i="114"/>
  <c r="K89" i="114"/>
  <c r="P88" i="114"/>
  <c r="L88" i="114"/>
  <c r="M88" i="114" s="1"/>
  <c r="U88" i="114" s="1"/>
  <c r="N69" i="148"/>
  <c r="S64" i="78"/>
  <c r="N64" i="78"/>
  <c r="O64" i="78" s="1"/>
  <c r="T63" i="78"/>
  <c r="P63" i="78"/>
  <c r="L65" i="78"/>
  <c r="I66" i="78"/>
  <c r="K68" i="78"/>
  <c r="B69" i="78"/>
  <c r="F67" i="78"/>
  <c r="C68" i="78"/>
  <c r="R62" i="78"/>
  <c r="R63" i="78"/>
  <c r="F92" i="114"/>
  <c r="G91" i="114"/>
  <c r="G75" i="91"/>
  <c r="E76" i="91"/>
  <c r="J72" i="91"/>
  <c r="I73" i="91"/>
  <c r="H74" i="91"/>
  <c r="E131" i="88"/>
  <c r="M130" i="88"/>
  <c r="N94" i="88"/>
  <c r="O93" i="88"/>
  <c r="L65" i="88"/>
  <c r="F66" i="88"/>
  <c r="G65" i="88"/>
  <c r="K65" i="88" s="1"/>
  <c r="P65" i="88" s="1"/>
  <c r="L68" i="77"/>
  <c r="C69" i="77"/>
  <c r="O64" i="77"/>
  <c r="S64" i="77"/>
  <c r="T63" i="77"/>
  <c r="P63" i="77"/>
  <c r="Q63" i="77"/>
  <c r="H66" i="77"/>
  <c r="K65" i="77"/>
  <c r="N65" i="77" s="1"/>
  <c r="O63" i="135"/>
  <c r="M63" i="135"/>
  <c r="N63" i="135" s="1"/>
  <c r="L64" i="135"/>
  <c r="K108" i="95"/>
  <c r="G109" i="95"/>
  <c r="L70" i="147"/>
  <c r="O70" i="147" s="1"/>
  <c r="M69" i="147"/>
  <c r="E72" i="147"/>
  <c r="F71" i="147"/>
  <c r="E73" i="148"/>
  <c r="F72" i="148"/>
  <c r="I69" i="147"/>
  <c r="J69" i="147" s="1"/>
  <c r="I70" i="147"/>
  <c r="J70" i="147" s="1"/>
  <c r="I71" i="147"/>
  <c r="L64" i="133"/>
  <c r="N64" i="133"/>
  <c r="F44" i="113"/>
  <c r="G44" i="113" s="1"/>
  <c r="H116" i="112"/>
  <c r="D118" i="113" s="1"/>
  <c r="L83" i="111"/>
  <c r="E84" i="111"/>
  <c r="L84" i="111" s="1"/>
  <c r="D85" i="93"/>
  <c r="E84" i="93"/>
  <c r="K69" i="134"/>
  <c r="G70" i="134"/>
  <c r="J41" i="112"/>
  <c r="B144" i="77"/>
  <c r="H69" i="134"/>
  <c r="I68" i="134"/>
  <c r="J68" i="134" s="1"/>
  <c r="E70" i="134"/>
  <c r="F69" i="134"/>
  <c r="G65" i="133"/>
  <c r="H64" i="133"/>
  <c r="I64" i="133" s="1"/>
  <c r="J65" i="133"/>
  <c r="K65" i="133" s="1"/>
  <c r="F66" i="133"/>
  <c r="D66" i="133"/>
  <c r="E65" i="133"/>
  <c r="E68" i="135"/>
  <c r="F67" i="135"/>
  <c r="I43" i="113"/>
  <c r="H67" i="135"/>
  <c r="I66" i="135"/>
  <c r="J66" i="135" s="1"/>
  <c r="G68" i="135"/>
  <c r="K67" i="135"/>
  <c r="L65" i="134"/>
  <c r="M64" i="134"/>
  <c r="N64" i="134" s="1"/>
  <c r="O64" i="134"/>
  <c r="E69" i="95"/>
  <c r="O68" i="95"/>
  <c r="F68" i="95"/>
  <c r="J68" i="95" s="1"/>
  <c r="N68" i="95" s="1"/>
  <c r="H84" i="95"/>
  <c r="I83" i="95"/>
  <c r="M63" i="133"/>
  <c r="J71" i="147" l="1"/>
  <c r="H73" i="147"/>
  <c r="O71" i="148"/>
  <c r="L73" i="148"/>
  <c r="L77" i="95"/>
  <c r="M76" i="95"/>
  <c r="N70" i="148"/>
  <c r="H72" i="148"/>
  <c r="I71" i="148"/>
  <c r="J71" i="148" s="1"/>
  <c r="G64" i="110"/>
  <c r="F65" i="110"/>
  <c r="L64" i="110"/>
  <c r="V88" i="114"/>
  <c r="W88" i="114" s="1"/>
  <c r="X88" i="114"/>
  <c r="N121" i="110"/>
  <c r="O120" i="110"/>
  <c r="M132" i="110"/>
  <c r="E133" i="110"/>
  <c r="P89" i="114"/>
  <c r="L89" i="114"/>
  <c r="M89" i="114" s="1"/>
  <c r="U89" i="114" s="1"/>
  <c r="I91" i="114"/>
  <c r="J90" i="114"/>
  <c r="Y90" i="114" s="1"/>
  <c r="K90" i="114"/>
  <c r="J43" i="113"/>
  <c r="P64" i="78"/>
  <c r="T64" i="78"/>
  <c r="Q64" i="78"/>
  <c r="K69" i="78"/>
  <c r="B70" i="78"/>
  <c r="N65" i="78"/>
  <c r="O65" i="78" s="1"/>
  <c r="S65" i="78"/>
  <c r="C69" i="78"/>
  <c r="F68" i="78"/>
  <c r="I67" i="78"/>
  <c r="L66" i="78"/>
  <c r="F93" i="114"/>
  <c r="G92" i="114"/>
  <c r="H75" i="91"/>
  <c r="I74" i="91"/>
  <c r="J73" i="91"/>
  <c r="G76" i="91"/>
  <c r="E77" i="91"/>
  <c r="E132" i="88"/>
  <c r="M131" i="88"/>
  <c r="N95" i="88"/>
  <c r="O94" i="88"/>
  <c r="L66" i="88"/>
  <c r="G66" i="88"/>
  <c r="K66" i="88" s="1"/>
  <c r="P66" i="88" s="1"/>
  <c r="F67" i="88"/>
  <c r="C70" i="77"/>
  <c r="L69" i="77"/>
  <c r="O65" i="77"/>
  <c r="S65" i="77"/>
  <c r="R63" i="77"/>
  <c r="H67" i="77"/>
  <c r="K66" i="77"/>
  <c r="N66" i="77" s="1"/>
  <c r="P64" i="77"/>
  <c r="Q64" i="77"/>
  <c r="T64" i="77"/>
  <c r="M64" i="135"/>
  <c r="N64" i="135" s="1"/>
  <c r="O64" i="135"/>
  <c r="L65" i="135"/>
  <c r="G110" i="95"/>
  <c r="K109" i="95"/>
  <c r="E74" i="148"/>
  <c r="F73" i="148"/>
  <c r="M71" i="148"/>
  <c r="L71" i="147"/>
  <c r="M70" i="147"/>
  <c r="N70" i="147" s="1"/>
  <c r="E73" i="147"/>
  <c r="F72" i="147"/>
  <c r="J72" i="147" s="1"/>
  <c r="N69" i="147"/>
  <c r="L65" i="133"/>
  <c r="N65" i="133"/>
  <c r="F45" i="113"/>
  <c r="E70" i="95"/>
  <c r="O69" i="95"/>
  <c r="F69" i="95"/>
  <c r="J69" i="95" s="1"/>
  <c r="N69" i="95" s="1"/>
  <c r="H68" i="135"/>
  <c r="I67" i="135"/>
  <c r="J67" i="135" s="1"/>
  <c r="K41" i="112"/>
  <c r="I42" i="112" s="1"/>
  <c r="C44" i="113" s="1"/>
  <c r="H44" i="113" s="1"/>
  <c r="B44" i="113" s="1"/>
  <c r="K70" i="134"/>
  <c r="G71" i="134"/>
  <c r="D86" i="93"/>
  <c r="E85" i="93"/>
  <c r="E85" i="111"/>
  <c r="H85" i="95"/>
  <c r="I84" i="95"/>
  <c r="L66" i="134"/>
  <c r="M65" i="134"/>
  <c r="N65" i="134" s="1"/>
  <c r="O65" i="134"/>
  <c r="G69" i="135"/>
  <c r="E69" i="135"/>
  <c r="F68" i="135"/>
  <c r="D67" i="133"/>
  <c r="E66" i="133"/>
  <c r="J66" i="133"/>
  <c r="K66" i="133" s="1"/>
  <c r="F67" i="133"/>
  <c r="G66" i="133"/>
  <c r="H65" i="133"/>
  <c r="I65" i="133" s="1"/>
  <c r="E71" i="134"/>
  <c r="F70" i="134"/>
  <c r="H70" i="134"/>
  <c r="I69" i="134"/>
  <c r="J69" i="134" s="1"/>
  <c r="B145" i="77"/>
  <c r="B146" i="77" s="1"/>
  <c r="B147" i="77" s="1"/>
  <c r="H117" i="112"/>
  <c r="D119" i="113" s="1"/>
  <c r="I44" i="113"/>
  <c r="M64" i="133"/>
  <c r="H74" i="147" l="1"/>
  <c r="I73" i="147"/>
  <c r="B148" i="77"/>
  <c r="O72" i="148"/>
  <c r="L74" i="148"/>
  <c r="K67" i="133"/>
  <c r="M77" i="95"/>
  <c r="L78" i="95"/>
  <c r="M71" i="147"/>
  <c r="O71" i="147"/>
  <c r="H73" i="148"/>
  <c r="I72" i="148"/>
  <c r="J72" i="148" s="1"/>
  <c r="N71" i="148"/>
  <c r="L65" i="110"/>
  <c r="F66" i="110"/>
  <c r="G65" i="110"/>
  <c r="X89" i="114"/>
  <c r="V89" i="114"/>
  <c r="W89" i="114" s="1"/>
  <c r="M133" i="110"/>
  <c r="E134" i="110"/>
  <c r="N122" i="110"/>
  <c r="O121" i="110"/>
  <c r="J42" i="112"/>
  <c r="J43" i="112" s="1"/>
  <c r="I92" i="114"/>
  <c r="J91" i="114"/>
  <c r="Y91" i="114" s="1"/>
  <c r="K91" i="114"/>
  <c r="P90" i="114"/>
  <c r="L90" i="114"/>
  <c r="M90" i="114" s="1"/>
  <c r="U90" i="114" s="1"/>
  <c r="X90" i="114" s="1"/>
  <c r="L67" i="78"/>
  <c r="I68" i="78"/>
  <c r="P65" i="78"/>
  <c r="T65" i="78"/>
  <c r="R64" i="78"/>
  <c r="S66" i="78"/>
  <c r="N66" i="78"/>
  <c r="O66" i="78" s="1"/>
  <c r="Q66" i="78" s="1"/>
  <c r="Q65" i="78"/>
  <c r="F69" i="78"/>
  <c r="C70" i="78"/>
  <c r="B71" i="78"/>
  <c r="K70" i="78"/>
  <c r="F94" i="114"/>
  <c r="G93" i="114"/>
  <c r="J44" i="113"/>
  <c r="H76" i="91"/>
  <c r="I75" i="91"/>
  <c r="G77" i="91"/>
  <c r="E78" i="91"/>
  <c r="J74" i="91"/>
  <c r="M132" i="88"/>
  <c r="E133" i="88"/>
  <c r="N96" i="88"/>
  <c r="O95" i="88"/>
  <c r="G67" i="88"/>
  <c r="K67" i="88" s="1"/>
  <c r="P67" i="88" s="1"/>
  <c r="L67" i="88"/>
  <c r="F68" i="88"/>
  <c r="L70" i="77"/>
  <c r="C71" i="77"/>
  <c r="R64" i="77"/>
  <c r="K67" i="77"/>
  <c r="H68" i="77"/>
  <c r="S66" i="77"/>
  <c r="O66" i="77"/>
  <c r="T65" i="77"/>
  <c r="P65" i="77"/>
  <c r="Q65" i="77"/>
  <c r="M65" i="135"/>
  <c r="N65" i="135" s="1"/>
  <c r="O65" i="135"/>
  <c r="L66" i="135"/>
  <c r="G111" i="95"/>
  <c r="K110" i="95"/>
  <c r="E74" i="147"/>
  <c r="F73" i="147"/>
  <c r="L72" i="147"/>
  <c r="M72" i="148"/>
  <c r="E75" i="148"/>
  <c r="F74" i="148"/>
  <c r="L66" i="133"/>
  <c r="G67" i="133"/>
  <c r="H66" i="133"/>
  <c r="I66" i="133" s="1"/>
  <c r="F68" i="133"/>
  <c r="N66" i="133"/>
  <c r="E70" i="135"/>
  <c r="F69" i="135"/>
  <c r="G70" i="135"/>
  <c r="H118" i="112"/>
  <c r="D120" i="113" s="1"/>
  <c r="D87" i="93"/>
  <c r="E86" i="93"/>
  <c r="K42" i="112"/>
  <c r="I43" i="112" s="1"/>
  <c r="C45" i="113" s="1"/>
  <c r="H45" i="113" s="1"/>
  <c r="B45" i="113" s="1"/>
  <c r="I45" i="113"/>
  <c r="H71" i="134"/>
  <c r="I70" i="134"/>
  <c r="J70" i="134" s="1"/>
  <c r="E72" i="134"/>
  <c r="F71" i="134"/>
  <c r="D68" i="133"/>
  <c r="E67" i="133"/>
  <c r="L67" i="134"/>
  <c r="M66" i="134"/>
  <c r="N66" i="134" s="1"/>
  <c r="O66" i="134"/>
  <c r="H86" i="95"/>
  <c r="I85" i="95"/>
  <c r="L85" i="111"/>
  <c r="E86" i="111"/>
  <c r="G72" i="134"/>
  <c r="K71" i="134"/>
  <c r="H69" i="135"/>
  <c r="I68" i="135"/>
  <c r="J68" i="135" s="1"/>
  <c r="E71" i="95"/>
  <c r="O70" i="95"/>
  <c r="F70" i="95"/>
  <c r="J70" i="95" s="1"/>
  <c r="N70" i="95" s="1"/>
  <c r="G45" i="113"/>
  <c r="M65" i="133"/>
  <c r="J73" i="147" l="1"/>
  <c r="O72" i="147"/>
  <c r="H75" i="147"/>
  <c r="I74" i="147"/>
  <c r="B149" i="77"/>
  <c r="L75" i="148"/>
  <c r="O73" i="148"/>
  <c r="N72" i="148"/>
  <c r="M78" i="95"/>
  <c r="L79" i="95"/>
  <c r="N71" i="147"/>
  <c r="H74" i="148"/>
  <c r="I73" i="148"/>
  <c r="J73" i="148" s="1"/>
  <c r="L66" i="110"/>
  <c r="F67" i="110"/>
  <c r="G66" i="110"/>
  <c r="V90" i="114"/>
  <c r="W90" i="114" s="1"/>
  <c r="N123" i="110"/>
  <c r="O122" i="110"/>
  <c r="E135" i="110"/>
  <c r="M134" i="110"/>
  <c r="P91" i="114"/>
  <c r="L91" i="114"/>
  <c r="M91" i="114" s="1"/>
  <c r="U91" i="114" s="1"/>
  <c r="J92" i="114"/>
  <c r="Y92" i="114" s="1"/>
  <c r="K92" i="114"/>
  <c r="I93" i="114"/>
  <c r="R66" i="78"/>
  <c r="C71" i="78"/>
  <c r="F70" i="78"/>
  <c r="N67" i="78"/>
  <c r="O67" i="78" s="1"/>
  <c r="Q67" i="78" s="1"/>
  <c r="R67" i="78" s="1"/>
  <c r="S67" i="78"/>
  <c r="R65" i="78"/>
  <c r="B72" i="78"/>
  <c r="K71" i="78"/>
  <c r="T66" i="78"/>
  <c r="P66" i="78"/>
  <c r="I69" i="78"/>
  <c r="L68" i="78"/>
  <c r="G94" i="114"/>
  <c r="F95" i="114"/>
  <c r="H77" i="91"/>
  <c r="I76" i="91"/>
  <c r="E79" i="91"/>
  <c r="G78" i="91"/>
  <c r="J75" i="91"/>
  <c r="E134" i="88"/>
  <c r="M133" i="88"/>
  <c r="N97" i="88"/>
  <c r="O96" i="88"/>
  <c r="R68" i="88"/>
  <c r="L68" i="88"/>
  <c r="F69" i="88"/>
  <c r="G68" i="88"/>
  <c r="K68" i="88" s="1"/>
  <c r="P68" i="88" s="1"/>
  <c r="C72" i="77"/>
  <c r="L71" i="77"/>
  <c r="N67" i="77"/>
  <c r="R65" i="77"/>
  <c r="P66" i="77"/>
  <c r="Q66" i="77"/>
  <c r="T66" i="77"/>
  <c r="K68" i="77"/>
  <c r="N68" i="77" s="1"/>
  <c r="H69" i="77"/>
  <c r="M66" i="135"/>
  <c r="N66" i="135" s="1"/>
  <c r="O66" i="135"/>
  <c r="L67" i="135"/>
  <c r="K111" i="95"/>
  <c r="G112" i="95"/>
  <c r="M73" i="148"/>
  <c r="E76" i="148"/>
  <c r="F75" i="148"/>
  <c r="L73" i="147"/>
  <c r="M72" i="147"/>
  <c r="N72" i="147" s="1"/>
  <c r="E75" i="147"/>
  <c r="F74" i="147"/>
  <c r="J74" i="147" s="1"/>
  <c r="L67" i="133"/>
  <c r="N67" i="133"/>
  <c r="H70" i="135"/>
  <c r="I69" i="135"/>
  <c r="J69" i="135" s="1"/>
  <c r="E87" i="111"/>
  <c r="L86" i="111"/>
  <c r="H87" i="95"/>
  <c r="I86" i="95"/>
  <c r="L68" i="134"/>
  <c r="M67" i="134"/>
  <c r="N67" i="134" s="1"/>
  <c r="O67" i="134"/>
  <c r="D69" i="133"/>
  <c r="E68" i="133"/>
  <c r="E73" i="134"/>
  <c r="F72" i="134"/>
  <c r="K43" i="112"/>
  <c r="I44" i="112" s="1"/>
  <c r="C46" i="113" s="1"/>
  <c r="H46" i="113" s="1"/>
  <c r="B46" i="113" s="1"/>
  <c r="D88" i="93"/>
  <c r="E87" i="93"/>
  <c r="K68" i="133"/>
  <c r="F69" i="133"/>
  <c r="F46" i="113"/>
  <c r="G46" i="113" s="1"/>
  <c r="E72" i="95"/>
  <c r="O71" i="95"/>
  <c r="F71" i="95"/>
  <c r="J71" i="95" s="1"/>
  <c r="N71" i="95" s="1"/>
  <c r="K72" i="134"/>
  <c r="G73" i="134"/>
  <c r="K73" i="134" s="1"/>
  <c r="H119" i="112"/>
  <c r="D121" i="113" s="1"/>
  <c r="H72" i="134"/>
  <c r="I71" i="134"/>
  <c r="J71" i="134" s="1"/>
  <c r="G71" i="135"/>
  <c r="E71" i="135"/>
  <c r="F70" i="135"/>
  <c r="G68" i="133"/>
  <c r="H67" i="133"/>
  <c r="I67" i="133" s="1"/>
  <c r="M66" i="133"/>
  <c r="J45" i="113"/>
  <c r="N73" i="148" l="1"/>
  <c r="H76" i="147"/>
  <c r="I75" i="147"/>
  <c r="B150" i="77"/>
  <c r="O74" i="148"/>
  <c r="L76" i="148"/>
  <c r="K69" i="133"/>
  <c r="J44" i="112"/>
  <c r="K44" i="112" s="1"/>
  <c r="I45" i="112" s="1"/>
  <c r="C47" i="113" s="1"/>
  <c r="H47" i="113" s="1"/>
  <c r="B47" i="113" s="1"/>
  <c r="M79" i="95"/>
  <c r="L80" i="95"/>
  <c r="L74" i="147"/>
  <c r="M74" i="147" s="1"/>
  <c r="N74" i="147" s="1"/>
  <c r="O73" i="147"/>
  <c r="H75" i="148"/>
  <c r="O75" i="148" s="1"/>
  <c r="I74" i="148"/>
  <c r="J74" i="148" s="1"/>
  <c r="F68" i="110"/>
  <c r="G67" i="110"/>
  <c r="L67" i="110"/>
  <c r="X91" i="114"/>
  <c r="V91" i="114"/>
  <c r="W91" i="114" s="1"/>
  <c r="M135" i="110"/>
  <c r="E136" i="110"/>
  <c r="N124" i="110"/>
  <c r="O123" i="110"/>
  <c r="L92" i="114"/>
  <c r="M92" i="114" s="1"/>
  <c r="U92" i="114" s="1"/>
  <c r="V92" i="114" s="1"/>
  <c r="W92" i="114" s="1"/>
  <c r="P92" i="114"/>
  <c r="K93" i="114"/>
  <c r="J93" i="114"/>
  <c r="Y93" i="114" s="1"/>
  <c r="I94" i="114"/>
  <c r="L69" i="78"/>
  <c r="I70" i="78"/>
  <c r="C72" i="78"/>
  <c r="F71" i="78"/>
  <c r="N68" i="78"/>
  <c r="O68" i="78" s="1"/>
  <c r="Q68" i="78" s="1"/>
  <c r="S68" i="78"/>
  <c r="K72" i="78"/>
  <c r="B73" i="78"/>
  <c r="P67" i="78"/>
  <c r="T67" i="78"/>
  <c r="G95" i="114"/>
  <c r="F96" i="114"/>
  <c r="G79" i="91"/>
  <c r="E80" i="91"/>
  <c r="H78" i="91"/>
  <c r="I77" i="91"/>
  <c r="J76" i="91"/>
  <c r="M134" i="88"/>
  <c r="E135" i="88"/>
  <c r="N98" i="88"/>
  <c r="O97" i="88"/>
  <c r="G69" i="88"/>
  <c r="K69" i="88" s="1"/>
  <c r="P69" i="88" s="1"/>
  <c r="F70" i="88"/>
  <c r="L69" i="88"/>
  <c r="R69" i="88"/>
  <c r="C73" i="77"/>
  <c r="L72" i="77"/>
  <c r="H70" i="77"/>
  <c r="K69" i="77"/>
  <c r="N69" i="77" s="1"/>
  <c r="S67" i="77"/>
  <c r="O67" i="77"/>
  <c r="O68" i="77"/>
  <c r="S68" i="77"/>
  <c r="R66" i="77"/>
  <c r="O67" i="135"/>
  <c r="M67" i="135"/>
  <c r="N67" i="135" s="1"/>
  <c r="L68" i="135"/>
  <c r="K112" i="95"/>
  <c r="G113" i="95"/>
  <c r="M73" i="147"/>
  <c r="N73" i="147" s="1"/>
  <c r="M74" i="148"/>
  <c r="M75" i="148"/>
  <c r="E76" i="147"/>
  <c r="F75" i="147"/>
  <c r="E77" i="148"/>
  <c r="F76" i="148"/>
  <c r="L68" i="133"/>
  <c r="F47" i="113"/>
  <c r="G47" i="113" s="1"/>
  <c r="G69" i="133"/>
  <c r="H68" i="133"/>
  <c r="I68" i="133" s="1"/>
  <c r="E72" i="135"/>
  <c r="F71" i="135"/>
  <c r="H73" i="134"/>
  <c r="I72" i="134"/>
  <c r="J72" i="134" s="1"/>
  <c r="G74" i="134"/>
  <c r="E73" i="95"/>
  <c r="O72" i="95"/>
  <c r="F72" i="95"/>
  <c r="J72" i="95" s="1"/>
  <c r="N72" i="95" s="1"/>
  <c r="E74" i="134"/>
  <c r="F73" i="134"/>
  <c r="N68" i="133"/>
  <c r="H88" i="95"/>
  <c r="I87" i="95"/>
  <c r="L87" i="111"/>
  <c r="E88" i="111"/>
  <c r="G72" i="135"/>
  <c r="I46" i="113"/>
  <c r="F70" i="133"/>
  <c r="D89" i="93"/>
  <c r="E88" i="93"/>
  <c r="D70" i="133"/>
  <c r="E69" i="133"/>
  <c r="L69" i="134"/>
  <c r="M68" i="134"/>
  <c r="N68" i="134" s="1"/>
  <c r="O68" i="134"/>
  <c r="H120" i="112"/>
  <c r="D122" i="113" s="1"/>
  <c r="H71" i="135"/>
  <c r="I70" i="135"/>
  <c r="J70" i="135" s="1"/>
  <c r="M67" i="133"/>
  <c r="J75" i="147" l="1"/>
  <c r="H77" i="147"/>
  <c r="I76" i="147"/>
  <c r="K74" i="134"/>
  <c r="L77" i="148"/>
  <c r="M77" i="148" s="1"/>
  <c r="M76" i="148"/>
  <c r="B151" i="77"/>
  <c r="B152" i="77" s="1"/>
  <c r="B153" i="77" s="1"/>
  <c r="N74" i="148"/>
  <c r="M80" i="95"/>
  <c r="L81" i="95"/>
  <c r="L75" i="147"/>
  <c r="O74" i="147"/>
  <c r="H76" i="148"/>
  <c r="I75" i="148"/>
  <c r="J75" i="148" s="1"/>
  <c r="N75" i="148" s="1"/>
  <c r="G68" i="110"/>
  <c r="F69" i="110"/>
  <c r="L68" i="110"/>
  <c r="R68" i="110"/>
  <c r="X92" i="114"/>
  <c r="N125" i="110"/>
  <c r="O124" i="110"/>
  <c r="M136" i="110"/>
  <c r="E137" i="110"/>
  <c r="L93" i="114"/>
  <c r="M93" i="114" s="1"/>
  <c r="U93" i="114" s="1"/>
  <c r="X93" i="114" s="1"/>
  <c r="P93" i="114"/>
  <c r="J94" i="114"/>
  <c r="Y94" i="114" s="1"/>
  <c r="K94" i="114"/>
  <c r="I95" i="114"/>
  <c r="F72" i="78"/>
  <c r="C73" i="78"/>
  <c r="B74" i="78"/>
  <c r="K73" i="78"/>
  <c r="P68" i="78"/>
  <c r="T68" i="78"/>
  <c r="L70" i="78"/>
  <c r="I71" i="78"/>
  <c r="R68" i="78"/>
  <c r="S69" i="78"/>
  <c r="N69" i="78"/>
  <c r="O69" i="78" s="1"/>
  <c r="F97" i="114"/>
  <c r="G96" i="114"/>
  <c r="I78" i="91"/>
  <c r="H79" i="91"/>
  <c r="J77" i="91"/>
  <c r="E81" i="91"/>
  <c r="G80" i="91"/>
  <c r="E136" i="88"/>
  <c r="M135" i="88"/>
  <c r="N99" i="88"/>
  <c r="O98" i="88"/>
  <c r="L70" i="88"/>
  <c r="R70" i="88"/>
  <c r="F71" i="88"/>
  <c r="G70" i="88"/>
  <c r="K70" i="88" s="1"/>
  <c r="P70" i="88" s="1"/>
  <c r="C74" i="77"/>
  <c r="L73" i="77"/>
  <c r="Q67" i="77"/>
  <c r="P67" i="77"/>
  <c r="T67" i="77"/>
  <c r="O69" i="77"/>
  <c r="S69" i="77"/>
  <c r="T68" i="77"/>
  <c r="Q68" i="77"/>
  <c r="P68" i="77"/>
  <c r="K70" i="77"/>
  <c r="N70" i="77" s="1"/>
  <c r="H71" i="77"/>
  <c r="M68" i="135"/>
  <c r="N68" i="135" s="1"/>
  <c r="O68" i="135"/>
  <c r="L69" i="135"/>
  <c r="G114" i="95"/>
  <c r="K113" i="95"/>
  <c r="E78" i="148"/>
  <c r="F77" i="148"/>
  <c r="E77" i="147"/>
  <c r="F76" i="147"/>
  <c r="J76" i="147" s="1"/>
  <c r="L69" i="133"/>
  <c r="N69" i="133"/>
  <c r="D90" i="93"/>
  <c r="E89" i="93"/>
  <c r="K70" i="133"/>
  <c r="F71" i="133"/>
  <c r="J46" i="113"/>
  <c r="L88" i="111"/>
  <c r="E89" i="111"/>
  <c r="H89" i="95"/>
  <c r="I88" i="95"/>
  <c r="E75" i="134"/>
  <c r="F74" i="134"/>
  <c r="E74" i="95"/>
  <c r="O73" i="95"/>
  <c r="F73" i="95"/>
  <c r="J73" i="95" s="1"/>
  <c r="N73" i="95" s="1"/>
  <c r="H74" i="134"/>
  <c r="I73" i="134"/>
  <c r="J73" i="134" s="1"/>
  <c r="E73" i="135"/>
  <c r="F72" i="135"/>
  <c r="G70" i="133"/>
  <c r="H69" i="133"/>
  <c r="I69" i="133" s="1"/>
  <c r="I47" i="113"/>
  <c r="H72" i="135"/>
  <c r="I71" i="135"/>
  <c r="J71" i="135" s="1"/>
  <c r="L70" i="134"/>
  <c r="M69" i="134"/>
  <c r="N69" i="134" s="1"/>
  <c r="O69" i="134"/>
  <c r="D71" i="133"/>
  <c r="E70" i="133"/>
  <c r="G73" i="135"/>
  <c r="H121" i="112"/>
  <c r="D123" i="113" s="1"/>
  <c r="J45" i="112"/>
  <c r="G75" i="134"/>
  <c r="K75" i="134" s="1"/>
  <c r="F48" i="113"/>
  <c r="M68" i="133"/>
  <c r="B154" i="77" l="1"/>
  <c r="H78" i="147"/>
  <c r="I77" i="147"/>
  <c r="O76" i="148"/>
  <c r="L78" i="148"/>
  <c r="L82" i="95"/>
  <c r="M81" i="95"/>
  <c r="L76" i="147"/>
  <c r="M75" i="147"/>
  <c r="N75" i="147" s="1"/>
  <c r="O75" i="147"/>
  <c r="H77" i="148"/>
  <c r="O77" i="148" s="1"/>
  <c r="I76" i="148"/>
  <c r="J76" i="148" s="1"/>
  <c r="N76" i="148" s="1"/>
  <c r="L69" i="110"/>
  <c r="G69" i="110"/>
  <c r="R69" i="110"/>
  <c r="F70" i="110"/>
  <c r="V93" i="114"/>
  <c r="W93" i="114" s="1"/>
  <c r="E138" i="110"/>
  <c r="M137" i="110"/>
  <c r="N126" i="110"/>
  <c r="O125" i="110"/>
  <c r="P94" i="114"/>
  <c r="L94" i="114"/>
  <c r="M94" i="114" s="1"/>
  <c r="U94" i="114" s="1"/>
  <c r="X94" i="114" s="1"/>
  <c r="J95" i="114"/>
  <c r="Y95" i="114" s="1"/>
  <c r="K95" i="114"/>
  <c r="I96" i="114"/>
  <c r="S70" i="78"/>
  <c r="N70" i="78"/>
  <c r="O70" i="78" s="1"/>
  <c r="Q70" i="78" s="1"/>
  <c r="B75" i="78"/>
  <c r="K74" i="78"/>
  <c r="I72" i="78"/>
  <c r="L71" i="78"/>
  <c r="T69" i="78"/>
  <c r="P69" i="78"/>
  <c r="Q69" i="78"/>
  <c r="F73" i="78"/>
  <c r="C74" i="78"/>
  <c r="F98" i="114"/>
  <c r="G97" i="114"/>
  <c r="G81" i="91"/>
  <c r="E82" i="91"/>
  <c r="J78" i="91"/>
  <c r="H80" i="91"/>
  <c r="I79" i="91"/>
  <c r="M136" i="88"/>
  <c r="E137" i="88"/>
  <c r="N100" i="88"/>
  <c r="O99" i="88"/>
  <c r="R71" i="88"/>
  <c r="L71" i="88"/>
  <c r="G71" i="88"/>
  <c r="K71" i="88" s="1"/>
  <c r="P71" i="88" s="1"/>
  <c r="F72" i="88"/>
  <c r="L74" i="77"/>
  <c r="C75" i="77"/>
  <c r="O70" i="77"/>
  <c r="S70" i="77"/>
  <c r="R68" i="77"/>
  <c r="Q69" i="77"/>
  <c r="T69" i="77"/>
  <c r="P69" i="77"/>
  <c r="K71" i="77"/>
  <c r="N71" i="77" s="1"/>
  <c r="H72" i="77"/>
  <c r="R67" i="77"/>
  <c r="M69" i="135"/>
  <c r="N69" i="135" s="1"/>
  <c r="O69" i="135"/>
  <c r="L70" i="135"/>
  <c r="K114" i="95"/>
  <c r="G115" i="95"/>
  <c r="E78" i="147"/>
  <c r="F77" i="147"/>
  <c r="E79" i="148"/>
  <c r="F78" i="148"/>
  <c r="L70" i="133"/>
  <c r="N70" i="133"/>
  <c r="G76" i="134"/>
  <c r="K76" i="134" s="1"/>
  <c r="G74" i="135"/>
  <c r="D72" i="133"/>
  <c r="E71" i="133"/>
  <c r="L71" i="134"/>
  <c r="M70" i="134"/>
  <c r="N70" i="134" s="1"/>
  <c r="O70" i="134"/>
  <c r="G71" i="133"/>
  <c r="H70" i="133"/>
  <c r="I70" i="133" s="1"/>
  <c r="E74" i="135"/>
  <c r="F73" i="135"/>
  <c r="H75" i="134"/>
  <c r="I74" i="134"/>
  <c r="J74" i="134" s="1"/>
  <c r="E75" i="95"/>
  <c r="O74" i="95"/>
  <c r="F74" i="95"/>
  <c r="J74" i="95" s="1"/>
  <c r="N74" i="95" s="1"/>
  <c r="L89" i="111"/>
  <c r="E90" i="111"/>
  <c r="J47" i="113"/>
  <c r="D91" i="93"/>
  <c r="E90" i="93"/>
  <c r="I48" i="113"/>
  <c r="G48" i="113"/>
  <c r="K45" i="112"/>
  <c r="I46" i="112" s="1"/>
  <c r="C48" i="113" s="1"/>
  <c r="H48" i="113" s="1"/>
  <c r="B48" i="113" s="1"/>
  <c r="H73" i="135"/>
  <c r="I72" i="135"/>
  <c r="J72" i="135" s="1"/>
  <c r="E76" i="134"/>
  <c r="F75" i="134"/>
  <c r="H90" i="95"/>
  <c r="I89" i="95"/>
  <c r="H122" i="112"/>
  <c r="D124" i="113" s="1"/>
  <c r="K71" i="133"/>
  <c r="F72" i="133"/>
  <c r="M69" i="133"/>
  <c r="B155" i="77" l="1"/>
  <c r="J77" i="147"/>
  <c r="H79" i="147"/>
  <c r="I78" i="147"/>
  <c r="L79" i="148"/>
  <c r="M78" i="148"/>
  <c r="E80" i="148"/>
  <c r="K72" i="133"/>
  <c r="M82" i="95"/>
  <c r="L83" i="95"/>
  <c r="L77" i="147"/>
  <c r="M76" i="147"/>
  <c r="N76" i="147" s="1"/>
  <c r="O76" i="147"/>
  <c r="H78" i="148"/>
  <c r="I77" i="148"/>
  <c r="J77" i="148" s="1"/>
  <c r="N77" i="148" s="1"/>
  <c r="G70" i="110"/>
  <c r="F71" i="110"/>
  <c r="L70" i="110"/>
  <c r="R70" i="110"/>
  <c r="V94" i="114"/>
  <c r="W94" i="114" s="1"/>
  <c r="N127" i="110"/>
  <c r="O126" i="110"/>
  <c r="E139" i="110"/>
  <c r="M138" i="110"/>
  <c r="L95" i="114"/>
  <c r="M95" i="114" s="1"/>
  <c r="U95" i="114" s="1"/>
  <c r="V95" i="114" s="1"/>
  <c r="P95" i="114"/>
  <c r="K96" i="114"/>
  <c r="I97" i="114"/>
  <c r="J96" i="114"/>
  <c r="Y96" i="114" s="1"/>
  <c r="B76" i="78"/>
  <c r="K75" i="78"/>
  <c r="F74" i="78"/>
  <c r="C75" i="78"/>
  <c r="R69" i="78"/>
  <c r="N71" i="78"/>
  <c r="O71" i="78" s="1"/>
  <c r="Q71" i="78" s="1"/>
  <c r="S71" i="78"/>
  <c r="R70" i="78"/>
  <c r="L72" i="78"/>
  <c r="I73" i="78"/>
  <c r="P70" i="78"/>
  <c r="T70" i="78"/>
  <c r="F99" i="114"/>
  <c r="G98" i="114"/>
  <c r="J79" i="91"/>
  <c r="H81" i="91"/>
  <c r="I80" i="91"/>
  <c r="G82" i="91"/>
  <c r="E83" i="91"/>
  <c r="M137" i="88"/>
  <c r="E138" i="88"/>
  <c r="N101" i="88"/>
  <c r="O100" i="88"/>
  <c r="L72" i="88"/>
  <c r="G72" i="88"/>
  <c r="K72" i="88" s="1"/>
  <c r="P72" i="88" s="1"/>
  <c r="R72" i="88"/>
  <c r="F73" i="88"/>
  <c r="L75" i="77"/>
  <c r="C76" i="77"/>
  <c r="O71" i="77"/>
  <c r="S71" i="77"/>
  <c r="P70" i="77"/>
  <c r="Q70" i="77"/>
  <c r="T70" i="77"/>
  <c r="H73" i="77"/>
  <c r="K72" i="77"/>
  <c r="N72" i="77" s="1"/>
  <c r="R69" i="77"/>
  <c r="M70" i="135"/>
  <c r="N70" i="135" s="1"/>
  <c r="O70" i="135"/>
  <c r="L71" i="135"/>
  <c r="K115" i="95"/>
  <c r="G116" i="95"/>
  <c r="F79" i="148"/>
  <c r="E79" i="147"/>
  <c r="F78" i="147"/>
  <c r="L71" i="133"/>
  <c r="N71" i="133"/>
  <c r="F73" i="133"/>
  <c r="H91" i="95"/>
  <c r="I90" i="95"/>
  <c r="E77" i="134"/>
  <c r="F76" i="134"/>
  <c r="H74" i="135"/>
  <c r="I73" i="135"/>
  <c r="J73" i="135" s="1"/>
  <c r="J46" i="112"/>
  <c r="F49" i="113"/>
  <c r="G49" i="113" s="1"/>
  <c r="J48" i="113"/>
  <c r="H123" i="112"/>
  <c r="D125" i="113" s="1"/>
  <c r="E76" i="95"/>
  <c r="O75" i="95"/>
  <c r="F75" i="95"/>
  <c r="J75" i="95" s="1"/>
  <c r="N75" i="95" s="1"/>
  <c r="E75" i="135"/>
  <c r="F74" i="135"/>
  <c r="L72" i="134"/>
  <c r="M71" i="134"/>
  <c r="N71" i="134" s="1"/>
  <c r="O71" i="134"/>
  <c r="G77" i="134"/>
  <c r="K77" i="134" s="1"/>
  <c r="D92" i="93"/>
  <c r="E91" i="93"/>
  <c r="L90" i="111"/>
  <c r="E91" i="111"/>
  <c r="H76" i="134"/>
  <c r="I75" i="134"/>
  <c r="J75" i="134" s="1"/>
  <c r="G72" i="133"/>
  <c r="H71" i="133"/>
  <c r="I71" i="133" s="1"/>
  <c r="D73" i="133"/>
  <c r="E72" i="133"/>
  <c r="G75" i="135"/>
  <c r="M70" i="133"/>
  <c r="B156" i="77" l="1"/>
  <c r="J78" i="147"/>
  <c r="O77" i="147"/>
  <c r="H80" i="147"/>
  <c r="I79" i="147"/>
  <c r="X95" i="114"/>
  <c r="O78" i="148"/>
  <c r="F80" i="148"/>
  <c r="E81" i="148"/>
  <c r="L80" i="148"/>
  <c r="M79" i="148"/>
  <c r="M83" i="95"/>
  <c r="L84" i="95"/>
  <c r="L78" i="147"/>
  <c r="M77" i="147"/>
  <c r="N77" i="147" s="1"/>
  <c r="H79" i="148"/>
  <c r="I78" i="148"/>
  <c r="J78" i="148" s="1"/>
  <c r="N78" i="148" s="1"/>
  <c r="R71" i="110"/>
  <c r="F72" i="110"/>
  <c r="G71" i="110"/>
  <c r="L71" i="110"/>
  <c r="E140" i="110"/>
  <c r="M139" i="110"/>
  <c r="N128" i="110"/>
  <c r="O127" i="110"/>
  <c r="J97" i="114"/>
  <c r="Y97" i="114" s="1"/>
  <c r="K97" i="114"/>
  <c r="I98" i="114"/>
  <c r="L96" i="114"/>
  <c r="M96" i="114" s="1"/>
  <c r="U96" i="114" s="1"/>
  <c r="X96" i="114" s="1"/>
  <c r="P96" i="114"/>
  <c r="R71" i="78"/>
  <c r="N72" i="78"/>
  <c r="O72" i="78" s="1"/>
  <c r="S72" i="78"/>
  <c r="F75" i="78"/>
  <c r="C76" i="78"/>
  <c r="K76" i="78"/>
  <c r="B77" i="78"/>
  <c r="P71" i="78"/>
  <c r="T71" i="78"/>
  <c r="L73" i="78"/>
  <c r="I74" i="78"/>
  <c r="W95" i="114"/>
  <c r="G99" i="114"/>
  <c r="F100" i="114"/>
  <c r="H82" i="91"/>
  <c r="I81" i="91"/>
  <c r="E84" i="91"/>
  <c r="G83" i="91"/>
  <c r="J80" i="91"/>
  <c r="M138" i="88"/>
  <c r="E139" i="88"/>
  <c r="N102" i="88"/>
  <c r="O101" i="88"/>
  <c r="F74" i="88"/>
  <c r="R73" i="88"/>
  <c r="G73" i="88"/>
  <c r="K73" i="88" s="1"/>
  <c r="P73" i="88" s="1"/>
  <c r="L73" i="88"/>
  <c r="L76" i="77"/>
  <c r="C77" i="77"/>
  <c r="R70" i="77"/>
  <c r="H74" i="77"/>
  <c r="K73" i="77"/>
  <c r="N73" i="77" s="1"/>
  <c r="P71" i="77"/>
  <c r="Q71" i="77"/>
  <c r="T71" i="77"/>
  <c r="O72" i="77"/>
  <c r="S72" i="77"/>
  <c r="O71" i="135"/>
  <c r="M71" i="135"/>
  <c r="N71" i="135" s="1"/>
  <c r="L72" i="135"/>
  <c r="K116" i="95"/>
  <c r="G117" i="95"/>
  <c r="E80" i="147"/>
  <c r="F79" i="147"/>
  <c r="F50" i="113"/>
  <c r="G50" i="113" s="1"/>
  <c r="L72" i="133"/>
  <c r="N72" i="133"/>
  <c r="G76" i="135"/>
  <c r="K76" i="135" s="1"/>
  <c r="D74" i="133"/>
  <c r="E73" i="133"/>
  <c r="H124" i="112"/>
  <c r="D126" i="113" s="1"/>
  <c r="O76" i="95"/>
  <c r="E77" i="95"/>
  <c r="F76" i="95"/>
  <c r="J76" i="95" s="1"/>
  <c r="K46" i="112"/>
  <c r="I47" i="112" s="1"/>
  <c r="C49" i="113" s="1"/>
  <c r="H49" i="113" s="1"/>
  <c r="B49" i="113" s="1"/>
  <c r="H75" i="135"/>
  <c r="I74" i="135"/>
  <c r="J74" i="135" s="1"/>
  <c r="H92" i="95"/>
  <c r="I91" i="95"/>
  <c r="K73" i="133"/>
  <c r="F74" i="133"/>
  <c r="G73" i="133"/>
  <c r="H72" i="133"/>
  <c r="I72" i="133" s="1"/>
  <c r="H77" i="134"/>
  <c r="I76" i="134"/>
  <c r="J76" i="134" s="1"/>
  <c r="L91" i="111"/>
  <c r="E92" i="111"/>
  <c r="D93" i="93"/>
  <c r="E92" i="93"/>
  <c r="G78" i="134"/>
  <c r="K78" i="134" s="1"/>
  <c r="L73" i="134"/>
  <c r="M72" i="134"/>
  <c r="N72" i="134" s="1"/>
  <c r="O72" i="134"/>
  <c r="E76" i="135"/>
  <c r="F75" i="135"/>
  <c r="I49" i="113"/>
  <c r="E78" i="134"/>
  <c r="F77" i="134"/>
  <c r="M71" i="133"/>
  <c r="J79" i="147" l="1"/>
  <c r="B157" i="77"/>
  <c r="O78" i="147"/>
  <c r="H81" i="147"/>
  <c r="I80" i="147"/>
  <c r="L81" i="148"/>
  <c r="M80" i="148"/>
  <c r="F81" i="148"/>
  <c r="E82" i="148"/>
  <c r="H80" i="148"/>
  <c r="O79" i="148"/>
  <c r="F75" i="133"/>
  <c r="L85" i="95"/>
  <c r="M84" i="95"/>
  <c r="L79" i="147"/>
  <c r="O79" i="147" s="1"/>
  <c r="M78" i="147"/>
  <c r="N78" i="147" s="1"/>
  <c r="I79" i="148"/>
  <c r="J79" i="148" s="1"/>
  <c r="N79" i="148" s="1"/>
  <c r="G72" i="110"/>
  <c r="R72" i="110"/>
  <c r="L72" i="110"/>
  <c r="F73" i="110"/>
  <c r="V96" i="114"/>
  <c r="W96" i="114" s="1"/>
  <c r="N73" i="133"/>
  <c r="N129" i="110"/>
  <c r="O128" i="110"/>
  <c r="E141" i="110"/>
  <c r="M140" i="110"/>
  <c r="I99" i="114"/>
  <c r="J98" i="114"/>
  <c r="Y98" i="114" s="1"/>
  <c r="K98" i="114"/>
  <c r="L97" i="114"/>
  <c r="M97" i="114" s="1"/>
  <c r="U97" i="114" s="1"/>
  <c r="P97" i="114"/>
  <c r="C77" i="78"/>
  <c r="F76" i="78"/>
  <c r="T72" i="78"/>
  <c r="P72" i="78"/>
  <c r="Q72" i="78"/>
  <c r="I75" i="78"/>
  <c r="L74" i="78"/>
  <c r="S73" i="78"/>
  <c r="N73" i="78"/>
  <c r="O73" i="78" s="1"/>
  <c r="B78" i="78"/>
  <c r="K77" i="78"/>
  <c r="F101" i="114"/>
  <c r="G100" i="114"/>
  <c r="E85" i="91"/>
  <c r="G84" i="91"/>
  <c r="I82" i="91"/>
  <c r="H83" i="91"/>
  <c r="J81" i="91"/>
  <c r="M139" i="88"/>
  <c r="E140" i="88"/>
  <c r="N103" i="88"/>
  <c r="O102" i="88"/>
  <c r="L74" i="88"/>
  <c r="F75" i="88"/>
  <c r="R74" i="88"/>
  <c r="G74" i="88"/>
  <c r="K74" i="88" s="1"/>
  <c r="P74" i="88" s="1"/>
  <c r="C78" i="77"/>
  <c r="L77" i="77"/>
  <c r="K74" i="77"/>
  <c r="N74" i="77" s="1"/>
  <c r="H75" i="77"/>
  <c r="P72" i="77"/>
  <c r="Q72" i="77"/>
  <c r="T72" i="77"/>
  <c r="S73" i="77"/>
  <c r="O73" i="77"/>
  <c r="R71" i="77"/>
  <c r="O72" i="135"/>
  <c r="M72" i="135"/>
  <c r="N72" i="135" s="1"/>
  <c r="L73" i="135"/>
  <c r="K117" i="95"/>
  <c r="G118" i="95"/>
  <c r="E81" i="147"/>
  <c r="F80" i="147"/>
  <c r="L73" i="133"/>
  <c r="E77" i="135"/>
  <c r="F76" i="135"/>
  <c r="G79" i="134"/>
  <c r="K79" i="134" s="1"/>
  <c r="D94" i="93"/>
  <c r="E93" i="93"/>
  <c r="L92" i="111"/>
  <c r="E93" i="111"/>
  <c r="H78" i="134"/>
  <c r="I77" i="134"/>
  <c r="J77" i="134" s="1"/>
  <c r="K74" i="133"/>
  <c r="H93" i="95"/>
  <c r="I92" i="95"/>
  <c r="N76" i="95"/>
  <c r="O77" i="95"/>
  <c r="E78" i="95"/>
  <c r="F77" i="95"/>
  <c r="J77" i="95" s="1"/>
  <c r="N77" i="95" s="1"/>
  <c r="G77" i="135"/>
  <c r="F51" i="113"/>
  <c r="G51" i="113" s="1"/>
  <c r="E79" i="134"/>
  <c r="F78" i="134"/>
  <c r="L74" i="134"/>
  <c r="M73" i="134"/>
  <c r="N73" i="134" s="1"/>
  <c r="O73" i="134"/>
  <c r="H125" i="112"/>
  <c r="D127" i="113" s="1"/>
  <c r="G74" i="133"/>
  <c r="H73" i="133"/>
  <c r="I73" i="133" s="1"/>
  <c r="H76" i="135"/>
  <c r="I75" i="135"/>
  <c r="J75" i="135" s="1"/>
  <c r="J47" i="112"/>
  <c r="J49" i="113"/>
  <c r="D75" i="133"/>
  <c r="E74" i="133"/>
  <c r="M72" i="133"/>
  <c r="I50" i="113"/>
  <c r="B158" i="77" l="1"/>
  <c r="J80" i="147"/>
  <c r="H82" i="147"/>
  <c r="I81" i="147"/>
  <c r="K77" i="135"/>
  <c r="G78" i="135"/>
  <c r="G117" i="135" s="1"/>
  <c r="D41" i="159" s="1"/>
  <c r="E83" i="148"/>
  <c r="F82" i="148"/>
  <c r="L82" i="148"/>
  <c r="M81" i="148"/>
  <c r="H81" i="148"/>
  <c r="I80" i="148"/>
  <c r="J80" i="148" s="1"/>
  <c r="N80" i="148" s="1"/>
  <c r="O80" i="148"/>
  <c r="N74" i="133"/>
  <c r="F76" i="133"/>
  <c r="F115" i="133" s="1"/>
  <c r="D40" i="159" s="1"/>
  <c r="K75" i="133"/>
  <c r="L86" i="95"/>
  <c r="M85" i="95"/>
  <c r="L80" i="147"/>
  <c r="M79" i="147"/>
  <c r="N79" i="147" s="1"/>
  <c r="F74" i="110"/>
  <c r="L73" i="110"/>
  <c r="G73" i="110"/>
  <c r="R73" i="110"/>
  <c r="V97" i="114"/>
  <c r="W97" i="114" s="1"/>
  <c r="X97" i="114"/>
  <c r="Q73" i="78"/>
  <c r="R73" i="78" s="1"/>
  <c r="J82" i="91"/>
  <c r="M141" i="110"/>
  <c r="E142" i="110"/>
  <c r="N130" i="110"/>
  <c r="O129" i="110"/>
  <c r="L98" i="114"/>
  <c r="M98" i="114" s="1"/>
  <c r="U98" i="114" s="1"/>
  <c r="P98" i="114"/>
  <c r="I100" i="114"/>
  <c r="K99" i="114"/>
  <c r="J99" i="114"/>
  <c r="Y99" i="114" s="1"/>
  <c r="L75" i="78"/>
  <c r="I76" i="78"/>
  <c r="R72" i="78"/>
  <c r="F77" i="78"/>
  <c r="C78" i="78"/>
  <c r="P73" i="78"/>
  <c r="T73" i="78"/>
  <c r="B79" i="78"/>
  <c r="K78" i="78"/>
  <c r="S74" i="78"/>
  <c r="N74" i="78"/>
  <c r="O74" i="78" s="1"/>
  <c r="F102" i="114"/>
  <c r="G101" i="114"/>
  <c r="G85" i="91"/>
  <c r="E86" i="91"/>
  <c r="H84" i="91"/>
  <c r="I83" i="91"/>
  <c r="E141" i="88"/>
  <c r="M140" i="88"/>
  <c r="N104" i="88"/>
  <c r="O103" i="88"/>
  <c r="G75" i="88"/>
  <c r="K75" i="88" s="1"/>
  <c r="P75" i="88" s="1"/>
  <c r="L75" i="88"/>
  <c r="F76" i="88"/>
  <c r="R75" i="88"/>
  <c r="C79" i="77"/>
  <c r="L78" i="77"/>
  <c r="O74" i="77"/>
  <c r="S74" i="77"/>
  <c r="R72" i="77"/>
  <c r="K75" i="77"/>
  <c r="N75" i="77" s="1"/>
  <c r="H76" i="77"/>
  <c r="P73" i="77"/>
  <c r="Q73" i="77"/>
  <c r="T73" i="77"/>
  <c r="M73" i="135"/>
  <c r="N73" i="135" s="1"/>
  <c r="O73" i="135"/>
  <c r="L74" i="135"/>
  <c r="K118" i="95"/>
  <c r="G119" i="95"/>
  <c r="E82" i="147"/>
  <c r="F81" i="147"/>
  <c r="L74" i="133"/>
  <c r="K47" i="112"/>
  <c r="I48" i="112" s="1"/>
  <c r="C50" i="113" s="1"/>
  <c r="H50" i="113" s="1"/>
  <c r="B50" i="113" s="1"/>
  <c r="G75" i="133"/>
  <c r="H74" i="133"/>
  <c r="I74" i="133" s="1"/>
  <c r="L75" i="134"/>
  <c r="M74" i="134"/>
  <c r="N74" i="134" s="1"/>
  <c r="O74" i="134"/>
  <c r="F52" i="113"/>
  <c r="E79" i="95"/>
  <c r="O78" i="95"/>
  <c r="F78" i="95"/>
  <c r="J78" i="95" s="1"/>
  <c r="N78" i="95" s="1"/>
  <c r="H126" i="112"/>
  <c r="D128" i="113" s="1"/>
  <c r="G80" i="134"/>
  <c r="K80" i="134" s="1"/>
  <c r="D76" i="133"/>
  <c r="E75" i="133"/>
  <c r="H77" i="135"/>
  <c r="I76" i="135"/>
  <c r="J76" i="135" s="1"/>
  <c r="E80" i="134"/>
  <c r="F79" i="134"/>
  <c r="I51" i="113"/>
  <c r="H94" i="95"/>
  <c r="I93" i="95"/>
  <c r="H79" i="134"/>
  <c r="I78" i="134"/>
  <c r="J78" i="134" s="1"/>
  <c r="L93" i="111"/>
  <c r="E94" i="111"/>
  <c r="D95" i="93"/>
  <c r="E94" i="93"/>
  <c r="E78" i="135"/>
  <c r="F77" i="135"/>
  <c r="M73" i="133"/>
  <c r="B159" i="77" l="1"/>
  <c r="F82" i="147"/>
  <c r="E83" i="147"/>
  <c r="I82" i="147"/>
  <c r="H83" i="147"/>
  <c r="J81" i="147"/>
  <c r="L81" i="147"/>
  <c r="O80" i="147"/>
  <c r="E40" i="159"/>
  <c r="H40" i="159" s="1"/>
  <c r="E41" i="159"/>
  <c r="H41" i="159" s="1"/>
  <c r="L83" i="148"/>
  <c r="M82" i="148"/>
  <c r="E84" i="148"/>
  <c r="F83" i="148"/>
  <c r="H82" i="148"/>
  <c r="O81" i="148"/>
  <c r="I81" i="148"/>
  <c r="J81" i="148" s="1"/>
  <c r="N81" i="148" s="1"/>
  <c r="M86" i="95"/>
  <c r="L87" i="95"/>
  <c r="M80" i="147"/>
  <c r="N80" i="147" s="1"/>
  <c r="F75" i="110"/>
  <c r="L74" i="110"/>
  <c r="R74" i="110"/>
  <c r="G74" i="110"/>
  <c r="X98" i="114"/>
  <c r="V98" i="114"/>
  <c r="W98" i="114" s="1"/>
  <c r="J83" i="91"/>
  <c r="N131" i="110"/>
  <c r="O130" i="110"/>
  <c r="E143" i="110"/>
  <c r="M142" i="110"/>
  <c r="I101" i="114"/>
  <c r="K100" i="114"/>
  <c r="J100" i="114"/>
  <c r="Y100" i="114" s="1"/>
  <c r="L99" i="114"/>
  <c r="M99" i="114" s="1"/>
  <c r="U99" i="114" s="1"/>
  <c r="X99" i="114" s="1"/>
  <c r="P99" i="114"/>
  <c r="P74" i="78"/>
  <c r="Q74" i="78"/>
  <c r="T74" i="78"/>
  <c r="L76" i="78"/>
  <c r="I77" i="78"/>
  <c r="B80" i="78"/>
  <c r="K79" i="78"/>
  <c r="F78" i="78"/>
  <c r="C79" i="78"/>
  <c r="S75" i="78"/>
  <c r="N75" i="78"/>
  <c r="O75" i="78" s="1"/>
  <c r="G102" i="114"/>
  <c r="F103" i="114"/>
  <c r="E87" i="91"/>
  <c r="G86" i="91"/>
  <c r="H85" i="91"/>
  <c r="I84" i="91"/>
  <c r="M141" i="88"/>
  <c r="E142" i="88"/>
  <c r="N105" i="88"/>
  <c r="O104" i="88"/>
  <c r="F77" i="88"/>
  <c r="L76" i="88"/>
  <c r="G76" i="88"/>
  <c r="K76" i="88" s="1"/>
  <c r="P76" i="88" s="1"/>
  <c r="R76" i="88"/>
  <c r="L79" i="77"/>
  <c r="C80" i="77"/>
  <c r="R73" i="77"/>
  <c r="S75" i="77"/>
  <c r="O75" i="77"/>
  <c r="T74" i="77"/>
  <c r="P74" i="77"/>
  <c r="Q74" i="77"/>
  <c r="H77" i="77"/>
  <c r="K76" i="77"/>
  <c r="N76" i="77" s="1"/>
  <c r="M74" i="135"/>
  <c r="N74" i="135" s="1"/>
  <c r="O74" i="135"/>
  <c r="L75" i="135"/>
  <c r="K119" i="95"/>
  <c r="G120" i="95"/>
  <c r="J50" i="113"/>
  <c r="L75" i="133"/>
  <c r="E79" i="135"/>
  <c r="F78" i="135"/>
  <c r="D96" i="93"/>
  <c r="E95" i="93"/>
  <c r="E81" i="134"/>
  <c r="F80" i="134"/>
  <c r="H78" i="135"/>
  <c r="I77" i="135"/>
  <c r="J77" i="135" s="1"/>
  <c r="K76" i="133"/>
  <c r="I52" i="113"/>
  <c r="E95" i="111"/>
  <c r="L94" i="111"/>
  <c r="H127" i="112"/>
  <c r="D129" i="113" s="1"/>
  <c r="H80" i="134"/>
  <c r="I79" i="134"/>
  <c r="J79" i="134" s="1"/>
  <c r="H95" i="95"/>
  <c r="I94" i="95"/>
  <c r="D77" i="133"/>
  <c r="E76" i="133"/>
  <c r="G81" i="134"/>
  <c r="K81" i="134" s="1"/>
  <c r="O79" i="95"/>
  <c r="E80" i="95"/>
  <c r="F79" i="95"/>
  <c r="J79" i="95" s="1"/>
  <c r="N79" i="95" s="1"/>
  <c r="G52" i="113"/>
  <c r="L76" i="134"/>
  <c r="M75" i="134"/>
  <c r="N75" i="134" s="1"/>
  <c r="O75" i="134"/>
  <c r="G76" i="133"/>
  <c r="H75" i="133"/>
  <c r="I75" i="133" s="1"/>
  <c r="J48" i="112"/>
  <c r="M74" i="133"/>
  <c r="B160" i="77" l="1"/>
  <c r="H84" i="147"/>
  <c r="I83" i="147"/>
  <c r="E84" i="147"/>
  <c r="F83" i="147"/>
  <c r="L82" i="147"/>
  <c r="M82" i="147" s="1"/>
  <c r="O81" i="147"/>
  <c r="J82" i="147"/>
  <c r="M83" i="148"/>
  <c r="L84" i="148"/>
  <c r="E85" i="148"/>
  <c r="F84" i="148"/>
  <c r="H83" i="148"/>
  <c r="O82" i="148"/>
  <c r="I82" i="148"/>
  <c r="J82" i="148" s="1"/>
  <c r="N82" i="148" s="1"/>
  <c r="L88" i="95"/>
  <c r="M87" i="95"/>
  <c r="M81" i="147"/>
  <c r="N81" i="147" s="1"/>
  <c r="V99" i="114"/>
  <c r="W99" i="114" s="1"/>
  <c r="G75" i="110"/>
  <c r="F76" i="110"/>
  <c r="R75" i="110"/>
  <c r="L75" i="110"/>
  <c r="J84" i="91"/>
  <c r="E144" i="110"/>
  <c r="M143" i="110"/>
  <c r="N132" i="110"/>
  <c r="O131" i="110"/>
  <c r="P100" i="114"/>
  <c r="L100" i="114"/>
  <c r="M100" i="114" s="1"/>
  <c r="U100" i="114" s="1"/>
  <c r="V100" i="114" s="1"/>
  <c r="I102" i="114"/>
  <c r="K101" i="114"/>
  <c r="J101" i="114"/>
  <c r="Y101" i="114" s="1"/>
  <c r="T75" i="78"/>
  <c r="Q75" i="78"/>
  <c r="P75" i="78"/>
  <c r="K80" i="78"/>
  <c r="B81" i="78"/>
  <c r="R74" i="78"/>
  <c r="C80" i="78"/>
  <c r="F79" i="78"/>
  <c r="I78" i="78"/>
  <c r="L77" i="78"/>
  <c r="S76" i="78"/>
  <c r="N76" i="78"/>
  <c r="O76" i="78" s="1"/>
  <c r="F104" i="114"/>
  <c r="G103" i="114"/>
  <c r="H86" i="91"/>
  <c r="I85" i="91"/>
  <c r="G87" i="91"/>
  <c r="E88" i="91"/>
  <c r="M142" i="88"/>
  <c r="E143" i="88"/>
  <c r="O105" i="88"/>
  <c r="N106" i="88"/>
  <c r="R77" i="88"/>
  <c r="F78" i="88"/>
  <c r="L77" i="88"/>
  <c r="G77" i="88"/>
  <c r="K77" i="88" s="1"/>
  <c r="P77" i="88" s="1"/>
  <c r="C81" i="77"/>
  <c r="L80" i="77"/>
  <c r="S76" i="77"/>
  <c r="O76" i="77"/>
  <c r="Q75" i="77"/>
  <c r="T75" i="77"/>
  <c r="P75" i="77"/>
  <c r="H78" i="77"/>
  <c r="K77" i="77"/>
  <c r="N77" i="77" s="1"/>
  <c r="R74" i="77"/>
  <c r="O75" i="135"/>
  <c r="M75" i="135"/>
  <c r="N75" i="135" s="1"/>
  <c r="L76" i="135"/>
  <c r="G121" i="95"/>
  <c r="K121" i="95" s="1"/>
  <c r="K120" i="95"/>
  <c r="L76" i="133"/>
  <c r="K48" i="112"/>
  <c r="I49" i="112" s="1"/>
  <c r="C51" i="113" s="1"/>
  <c r="H51" i="113" s="1"/>
  <c r="G77" i="133"/>
  <c r="H76" i="133"/>
  <c r="I76" i="133" s="1"/>
  <c r="L77" i="134"/>
  <c r="M76" i="134"/>
  <c r="N76" i="134" s="1"/>
  <c r="O76" i="134"/>
  <c r="F53" i="113"/>
  <c r="E81" i="95"/>
  <c r="O80" i="95"/>
  <c r="F80" i="95"/>
  <c r="J80" i="95" s="1"/>
  <c r="N80" i="95" s="1"/>
  <c r="G82" i="134"/>
  <c r="K82" i="134" s="1"/>
  <c r="H96" i="95"/>
  <c r="I95" i="95"/>
  <c r="H81" i="134"/>
  <c r="I80" i="134"/>
  <c r="J80" i="134" s="1"/>
  <c r="L95" i="111"/>
  <c r="E96" i="111"/>
  <c r="E82" i="134"/>
  <c r="F81" i="134"/>
  <c r="D97" i="93"/>
  <c r="E96" i="93"/>
  <c r="D78" i="133"/>
  <c r="E77" i="133"/>
  <c r="H128" i="112"/>
  <c r="D130" i="113" s="1"/>
  <c r="J77" i="133"/>
  <c r="K77" i="133" s="1"/>
  <c r="H79" i="135"/>
  <c r="I78" i="135"/>
  <c r="J78" i="135" s="1"/>
  <c r="E80" i="135"/>
  <c r="F79" i="135"/>
  <c r="M75" i="133"/>
  <c r="B161" i="77" l="1"/>
  <c r="J83" i="147"/>
  <c r="N82" i="147"/>
  <c r="H85" i="147"/>
  <c r="I84" i="147"/>
  <c r="L83" i="147"/>
  <c r="O82" i="147"/>
  <c r="E85" i="147"/>
  <c r="F84" i="147"/>
  <c r="M84" i="148"/>
  <c r="L85" i="148"/>
  <c r="E86" i="148"/>
  <c r="F85" i="148"/>
  <c r="H84" i="148"/>
  <c r="O83" i="148"/>
  <c r="I83" i="148"/>
  <c r="J83" i="148" s="1"/>
  <c r="N83" i="148" s="1"/>
  <c r="L89" i="95"/>
  <c r="M88" i="95"/>
  <c r="R76" i="110"/>
  <c r="F77" i="110"/>
  <c r="L76" i="110"/>
  <c r="G76" i="110"/>
  <c r="X100" i="114"/>
  <c r="J85" i="91"/>
  <c r="N133" i="110"/>
  <c r="O132" i="110"/>
  <c r="M144" i="110"/>
  <c r="E145" i="110"/>
  <c r="P101" i="114"/>
  <c r="L101" i="114"/>
  <c r="M101" i="114" s="1"/>
  <c r="U101" i="114" s="1"/>
  <c r="X101" i="114" s="1"/>
  <c r="K102" i="114"/>
  <c r="J102" i="114"/>
  <c r="Y102" i="114" s="1"/>
  <c r="I103" i="114"/>
  <c r="W100" i="114"/>
  <c r="S77" i="78"/>
  <c r="N77" i="78"/>
  <c r="O77" i="78" s="1"/>
  <c r="L78" i="78"/>
  <c r="I79" i="78"/>
  <c r="R75" i="78"/>
  <c r="P76" i="78"/>
  <c r="T76" i="78"/>
  <c r="Q76" i="78"/>
  <c r="K81" i="78"/>
  <c r="B82" i="78"/>
  <c r="C81" i="78"/>
  <c r="F80" i="78"/>
  <c r="G104" i="114"/>
  <c r="F105" i="114"/>
  <c r="H87" i="91"/>
  <c r="I86" i="91"/>
  <c r="G88" i="91"/>
  <c r="E89" i="91"/>
  <c r="E144" i="88"/>
  <c r="M143" i="88"/>
  <c r="O106" i="88"/>
  <c r="N107" i="88"/>
  <c r="H79" i="88"/>
  <c r="F79" i="88"/>
  <c r="R78" i="88"/>
  <c r="L78" i="88"/>
  <c r="G78" i="88"/>
  <c r="K78" i="88" s="1"/>
  <c r="P78" i="88" s="1"/>
  <c r="L81" i="77"/>
  <c r="C82" i="77"/>
  <c r="O77" i="77"/>
  <c r="S77" i="77"/>
  <c r="Q76" i="77"/>
  <c r="T76" i="77"/>
  <c r="P76" i="77"/>
  <c r="H79" i="77"/>
  <c r="K78" i="77"/>
  <c r="N78" i="77" s="1"/>
  <c r="R75" i="77"/>
  <c r="O76" i="135"/>
  <c r="M76" i="135"/>
  <c r="N76" i="135" s="1"/>
  <c r="L77" i="135"/>
  <c r="G122" i="95"/>
  <c r="L77" i="133"/>
  <c r="D98" i="93"/>
  <c r="E97" i="93"/>
  <c r="H129" i="112"/>
  <c r="D131" i="113" s="1"/>
  <c r="H97" i="95"/>
  <c r="I96" i="95"/>
  <c r="G83" i="134"/>
  <c r="K83" i="134" s="1"/>
  <c r="E82" i="95"/>
  <c r="O81" i="95"/>
  <c r="F81" i="95"/>
  <c r="J81" i="95" s="1"/>
  <c r="N81" i="95" s="1"/>
  <c r="I53" i="113"/>
  <c r="L78" i="134"/>
  <c r="M77" i="134"/>
  <c r="N77" i="134" s="1"/>
  <c r="O77" i="134"/>
  <c r="B51" i="113"/>
  <c r="J51" i="113"/>
  <c r="E81" i="135"/>
  <c r="F80" i="135"/>
  <c r="H80" i="135"/>
  <c r="I79" i="135"/>
  <c r="J79" i="135" s="1"/>
  <c r="J78" i="133"/>
  <c r="K78" i="133" s="1"/>
  <c r="D79" i="133"/>
  <c r="E78" i="133"/>
  <c r="E83" i="134"/>
  <c r="F82" i="134"/>
  <c r="E97" i="111"/>
  <c r="L96" i="111"/>
  <c r="H82" i="134"/>
  <c r="I81" i="134"/>
  <c r="J81" i="134" s="1"/>
  <c r="G53" i="113"/>
  <c r="G78" i="133"/>
  <c r="H77" i="133"/>
  <c r="I77" i="133" s="1"/>
  <c r="J49" i="112"/>
  <c r="M76" i="133"/>
  <c r="J84" i="147" l="1"/>
  <c r="B162" i="77"/>
  <c r="H86" i="147"/>
  <c r="I85" i="147"/>
  <c r="L84" i="147"/>
  <c r="M83" i="147"/>
  <c r="N83" i="147" s="1"/>
  <c r="O83" i="147"/>
  <c r="E86" i="147"/>
  <c r="F85" i="147"/>
  <c r="K122" i="95"/>
  <c r="M85" i="148"/>
  <c r="L86" i="148"/>
  <c r="E87" i="148"/>
  <c r="F86" i="148"/>
  <c r="H85" i="148"/>
  <c r="O84" i="148"/>
  <c r="I84" i="148"/>
  <c r="J84" i="148" s="1"/>
  <c r="N84" i="148" s="1"/>
  <c r="M89" i="95"/>
  <c r="L90" i="95"/>
  <c r="L77" i="110"/>
  <c r="R77" i="110"/>
  <c r="G77" i="110"/>
  <c r="F78" i="110"/>
  <c r="J86" i="91"/>
  <c r="E146" i="110"/>
  <c r="M145" i="110"/>
  <c r="N134" i="110"/>
  <c r="O133" i="110"/>
  <c r="V101" i="114"/>
  <c r="L102" i="114"/>
  <c r="M102" i="114" s="1"/>
  <c r="U102" i="114" s="1"/>
  <c r="P102" i="114"/>
  <c r="J103" i="114"/>
  <c r="Y103" i="114" s="1"/>
  <c r="I104" i="114"/>
  <c r="K103" i="114"/>
  <c r="K82" i="78"/>
  <c r="B83" i="78"/>
  <c r="I80" i="78"/>
  <c r="L79" i="78"/>
  <c r="N78" i="78"/>
  <c r="O78" i="78" s="1"/>
  <c r="S78" i="78"/>
  <c r="R76" i="78"/>
  <c r="Q77" i="78"/>
  <c r="P77" i="78"/>
  <c r="T77" i="78"/>
  <c r="F81" i="78"/>
  <c r="C82" i="78"/>
  <c r="G105" i="114"/>
  <c r="F106" i="114"/>
  <c r="I87" i="91"/>
  <c r="H88" i="91"/>
  <c r="G89" i="91"/>
  <c r="E90" i="91"/>
  <c r="I79" i="88"/>
  <c r="J79" i="88" s="1"/>
  <c r="S79" i="88"/>
  <c r="E145" i="88"/>
  <c r="M144" i="88"/>
  <c r="O107" i="88"/>
  <c r="N108" i="88"/>
  <c r="G79" i="88"/>
  <c r="F80" i="88"/>
  <c r="H80" i="88"/>
  <c r="C83" i="77"/>
  <c r="L82" i="77"/>
  <c r="O78" i="77"/>
  <c r="S78" i="77"/>
  <c r="K79" i="77"/>
  <c r="N79" i="77" s="1"/>
  <c r="H80" i="77"/>
  <c r="R76" i="77"/>
  <c r="Q77" i="77"/>
  <c r="T77" i="77"/>
  <c r="P77" i="77"/>
  <c r="M77" i="135"/>
  <c r="N77" i="135" s="1"/>
  <c r="O77" i="135"/>
  <c r="L78" i="135"/>
  <c r="G123" i="95"/>
  <c r="K123" i="95" s="1"/>
  <c r="L78" i="133"/>
  <c r="G79" i="133"/>
  <c r="H78" i="133"/>
  <c r="I78" i="133" s="1"/>
  <c r="L97" i="111"/>
  <c r="E98" i="111"/>
  <c r="D80" i="133"/>
  <c r="E79" i="133"/>
  <c r="H81" i="135"/>
  <c r="I80" i="135"/>
  <c r="J80" i="135" s="1"/>
  <c r="E82" i="135"/>
  <c r="F81" i="135"/>
  <c r="L79" i="134"/>
  <c r="M78" i="134"/>
  <c r="N78" i="134" s="1"/>
  <c r="O78" i="134"/>
  <c r="E83" i="95"/>
  <c r="O82" i="95"/>
  <c r="F82" i="95"/>
  <c r="J82" i="95" s="1"/>
  <c r="N82" i="95" s="1"/>
  <c r="G84" i="134"/>
  <c r="K84" i="134" s="1"/>
  <c r="H98" i="95"/>
  <c r="I97" i="95"/>
  <c r="K49" i="112"/>
  <c r="I50" i="112" s="1"/>
  <c r="C52" i="113" s="1"/>
  <c r="H52" i="113" s="1"/>
  <c r="B52" i="113" s="1"/>
  <c r="F54" i="113"/>
  <c r="G54" i="113" s="1"/>
  <c r="H83" i="134"/>
  <c r="I82" i="134"/>
  <c r="J82" i="134" s="1"/>
  <c r="H130" i="112"/>
  <c r="D132" i="113" s="1"/>
  <c r="E84" i="134"/>
  <c r="F83" i="134"/>
  <c r="J79" i="133"/>
  <c r="K79" i="133" s="1"/>
  <c r="D99" i="93"/>
  <c r="E98" i="93"/>
  <c r="M77" i="133"/>
  <c r="J85" i="147" l="1"/>
  <c r="B163" i="77"/>
  <c r="L85" i="147"/>
  <c r="M84" i="147"/>
  <c r="N84" i="147" s="1"/>
  <c r="O84" i="147"/>
  <c r="E87" i="147"/>
  <c r="F86" i="147"/>
  <c r="H87" i="147"/>
  <c r="I86" i="147"/>
  <c r="M86" i="148"/>
  <c r="L87" i="148"/>
  <c r="F87" i="148"/>
  <c r="E88" i="148"/>
  <c r="H86" i="148"/>
  <c r="O85" i="148"/>
  <c r="I85" i="148"/>
  <c r="J85" i="148" s="1"/>
  <c r="N85" i="148" s="1"/>
  <c r="L91" i="95"/>
  <c r="M90" i="95"/>
  <c r="G78" i="110"/>
  <c r="R78" i="110"/>
  <c r="H79" i="110"/>
  <c r="I79" i="110" s="1"/>
  <c r="F79" i="110"/>
  <c r="L78" i="110"/>
  <c r="V102" i="114"/>
  <c r="W102" i="114" s="1"/>
  <c r="L79" i="88"/>
  <c r="I80" i="88"/>
  <c r="R80" i="88" s="1"/>
  <c r="K79" i="88"/>
  <c r="P79" i="88" s="1"/>
  <c r="R79" i="88"/>
  <c r="J87" i="91"/>
  <c r="N135" i="110"/>
  <c r="O134" i="110"/>
  <c r="E147" i="110"/>
  <c r="M146" i="110"/>
  <c r="X102" i="114"/>
  <c r="W101" i="114"/>
  <c r="P103" i="114"/>
  <c r="L103" i="114"/>
  <c r="M103" i="114" s="1"/>
  <c r="U103" i="114" s="1"/>
  <c r="K104" i="114"/>
  <c r="I105" i="114"/>
  <c r="J104" i="114"/>
  <c r="Y104" i="114" s="1"/>
  <c r="S79" i="78"/>
  <c r="N79" i="78"/>
  <c r="O79" i="78" s="1"/>
  <c r="L80" i="78"/>
  <c r="I81" i="78"/>
  <c r="C83" i="78"/>
  <c r="F82" i="78"/>
  <c r="R77" i="78"/>
  <c r="B84" i="78"/>
  <c r="K83" i="78"/>
  <c r="P78" i="78"/>
  <c r="Q78" i="78"/>
  <c r="T78" i="78"/>
  <c r="G106" i="114"/>
  <c r="F107" i="114"/>
  <c r="G90" i="91"/>
  <c r="E91" i="91"/>
  <c r="H89" i="91"/>
  <c r="I88" i="91"/>
  <c r="E146" i="88"/>
  <c r="M145" i="88"/>
  <c r="S80" i="88"/>
  <c r="O108" i="88"/>
  <c r="N109" i="88"/>
  <c r="F81" i="88"/>
  <c r="H81" i="88"/>
  <c r="G80" i="88"/>
  <c r="C84" i="77"/>
  <c r="L83" i="77"/>
  <c r="S79" i="77"/>
  <c r="O79" i="77"/>
  <c r="R77" i="77"/>
  <c r="K80" i="77"/>
  <c r="N80" i="77" s="1"/>
  <c r="H81" i="77"/>
  <c r="P78" i="77"/>
  <c r="T78" i="77"/>
  <c r="Q78" i="77"/>
  <c r="O78" i="135"/>
  <c r="M78" i="135"/>
  <c r="N78" i="135" s="1"/>
  <c r="L79" i="135"/>
  <c r="G124" i="95"/>
  <c r="K124" i="95" s="1"/>
  <c r="L79" i="133"/>
  <c r="J80" i="133"/>
  <c r="K80" i="133" s="1"/>
  <c r="E85" i="134"/>
  <c r="F84" i="134"/>
  <c r="F55" i="113"/>
  <c r="G55" i="113" s="1"/>
  <c r="H99" i="95"/>
  <c r="I98" i="95"/>
  <c r="L80" i="134"/>
  <c r="M79" i="134"/>
  <c r="N79" i="134" s="1"/>
  <c r="O79" i="134"/>
  <c r="D81" i="133"/>
  <c r="E80" i="133"/>
  <c r="H131" i="112"/>
  <c r="D133" i="113" s="1"/>
  <c r="G80" i="133"/>
  <c r="H79" i="133"/>
  <c r="I79" i="133" s="1"/>
  <c r="M78" i="133"/>
  <c r="D100" i="93"/>
  <c r="E99" i="93"/>
  <c r="H84" i="134"/>
  <c r="I83" i="134"/>
  <c r="J83" i="134" s="1"/>
  <c r="I54" i="113"/>
  <c r="J50" i="112"/>
  <c r="G85" i="134"/>
  <c r="E84" i="95"/>
  <c r="O83" i="95"/>
  <c r="F83" i="95"/>
  <c r="J83" i="95" s="1"/>
  <c r="N83" i="95" s="1"/>
  <c r="J52" i="113"/>
  <c r="E83" i="135"/>
  <c r="F82" i="135"/>
  <c r="H82" i="135"/>
  <c r="I81" i="135"/>
  <c r="J81" i="135" s="1"/>
  <c r="E99" i="111"/>
  <c r="L98" i="111"/>
  <c r="J86" i="147" l="1"/>
  <c r="H88" i="147"/>
  <c r="I87" i="147"/>
  <c r="L86" i="147"/>
  <c r="M85" i="147"/>
  <c r="N85" i="147" s="1"/>
  <c r="O85" i="147"/>
  <c r="E88" i="147"/>
  <c r="F87" i="147"/>
  <c r="K85" i="134"/>
  <c r="G121" i="134"/>
  <c r="D42" i="159" s="1"/>
  <c r="M87" i="148"/>
  <c r="L88" i="148"/>
  <c r="F88" i="148"/>
  <c r="E89" i="148"/>
  <c r="H87" i="148"/>
  <c r="H88" i="148" s="1"/>
  <c r="O86" i="148"/>
  <c r="I86" i="148"/>
  <c r="J86" i="148" s="1"/>
  <c r="N86" i="148" s="1"/>
  <c r="M91" i="95"/>
  <c r="L92" i="95"/>
  <c r="L80" i="88"/>
  <c r="J80" i="88"/>
  <c r="L79" i="110"/>
  <c r="R79" i="110"/>
  <c r="G79" i="110"/>
  <c r="K79" i="110" s="1"/>
  <c r="P79" i="110" s="1"/>
  <c r="F80" i="110"/>
  <c r="H80" i="110"/>
  <c r="J79" i="110"/>
  <c r="I80" i="110"/>
  <c r="J80" i="110" s="1"/>
  <c r="I81" i="88"/>
  <c r="L81" i="88" s="1"/>
  <c r="J88" i="91"/>
  <c r="M147" i="110"/>
  <c r="E148" i="110"/>
  <c r="N136" i="110"/>
  <c r="O135" i="110"/>
  <c r="V103" i="114"/>
  <c r="W103" i="114" s="1"/>
  <c r="X103" i="114"/>
  <c r="J105" i="114"/>
  <c r="Y105" i="114" s="1"/>
  <c r="K105" i="114"/>
  <c r="I106" i="114"/>
  <c r="P104" i="114"/>
  <c r="L104" i="114"/>
  <c r="M104" i="114" s="1"/>
  <c r="U104" i="114" s="1"/>
  <c r="R78" i="78"/>
  <c r="L81" i="78"/>
  <c r="I82" i="78"/>
  <c r="S80" i="78"/>
  <c r="N80" i="78"/>
  <c r="O80" i="78" s="1"/>
  <c r="Q79" i="78"/>
  <c r="P79" i="78"/>
  <c r="T79" i="78"/>
  <c r="B85" i="78"/>
  <c r="K84" i="78"/>
  <c r="F83" i="78"/>
  <c r="C84" i="78"/>
  <c r="F108" i="114"/>
  <c r="G107" i="114"/>
  <c r="I89" i="91"/>
  <c r="H90" i="91"/>
  <c r="E92" i="91"/>
  <c r="G91" i="91"/>
  <c r="E147" i="88"/>
  <c r="M146" i="88"/>
  <c r="S81" i="88"/>
  <c r="K80" i="88"/>
  <c r="P80" i="88" s="1"/>
  <c r="O109" i="88"/>
  <c r="N110" i="88"/>
  <c r="H82" i="88"/>
  <c r="G81" i="88"/>
  <c r="F82" i="88"/>
  <c r="R81" i="88"/>
  <c r="J81" i="88"/>
  <c r="C85" i="77"/>
  <c r="L84" i="77"/>
  <c r="R78" i="77"/>
  <c r="H82" i="77"/>
  <c r="K81" i="77"/>
  <c r="N81" i="77" s="1"/>
  <c r="P79" i="77"/>
  <c r="Q79" i="77"/>
  <c r="T79" i="77"/>
  <c r="O80" i="77"/>
  <c r="S80" i="77"/>
  <c r="O79" i="135"/>
  <c r="M79" i="135"/>
  <c r="N79" i="135" s="1"/>
  <c r="L80" i="135"/>
  <c r="G125" i="95"/>
  <c r="K125" i="95" s="1"/>
  <c r="L80" i="133"/>
  <c r="E100" i="111"/>
  <c r="L99" i="111"/>
  <c r="H83" i="135"/>
  <c r="I82" i="135"/>
  <c r="J82" i="135" s="1"/>
  <c r="E84" i="135"/>
  <c r="F83" i="135"/>
  <c r="H132" i="112"/>
  <c r="D134" i="113" s="1"/>
  <c r="K50" i="112"/>
  <c r="I51" i="112" s="1"/>
  <c r="C53" i="113" s="1"/>
  <c r="H53" i="113" s="1"/>
  <c r="B53" i="113" s="1"/>
  <c r="H85" i="134"/>
  <c r="I84" i="134"/>
  <c r="J84" i="134" s="1"/>
  <c r="D101" i="93"/>
  <c r="E100" i="93"/>
  <c r="D82" i="133"/>
  <c r="E81" i="133"/>
  <c r="H100" i="95"/>
  <c r="I99" i="95"/>
  <c r="I55" i="113"/>
  <c r="E86" i="134"/>
  <c r="F85" i="134"/>
  <c r="J81" i="133"/>
  <c r="K81" i="133" s="1"/>
  <c r="E85" i="95"/>
  <c r="O84" i="95"/>
  <c r="F84" i="95"/>
  <c r="J84" i="95" s="1"/>
  <c r="N84" i="95" s="1"/>
  <c r="G86" i="134"/>
  <c r="K86" i="134" s="1"/>
  <c r="G81" i="133"/>
  <c r="H80" i="133"/>
  <c r="I80" i="133" s="1"/>
  <c r="L81" i="134"/>
  <c r="M80" i="134"/>
  <c r="N80" i="134" s="1"/>
  <c r="O80" i="134"/>
  <c r="F56" i="113"/>
  <c r="M79" i="133"/>
  <c r="I82" i="88" l="1"/>
  <c r="J87" i="147"/>
  <c r="E89" i="147"/>
  <c r="F88" i="147"/>
  <c r="H89" i="147"/>
  <c r="I88" i="147"/>
  <c r="L87" i="147"/>
  <c r="M86" i="147"/>
  <c r="N86" i="147" s="1"/>
  <c r="O86" i="147"/>
  <c r="E42" i="159"/>
  <c r="L89" i="148"/>
  <c r="M88" i="148"/>
  <c r="H89" i="148"/>
  <c r="I88" i="148"/>
  <c r="J88" i="148" s="1"/>
  <c r="O88" i="148"/>
  <c r="E90" i="148"/>
  <c r="F89" i="148"/>
  <c r="I87" i="148"/>
  <c r="J87" i="148" s="1"/>
  <c r="N87" i="148" s="1"/>
  <c r="O87" i="148"/>
  <c r="M92" i="95"/>
  <c r="L93" i="95"/>
  <c r="L80" i="110"/>
  <c r="F81" i="110"/>
  <c r="R80" i="110"/>
  <c r="H81" i="110"/>
  <c r="I81" i="110" s="1"/>
  <c r="J81" i="110" s="1"/>
  <c r="G80" i="110"/>
  <c r="K80" i="110" s="1"/>
  <c r="P80" i="110" s="1"/>
  <c r="X104" i="114"/>
  <c r="V104" i="114"/>
  <c r="W104" i="114" s="1"/>
  <c r="J89" i="91"/>
  <c r="N137" i="110"/>
  <c r="O136" i="110"/>
  <c r="M148" i="110"/>
  <c r="E149" i="110"/>
  <c r="I107" i="114"/>
  <c r="J106" i="114"/>
  <c r="Y106" i="114" s="1"/>
  <c r="K106" i="114"/>
  <c r="L105" i="114"/>
  <c r="M105" i="114" s="1"/>
  <c r="U105" i="114" s="1"/>
  <c r="P105" i="114"/>
  <c r="I83" i="78"/>
  <c r="L82" i="78"/>
  <c r="B86" i="78"/>
  <c r="K85" i="78"/>
  <c r="R79" i="78"/>
  <c r="S81" i="78"/>
  <c r="N81" i="78"/>
  <c r="O81" i="78" s="1"/>
  <c r="F84" i="78"/>
  <c r="C85" i="78"/>
  <c r="T80" i="78"/>
  <c r="Q80" i="78"/>
  <c r="P80" i="78"/>
  <c r="G108" i="114"/>
  <c r="F109" i="114"/>
  <c r="G92" i="91"/>
  <c r="E93" i="91"/>
  <c r="I90" i="91"/>
  <c r="H91" i="91"/>
  <c r="S82" i="88"/>
  <c r="M147" i="88"/>
  <c r="E148" i="88"/>
  <c r="O110" i="88"/>
  <c r="N111" i="88"/>
  <c r="J82" i="88"/>
  <c r="F83" i="88"/>
  <c r="R82" i="88"/>
  <c r="L82" i="88"/>
  <c r="H83" i="88"/>
  <c r="I83" i="88" s="1"/>
  <c r="G82" i="88"/>
  <c r="K81" i="88"/>
  <c r="P81" i="88" s="1"/>
  <c r="C86" i="77"/>
  <c r="L85" i="77"/>
  <c r="O81" i="77"/>
  <c r="S81" i="77"/>
  <c r="P80" i="77"/>
  <c r="Q80" i="77"/>
  <c r="T80" i="77"/>
  <c r="R79" i="77"/>
  <c r="K82" i="77"/>
  <c r="N82" i="77" s="1"/>
  <c r="H83" i="77"/>
  <c r="O80" i="135"/>
  <c r="M80" i="135"/>
  <c r="L81" i="135"/>
  <c r="G126" i="95"/>
  <c r="K126" i="95" s="1"/>
  <c r="J53" i="113"/>
  <c r="J54" i="113" s="1"/>
  <c r="J55" i="113" s="1"/>
  <c r="J51" i="112"/>
  <c r="K51" i="112" s="1"/>
  <c r="I52" i="112" s="1"/>
  <c r="C54" i="113" s="1"/>
  <c r="K54" i="113" s="1"/>
  <c r="L81" i="133"/>
  <c r="I56" i="113"/>
  <c r="L82" i="134"/>
  <c r="M81" i="134"/>
  <c r="N81" i="134" s="1"/>
  <c r="O81" i="134"/>
  <c r="G82" i="133"/>
  <c r="H81" i="133"/>
  <c r="I81" i="133" s="1"/>
  <c r="G87" i="134"/>
  <c r="K87" i="134" s="1"/>
  <c r="E86" i="95"/>
  <c r="O85" i="95"/>
  <c r="F85" i="95"/>
  <c r="J85" i="95" s="1"/>
  <c r="N85" i="95" s="1"/>
  <c r="J82" i="133"/>
  <c r="K82" i="133" s="1"/>
  <c r="H101" i="95"/>
  <c r="I100" i="95"/>
  <c r="D102" i="93"/>
  <c r="E101" i="93"/>
  <c r="H84" i="135"/>
  <c r="I83" i="135"/>
  <c r="J83" i="135" s="1"/>
  <c r="E101" i="111"/>
  <c r="L100" i="111"/>
  <c r="G56" i="113"/>
  <c r="E87" i="134"/>
  <c r="F86" i="134"/>
  <c r="D83" i="133"/>
  <c r="E82" i="133"/>
  <c r="H86" i="134"/>
  <c r="I85" i="134"/>
  <c r="J85" i="134" s="1"/>
  <c r="E85" i="135"/>
  <c r="F84" i="135"/>
  <c r="H133" i="112"/>
  <c r="D135" i="113" s="1"/>
  <c r="M80" i="133"/>
  <c r="J88" i="147" l="1"/>
  <c r="H90" i="147"/>
  <c r="I89" i="147"/>
  <c r="L88" i="147"/>
  <c r="M87" i="147"/>
  <c r="N87" i="147" s="1"/>
  <c r="O87" i="147"/>
  <c r="F89" i="147"/>
  <c r="E90" i="147"/>
  <c r="H42" i="159"/>
  <c r="I89" i="148"/>
  <c r="J89" i="148" s="1"/>
  <c r="H90" i="148"/>
  <c r="E91" i="148"/>
  <c r="F90" i="148"/>
  <c r="O89" i="148"/>
  <c r="N88" i="148"/>
  <c r="L90" i="148"/>
  <c r="M89" i="148"/>
  <c r="M93" i="95"/>
  <c r="L94" i="95"/>
  <c r="N80" i="135"/>
  <c r="H82" i="110"/>
  <c r="I82" i="110" s="1"/>
  <c r="J82" i="110" s="1"/>
  <c r="L81" i="110"/>
  <c r="R81" i="110"/>
  <c r="F82" i="110"/>
  <c r="G81" i="110"/>
  <c r="K81" i="110" s="1"/>
  <c r="P81" i="110" s="1"/>
  <c r="X105" i="114"/>
  <c r="V105" i="114"/>
  <c r="W105" i="114" s="1"/>
  <c r="J90" i="91"/>
  <c r="E150" i="110"/>
  <c r="M149" i="110"/>
  <c r="N138" i="110"/>
  <c r="O137" i="110"/>
  <c r="P106" i="114"/>
  <c r="L106" i="114"/>
  <c r="M106" i="114" s="1"/>
  <c r="U106" i="114" s="1"/>
  <c r="K107" i="114"/>
  <c r="J107" i="114"/>
  <c r="Y107" i="114" s="1"/>
  <c r="I108" i="114"/>
  <c r="T81" i="78"/>
  <c r="P81" i="78"/>
  <c r="C86" i="78"/>
  <c r="F85" i="78"/>
  <c r="B87" i="78"/>
  <c r="K86" i="78"/>
  <c r="N82" i="78"/>
  <c r="O82" i="78" s="1"/>
  <c r="S82" i="78"/>
  <c r="R80" i="78"/>
  <c r="Q81" i="78"/>
  <c r="I84" i="78"/>
  <c r="L83" i="78"/>
  <c r="F110" i="114"/>
  <c r="G109" i="114"/>
  <c r="H92" i="91"/>
  <c r="I91" i="91"/>
  <c r="E94" i="91"/>
  <c r="G93" i="91"/>
  <c r="M148" i="88"/>
  <c r="E149" i="88"/>
  <c r="S83" i="88"/>
  <c r="O111" i="88"/>
  <c r="N112" i="88"/>
  <c r="L83" i="88"/>
  <c r="J83" i="88"/>
  <c r="K82" i="88"/>
  <c r="P82" i="88" s="1"/>
  <c r="F84" i="88"/>
  <c r="H84" i="88"/>
  <c r="G83" i="88"/>
  <c r="R83" i="88"/>
  <c r="C87" i="77"/>
  <c r="L86" i="77"/>
  <c r="O82" i="77"/>
  <c r="S82" i="77"/>
  <c r="T81" i="77"/>
  <c r="P81" i="77"/>
  <c r="Q81" i="77"/>
  <c r="H84" i="77"/>
  <c r="K83" i="77"/>
  <c r="N83" i="77" s="1"/>
  <c r="R80" i="77"/>
  <c r="O81" i="135"/>
  <c r="M81" i="135"/>
  <c r="N81" i="135" s="1"/>
  <c r="L82" i="135"/>
  <c r="G127" i="95"/>
  <c r="J56" i="113"/>
  <c r="L82" i="133"/>
  <c r="H134" i="112"/>
  <c r="D136" i="113" s="1"/>
  <c r="J52" i="112"/>
  <c r="J83" i="133"/>
  <c r="K83" i="133" s="1"/>
  <c r="M81" i="133"/>
  <c r="E86" i="135"/>
  <c r="F85" i="135"/>
  <c r="H87" i="134"/>
  <c r="I86" i="134"/>
  <c r="J86" i="134" s="1"/>
  <c r="D84" i="133"/>
  <c r="E83" i="133"/>
  <c r="E88" i="134"/>
  <c r="F87" i="134"/>
  <c r="F57" i="113"/>
  <c r="G57" i="113" s="1"/>
  <c r="L101" i="111"/>
  <c r="E102" i="111"/>
  <c r="H85" i="135"/>
  <c r="I84" i="135"/>
  <c r="J84" i="135" s="1"/>
  <c r="B54" i="113"/>
  <c r="M54" i="113"/>
  <c r="D103" i="93"/>
  <c r="E102" i="93"/>
  <c r="H102" i="95"/>
  <c r="I101" i="95"/>
  <c r="E87" i="95"/>
  <c r="O86" i="95"/>
  <c r="F86" i="95"/>
  <c r="J86" i="95" s="1"/>
  <c r="N86" i="95" s="1"/>
  <c r="G88" i="134"/>
  <c r="K88" i="134" s="1"/>
  <c r="G83" i="133"/>
  <c r="H82" i="133"/>
  <c r="I82" i="133" s="1"/>
  <c r="L83" i="134"/>
  <c r="M82" i="134"/>
  <c r="N82" i="134" s="1"/>
  <c r="O82" i="134"/>
  <c r="K83" i="88" l="1"/>
  <c r="P83" i="88" s="1"/>
  <c r="O90" i="148"/>
  <c r="J89" i="147"/>
  <c r="E91" i="147"/>
  <c r="F90" i="147"/>
  <c r="J90" i="147" s="1"/>
  <c r="L89" i="147"/>
  <c r="M88" i="147"/>
  <c r="N88" i="147" s="1"/>
  <c r="O88" i="147"/>
  <c r="I90" i="147"/>
  <c r="H91" i="147"/>
  <c r="N89" i="148"/>
  <c r="H91" i="148"/>
  <c r="I90" i="148"/>
  <c r="J90" i="148" s="1"/>
  <c r="E92" i="148"/>
  <c r="F91" i="148"/>
  <c r="L91" i="148"/>
  <c r="M90" i="148"/>
  <c r="K127" i="95"/>
  <c r="L95" i="95"/>
  <c r="M94" i="95"/>
  <c r="R82" i="110"/>
  <c r="G82" i="110"/>
  <c r="K82" i="110" s="1"/>
  <c r="P82" i="110" s="1"/>
  <c r="L82" i="110"/>
  <c r="F83" i="110"/>
  <c r="H83" i="110"/>
  <c r="I83" i="110" s="1"/>
  <c r="J83" i="110" s="1"/>
  <c r="X106" i="114"/>
  <c r="V106" i="114"/>
  <c r="W106" i="114" s="1"/>
  <c r="J91" i="91"/>
  <c r="N139" i="110"/>
  <c r="O138" i="110"/>
  <c r="M150" i="110"/>
  <c r="E151" i="110"/>
  <c r="P107" i="114"/>
  <c r="L107" i="114"/>
  <c r="M107" i="114" s="1"/>
  <c r="U107" i="114" s="1"/>
  <c r="K108" i="114"/>
  <c r="I109" i="114"/>
  <c r="J108" i="114"/>
  <c r="Y108" i="114" s="1"/>
  <c r="R81" i="78"/>
  <c r="T82" i="78"/>
  <c r="P82" i="78"/>
  <c r="Q82" i="78"/>
  <c r="F86" i="78"/>
  <c r="C87" i="78"/>
  <c r="S83" i="78"/>
  <c r="N83" i="78"/>
  <c r="O83" i="78" s="1"/>
  <c r="B88" i="78"/>
  <c r="K87" i="78"/>
  <c r="L84" i="78"/>
  <c r="I85" i="78"/>
  <c r="F111" i="114"/>
  <c r="G110" i="114"/>
  <c r="E95" i="91"/>
  <c r="G94" i="91"/>
  <c r="H93" i="91"/>
  <c r="I92" i="91"/>
  <c r="I84" i="88"/>
  <c r="J84" i="88" s="1"/>
  <c r="S84" i="88"/>
  <c r="E150" i="88"/>
  <c r="M149" i="88"/>
  <c r="N113" i="88"/>
  <c r="O112" i="88"/>
  <c r="F85" i="88"/>
  <c r="H85" i="88"/>
  <c r="G84" i="88"/>
  <c r="R84" i="88"/>
  <c r="L87" i="77"/>
  <c r="C88" i="77"/>
  <c r="H85" i="77"/>
  <c r="K84" i="77"/>
  <c r="N84" i="77" s="1"/>
  <c r="P82" i="77"/>
  <c r="T82" i="77"/>
  <c r="Q82" i="77"/>
  <c r="O83" i="77"/>
  <c r="S83" i="77"/>
  <c r="R81" i="77"/>
  <c r="M82" i="135"/>
  <c r="N82" i="135" s="1"/>
  <c r="O82" i="135"/>
  <c r="L83" i="135"/>
  <c r="G128" i="95"/>
  <c r="K128" i="95" s="1"/>
  <c r="F58" i="113"/>
  <c r="G58" i="113" s="1"/>
  <c r="L83" i="133"/>
  <c r="G89" i="134"/>
  <c r="K89" i="134" s="1"/>
  <c r="H86" i="135"/>
  <c r="I85" i="135"/>
  <c r="J85" i="135" s="1"/>
  <c r="H135" i="112"/>
  <c r="D137" i="113" s="1"/>
  <c r="E89" i="134"/>
  <c r="F88" i="134"/>
  <c r="D85" i="133"/>
  <c r="E84" i="133"/>
  <c r="H88" i="134"/>
  <c r="I87" i="134"/>
  <c r="J87" i="134" s="1"/>
  <c r="E87" i="135"/>
  <c r="F86" i="135"/>
  <c r="K86" i="135"/>
  <c r="M82" i="133"/>
  <c r="L84" i="134"/>
  <c r="M83" i="134"/>
  <c r="N83" i="134" s="1"/>
  <c r="O83" i="134"/>
  <c r="G84" i="133"/>
  <c r="H83" i="133"/>
  <c r="I83" i="133" s="1"/>
  <c r="E88" i="95"/>
  <c r="O87" i="95"/>
  <c r="F87" i="95"/>
  <c r="J87" i="95" s="1"/>
  <c r="N87" i="95" s="1"/>
  <c r="H103" i="95"/>
  <c r="I102" i="95"/>
  <c r="D104" i="93"/>
  <c r="E103" i="93"/>
  <c r="E103" i="111"/>
  <c r="L102" i="111"/>
  <c r="I57" i="113"/>
  <c r="J57" i="113" s="1"/>
  <c r="J84" i="133"/>
  <c r="K84" i="133" s="1"/>
  <c r="K52" i="112"/>
  <c r="I53" i="112" s="1"/>
  <c r="C55" i="113" s="1"/>
  <c r="K55" i="113" s="1"/>
  <c r="L90" i="147" l="1"/>
  <c r="M89" i="147"/>
  <c r="N89" i="147" s="1"/>
  <c r="O89" i="147"/>
  <c r="E92" i="147"/>
  <c r="F91" i="147"/>
  <c r="H92" i="147"/>
  <c r="I91" i="147"/>
  <c r="N90" i="148"/>
  <c r="E93" i="148"/>
  <c r="F92" i="148"/>
  <c r="L92" i="148"/>
  <c r="M91" i="148"/>
  <c r="H92" i="148"/>
  <c r="I91" i="148"/>
  <c r="J91" i="148" s="1"/>
  <c r="O91" i="148"/>
  <c r="M95" i="95"/>
  <c r="L96" i="95"/>
  <c r="G83" i="110"/>
  <c r="K83" i="110" s="1"/>
  <c r="P83" i="110" s="1"/>
  <c r="H84" i="110"/>
  <c r="I84" i="110" s="1"/>
  <c r="J84" i="110" s="1"/>
  <c r="F84" i="110"/>
  <c r="R83" i="110"/>
  <c r="L83" i="110"/>
  <c r="Q83" i="78"/>
  <c r="R83" i="78" s="1"/>
  <c r="V107" i="114"/>
  <c r="W107" i="114" s="1"/>
  <c r="X107" i="114"/>
  <c r="S84" i="78"/>
  <c r="R82" i="77"/>
  <c r="L84" i="88"/>
  <c r="J92" i="91"/>
  <c r="M151" i="110"/>
  <c r="E152" i="110"/>
  <c r="N140" i="110"/>
  <c r="O139" i="110"/>
  <c r="J109" i="114"/>
  <c r="Y109" i="114" s="1"/>
  <c r="K109" i="114"/>
  <c r="I110" i="114"/>
  <c r="L108" i="114"/>
  <c r="M108" i="114" s="1"/>
  <c r="U108" i="114" s="1"/>
  <c r="P108" i="114"/>
  <c r="K88" i="78"/>
  <c r="B89" i="78"/>
  <c r="I86" i="78"/>
  <c r="L85" i="78"/>
  <c r="T83" i="78"/>
  <c r="P83" i="78"/>
  <c r="N84" i="78"/>
  <c r="O84" i="78" s="1"/>
  <c r="C88" i="78"/>
  <c r="F87" i="78"/>
  <c r="R82" i="78"/>
  <c r="G111" i="114"/>
  <c r="F112" i="114"/>
  <c r="I93" i="91"/>
  <c r="H94" i="91"/>
  <c r="E96" i="91"/>
  <c r="G95" i="91"/>
  <c r="I85" i="88"/>
  <c r="R85" i="88" s="1"/>
  <c r="S85" i="88"/>
  <c r="E151" i="88"/>
  <c r="M150" i="88"/>
  <c r="N114" i="88"/>
  <c r="O113" i="88"/>
  <c r="K84" i="88"/>
  <c r="P84" i="88" s="1"/>
  <c r="H86" i="88"/>
  <c r="G85" i="88"/>
  <c r="F86" i="88"/>
  <c r="L88" i="77"/>
  <c r="C89" i="77"/>
  <c r="P83" i="77"/>
  <c r="Q83" i="77"/>
  <c r="T83" i="77"/>
  <c r="H86" i="77"/>
  <c r="K85" i="77"/>
  <c r="N85" i="77" s="1"/>
  <c r="O84" i="77"/>
  <c r="S84" i="77"/>
  <c r="M83" i="135"/>
  <c r="N83" i="135" s="1"/>
  <c r="O83" i="135"/>
  <c r="L84" i="135"/>
  <c r="G129" i="95"/>
  <c r="K129" i="95" s="1"/>
  <c r="L84" i="133"/>
  <c r="B55" i="113"/>
  <c r="E104" i="111"/>
  <c r="L103" i="111"/>
  <c r="D105" i="93"/>
  <c r="E104" i="93"/>
  <c r="E89" i="95"/>
  <c r="O88" i="95"/>
  <c r="F88" i="95"/>
  <c r="J88" i="95" s="1"/>
  <c r="N88" i="95" s="1"/>
  <c r="K87" i="135"/>
  <c r="E88" i="135"/>
  <c r="F87" i="135"/>
  <c r="D86" i="133"/>
  <c r="E85" i="133"/>
  <c r="F59" i="113"/>
  <c r="G59" i="113" s="1"/>
  <c r="J53" i="112"/>
  <c r="J85" i="133"/>
  <c r="K85" i="133" s="1"/>
  <c r="H136" i="112"/>
  <c r="D138" i="113" s="1"/>
  <c r="H104" i="95"/>
  <c r="I103" i="95"/>
  <c r="G85" i="133"/>
  <c r="H84" i="133"/>
  <c r="I84" i="133" s="1"/>
  <c r="L85" i="134"/>
  <c r="M84" i="134"/>
  <c r="N84" i="134" s="1"/>
  <c r="O84" i="134"/>
  <c r="H89" i="134"/>
  <c r="I88" i="134"/>
  <c r="J88" i="134" s="1"/>
  <c r="E90" i="134"/>
  <c r="F89" i="134"/>
  <c r="H87" i="135"/>
  <c r="I86" i="135"/>
  <c r="J86" i="135" s="1"/>
  <c r="M55" i="113"/>
  <c r="G90" i="134"/>
  <c r="K90" i="134" s="1"/>
  <c r="M83" i="133"/>
  <c r="I58" i="113"/>
  <c r="J58" i="113" s="1"/>
  <c r="J91" i="147" l="1"/>
  <c r="H93" i="147"/>
  <c r="I92" i="147"/>
  <c r="E93" i="147"/>
  <c r="F92" i="147"/>
  <c r="L91" i="147"/>
  <c r="M90" i="147"/>
  <c r="N90" i="147" s="1"/>
  <c r="O90" i="147"/>
  <c r="E94" i="148"/>
  <c r="F93" i="148"/>
  <c r="L93" i="148"/>
  <c r="M92" i="148"/>
  <c r="H93" i="148"/>
  <c r="I92" i="148"/>
  <c r="J92" i="148" s="1"/>
  <c r="N91" i="148"/>
  <c r="O92" i="148"/>
  <c r="L97" i="95"/>
  <c r="M96" i="95"/>
  <c r="H85" i="110"/>
  <c r="I85" i="110" s="1"/>
  <c r="J85" i="110" s="1"/>
  <c r="G84" i="110"/>
  <c r="K84" i="110" s="1"/>
  <c r="P84" i="110" s="1"/>
  <c r="R84" i="110"/>
  <c r="F85" i="110"/>
  <c r="L84" i="110"/>
  <c r="V108" i="114"/>
  <c r="W108" i="114" s="1"/>
  <c r="L85" i="88"/>
  <c r="J85" i="88"/>
  <c r="Q84" i="78"/>
  <c r="R84" i="78" s="1"/>
  <c r="X108" i="114"/>
  <c r="P84" i="78"/>
  <c r="T84" i="78"/>
  <c r="N85" i="78"/>
  <c r="O85" i="78" s="1"/>
  <c r="S85" i="78"/>
  <c r="N141" i="110"/>
  <c r="O140" i="110"/>
  <c r="E153" i="110"/>
  <c r="M153" i="110" s="1"/>
  <c r="M152" i="110"/>
  <c r="K110" i="114"/>
  <c r="I111" i="114"/>
  <c r="J110" i="114"/>
  <c r="Y110" i="114" s="1"/>
  <c r="L109" i="114"/>
  <c r="M109" i="114" s="1"/>
  <c r="U109" i="114" s="1"/>
  <c r="X109" i="114" s="1"/>
  <c r="P109" i="114"/>
  <c r="L86" i="78"/>
  <c r="I87" i="78"/>
  <c r="F88" i="78"/>
  <c r="C89" i="78"/>
  <c r="K89" i="78"/>
  <c r="B90" i="78"/>
  <c r="F113" i="114"/>
  <c r="G112" i="114"/>
  <c r="G96" i="91"/>
  <c r="E97" i="91"/>
  <c r="J93" i="91"/>
  <c r="H95" i="91"/>
  <c r="I94" i="91"/>
  <c r="J94" i="91" s="1"/>
  <c r="I86" i="88"/>
  <c r="J86" i="88" s="1"/>
  <c r="S86" i="88"/>
  <c r="E152" i="88"/>
  <c r="M151" i="88"/>
  <c r="N115" i="88"/>
  <c r="O114" i="88"/>
  <c r="H87" i="88"/>
  <c r="F87" i="88"/>
  <c r="G86" i="88"/>
  <c r="K85" i="88"/>
  <c r="P85" i="88" s="1"/>
  <c r="C90" i="77"/>
  <c r="L89" i="77"/>
  <c r="O85" i="77"/>
  <c r="S85" i="77"/>
  <c r="R83" i="77"/>
  <c r="Q84" i="77"/>
  <c r="P84" i="77"/>
  <c r="T84" i="77"/>
  <c r="H87" i="77"/>
  <c r="K86" i="77"/>
  <c r="N86" i="77" s="1"/>
  <c r="O84" i="135"/>
  <c r="M84" i="135"/>
  <c r="N84" i="135" s="1"/>
  <c r="L85" i="135"/>
  <c r="G130" i="95"/>
  <c r="K130" i="95" s="1"/>
  <c r="L85" i="133"/>
  <c r="F60" i="113"/>
  <c r="G60" i="113" s="1"/>
  <c r="G91" i="134"/>
  <c r="K91" i="134" s="1"/>
  <c r="H88" i="135"/>
  <c r="I87" i="135"/>
  <c r="J87" i="135" s="1"/>
  <c r="H90" i="134"/>
  <c r="I89" i="134"/>
  <c r="J89" i="134" s="1"/>
  <c r="L86" i="134"/>
  <c r="M85" i="134"/>
  <c r="O85" i="134"/>
  <c r="G86" i="133"/>
  <c r="H85" i="133"/>
  <c r="I85" i="133" s="1"/>
  <c r="H105" i="95"/>
  <c r="I104" i="95"/>
  <c r="J86" i="133"/>
  <c r="K86" i="133" s="1"/>
  <c r="K53" i="112"/>
  <c r="I54" i="112" s="1"/>
  <c r="C56" i="113" s="1"/>
  <c r="K56" i="113" s="1"/>
  <c r="M56" i="113" s="1"/>
  <c r="D87" i="133"/>
  <c r="E86" i="133"/>
  <c r="E89" i="135"/>
  <c r="F88" i="135"/>
  <c r="K88" i="135"/>
  <c r="L104" i="111"/>
  <c r="E105" i="111"/>
  <c r="M84" i="133"/>
  <c r="E91" i="134"/>
  <c r="F90" i="134"/>
  <c r="I59" i="113"/>
  <c r="J59" i="113" s="1"/>
  <c r="E90" i="95"/>
  <c r="O89" i="95"/>
  <c r="F89" i="95"/>
  <c r="J89" i="95" s="1"/>
  <c r="N89" i="95" s="1"/>
  <c r="D106" i="93"/>
  <c r="E105" i="93"/>
  <c r="H137" i="112"/>
  <c r="D139" i="113" s="1"/>
  <c r="J92" i="147" l="1"/>
  <c r="E94" i="147"/>
  <c r="F93" i="147"/>
  <c r="M91" i="147"/>
  <c r="N91" i="147" s="1"/>
  <c r="L92" i="147"/>
  <c r="O91" i="147"/>
  <c r="H94" i="147"/>
  <c r="I93" i="147"/>
  <c r="N92" i="148"/>
  <c r="H94" i="148"/>
  <c r="I93" i="148"/>
  <c r="J93" i="148" s="1"/>
  <c r="O93" i="148"/>
  <c r="E95" i="148"/>
  <c r="F94" i="148"/>
  <c r="L94" i="148"/>
  <c r="M93" i="148"/>
  <c r="L98" i="95"/>
  <c r="M97" i="95"/>
  <c r="N85" i="134"/>
  <c r="F86" i="110"/>
  <c r="R85" i="110"/>
  <c r="L85" i="110"/>
  <c r="G85" i="110"/>
  <c r="K85" i="110" s="1"/>
  <c r="P85" i="110" s="1"/>
  <c r="H86" i="110"/>
  <c r="I86" i="110" s="1"/>
  <c r="J86" i="110" s="1"/>
  <c r="R86" i="88"/>
  <c r="V109" i="114"/>
  <c r="W109" i="114" s="1"/>
  <c r="N86" i="78"/>
  <c r="O86" i="78" s="1"/>
  <c r="S86" i="78"/>
  <c r="P85" i="78"/>
  <c r="T85" i="78"/>
  <c r="Q85" i="78"/>
  <c r="L86" i="88"/>
  <c r="E154" i="110"/>
  <c r="M154" i="110" s="1"/>
  <c r="N142" i="110"/>
  <c r="O141" i="110"/>
  <c r="J111" i="114"/>
  <c r="Y111" i="114" s="1"/>
  <c r="K111" i="114"/>
  <c r="I112" i="114"/>
  <c r="P110" i="114"/>
  <c r="L110" i="114"/>
  <c r="M110" i="114" s="1"/>
  <c r="U110" i="114" s="1"/>
  <c r="K90" i="78"/>
  <c r="B91" i="78"/>
  <c r="F89" i="78"/>
  <c r="C90" i="78"/>
  <c r="L87" i="78"/>
  <c r="I88" i="78"/>
  <c r="O90" i="95"/>
  <c r="F114" i="114"/>
  <c r="G113" i="114"/>
  <c r="H96" i="91"/>
  <c r="I95" i="91"/>
  <c r="J95" i="91" s="1"/>
  <c r="G97" i="91"/>
  <c r="E98" i="91"/>
  <c r="I87" i="88"/>
  <c r="J87" i="88" s="1"/>
  <c r="S87" i="88"/>
  <c r="M152" i="88"/>
  <c r="E153" i="88"/>
  <c r="M153" i="88" s="1"/>
  <c r="N116" i="88"/>
  <c r="O115" i="88"/>
  <c r="H88" i="88"/>
  <c r="F88" i="88"/>
  <c r="G87" i="88"/>
  <c r="L87" i="88"/>
  <c r="K86" i="88"/>
  <c r="P86" i="88" s="1"/>
  <c r="C91" i="77"/>
  <c r="L91" i="77" s="1"/>
  <c r="L90" i="77"/>
  <c r="P85" i="77"/>
  <c r="T85" i="77"/>
  <c r="Q85" i="77"/>
  <c r="O86" i="77"/>
  <c r="S86" i="77"/>
  <c r="R84" i="77"/>
  <c r="K87" i="77"/>
  <c r="N87" i="77" s="1"/>
  <c r="H88" i="77"/>
  <c r="M85" i="135"/>
  <c r="N85" i="135" s="1"/>
  <c r="O85" i="135"/>
  <c r="L86" i="135"/>
  <c r="G131" i="95"/>
  <c r="K131" i="95" s="1"/>
  <c r="L86" i="133"/>
  <c r="E91" i="95"/>
  <c r="O91" i="95" s="1"/>
  <c r="F90" i="95"/>
  <c r="J90" i="95" s="1"/>
  <c r="E92" i="134"/>
  <c r="F91" i="134"/>
  <c r="H138" i="112"/>
  <c r="D140" i="113" s="1"/>
  <c r="K90" i="135"/>
  <c r="K89" i="135"/>
  <c r="J54" i="112"/>
  <c r="J88" i="133"/>
  <c r="J87" i="133"/>
  <c r="K87" i="133" s="1"/>
  <c r="H106" i="95"/>
  <c r="I105" i="95"/>
  <c r="L87" i="134"/>
  <c r="M86" i="134"/>
  <c r="N86" i="134" s="1"/>
  <c r="O86" i="134"/>
  <c r="H91" i="134"/>
  <c r="I90" i="134"/>
  <c r="J90" i="134" s="1"/>
  <c r="F61" i="113"/>
  <c r="M85" i="133"/>
  <c r="D107" i="93"/>
  <c r="E106" i="93"/>
  <c r="L105" i="111"/>
  <c r="E106" i="111"/>
  <c r="E90" i="135"/>
  <c r="F89" i="135"/>
  <c r="D88" i="133"/>
  <c r="E87" i="133"/>
  <c r="B56" i="113"/>
  <c r="G87" i="133"/>
  <c r="H86" i="133"/>
  <c r="I86" i="133" s="1"/>
  <c r="H89" i="135"/>
  <c r="I88" i="135"/>
  <c r="J88" i="135" s="1"/>
  <c r="G92" i="134"/>
  <c r="K92" i="134" s="1"/>
  <c r="I60" i="113"/>
  <c r="J60" i="113" s="1"/>
  <c r="J93" i="147" l="1"/>
  <c r="N93" i="148"/>
  <c r="H95" i="147"/>
  <c r="I94" i="147"/>
  <c r="E95" i="147"/>
  <c r="F94" i="147"/>
  <c r="L93" i="147"/>
  <c r="M92" i="147"/>
  <c r="N92" i="147" s="1"/>
  <c r="O92" i="147"/>
  <c r="L95" i="148"/>
  <c r="M94" i="148"/>
  <c r="O94" i="148"/>
  <c r="E96" i="148"/>
  <c r="F95" i="148"/>
  <c r="H95" i="148"/>
  <c r="I94" i="148"/>
  <c r="J94" i="148" s="1"/>
  <c r="L99" i="95"/>
  <c r="M98" i="95"/>
  <c r="R86" i="110"/>
  <c r="G86" i="110"/>
  <c r="K86" i="110" s="1"/>
  <c r="P86" i="110" s="1"/>
  <c r="L86" i="110"/>
  <c r="F87" i="110"/>
  <c r="H87" i="110"/>
  <c r="I87" i="110" s="1"/>
  <c r="J87" i="110" s="1"/>
  <c r="X110" i="114"/>
  <c r="V110" i="114"/>
  <c r="W110" i="114" s="1"/>
  <c r="N87" i="78"/>
  <c r="O87" i="78" s="1"/>
  <c r="S87" i="78"/>
  <c r="R85" i="78"/>
  <c r="P86" i="78"/>
  <c r="T86" i="78"/>
  <c r="Q86" i="78"/>
  <c r="R87" i="88"/>
  <c r="N143" i="110"/>
  <c r="O142" i="110"/>
  <c r="E155" i="110"/>
  <c r="M155" i="110" s="1"/>
  <c r="J112" i="114"/>
  <c r="Y112" i="114" s="1"/>
  <c r="K112" i="114"/>
  <c r="I113" i="114"/>
  <c r="L111" i="114"/>
  <c r="M111" i="114" s="1"/>
  <c r="U111" i="114" s="1"/>
  <c r="P111" i="114"/>
  <c r="L88" i="78"/>
  <c r="I89" i="78"/>
  <c r="B92" i="78"/>
  <c r="K91" i="78"/>
  <c r="F90" i="78"/>
  <c r="C91" i="78"/>
  <c r="N90" i="95"/>
  <c r="G114" i="114"/>
  <c r="F115" i="114"/>
  <c r="H97" i="91"/>
  <c r="I96" i="91"/>
  <c r="J96" i="91" s="1"/>
  <c r="G98" i="91"/>
  <c r="E99" i="91"/>
  <c r="I88" i="88"/>
  <c r="J88" i="88" s="1"/>
  <c r="S88" i="88"/>
  <c r="E154" i="88"/>
  <c r="M154" i="88" s="1"/>
  <c r="N117" i="88"/>
  <c r="O116" i="88"/>
  <c r="H89" i="88"/>
  <c r="F89" i="88"/>
  <c r="G88" i="88"/>
  <c r="K87" i="88"/>
  <c r="P87" i="88" s="1"/>
  <c r="C92" i="77"/>
  <c r="O87" i="77"/>
  <c r="S87" i="77"/>
  <c r="P86" i="77"/>
  <c r="Q86" i="77"/>
  <c r="T86" i="77"/>
  <c r="R85" i="77"/>
  <c r="H89" i="77"/>
  <c r="K88" i="77"/>
  <c r="N88" i="77" s="1"/>
  <c r="M86" i="135"/>
  <c r="N86" i="135" s="1"/>
  <c r="O86" i="135"/>
  <c r="L87" i="135"/>
  <c r="G132" i="95"/>
  <c r="K132" i="95" s="1"/>
  <c r="K88" i="133"/>
  <c r="L87" i="133"/>
  <c r="E91" i="135"/>
  <c r="F90" i="135"/>
  <c r="H139" i="112"/>
  <c r="D141" i="113" s="1"/>
  <c r="I61" i="113"/>
  <c r="J61" i="113" s="1"/>
  <c r="L88" i="134"/>
  <c r="M87" i="134"/>
  <c r="N87" i="134" s="1"/>
  <c r="O87" i="134"/>
  <c r="K54" i="112"/>
  <c r="I55" i="112" s="1"/>
  <c r="C57" i="113" s="1"/>
  <c r="K57" i="113" s="1"/>
  <c r="E93" i="134"/>
  <c r="F92" i="134"/>
  <c r="G93" i="134"/>
  <c r="K93" i="134" s="1"/>
  <c r="H90" i="135"/>
  <c r="I89" i="135"/>
  <c r="J89" i="135" s="1"/>
  <c r="G88" i="133"/>
  <c r="H87" i="133"/>
  <c r="I87" i="133" s="1"/>
  <c r="D89" i="133"/>
  <c r="E88" i="133"/>
  <c r="E107" i="111"/>
  <c r="L106" i="111"/>
  <c r="D108" i="93"/>
  <c r="E107" i="93"/>
  <c r="G61" i="113"/>
  <c r="H92" i="134"/>
  <c r="I91" i="134"/>
  <c r="J91" i="134" s="1"/>
  <c r="H107" i="95"/>
  <c r="I106" i="95"/>
  <c r="E92" i="95"/>
  <c r="F91" i="95"/>
  <c r="J91" i="95" s="1"/>
  <c r="M86" i="133"/>
  <c r="J94" i="147" l="1"/>
  <c r="E96" i="147"/>
  <c r="F95" i="147"/>
  <c r="L94" i="147"/>
  <c r="M93" i="147"/>
  <c r="N93" i="147" s="1"/>
  <c r="O93" i="147"/>
  <c r="H96" i="147"/>
  <c r="I95" i="147"/>
  <c r="H96" i="148"/>
  <c r="I95" i="148"/>
  <c r="J95" i="148"/>
  <c r="N95" i="148" s="1"/>
  <c r="O95" i="148"/>
  <c r="N94" i="148"/>
  <c r="O96" i="148"/>
  <c r="E97" i="148"/>
  <c r="F96" i="148"/>
  <c r="L96" i="148"/>
  <c r="M95" i="148"/>
  <c r="M99" i="95"/>
  <c r="L100" i="95"/>
  <c r="R88" i="88"/>
  <c r="H88" i="133"/>
  <c r="I88" i="133" s="1"/>
  <c r="H88" i="110"/>
  <c r="I88" i="110" s="1"/>
  <c r="J88" i="110" s="1"/>
  <c r="L87" i="110"/>
  <c r="R87" i="110"/>
  <c r="G87" i="110"/>
  <c r="K87" i="110" s="1"/>
  <c r="P87" i="110" s="1"/>
  <c r="F88" i="110"/>
  <c r="V111" i="114"/>
  <c r="W111" i="114" s="1"/>
  <c r="N88" i="78"/>
  <c r="O88" i="78" s="1"/>
  <c r="S88" i="78"/>
  <c r="X111" i="114"/>
  <c r="R86" i="78"/>
  <c r="P87" i="78"/>
  <c r="T87" i="78"/>
  <c r="Q87" i="78"/>
  <c r="L88" i="88"/>
  <c r="E156" i="110"/>
  <c r="M156" i="110" s="1"/>
  <c r="N144" i="110"/>
  <c r="O143" i="110"/>
  <c r="P112" i="114"/>
  <c r="L112" i="114"/>
  <c r="M112" i="114" s="1"/>
  <c r="U112" i="114" s="1"/>
  <c r="I114" i="114"/>
  <c r="J113" i="114"/>
  <c r="Y113" i="114" s="1"/>
  <c r="K113" i="114"/>
  <c r="K92" i="78"/>
  <c r="B93" i="78"/>
  <c r="F91" i="78"/>
  <c r="C92" i="78"/>
  <c r="L89" i="78"/>
  <c r="I90" i="78"/>
  <c r="N91" i="95"/>
  <c r="O92" i="95"/>
  <c r="F116" i="114"/>
  <c r="G115" i="114"/>
  <c r="H98" i="91"/>
  <c r="I97" i="91"/>
  <c r="J97" i="91" s="1"/>
  <c r="E100" i="91"/>
  <c r="G99" i="91"/>
  <c r="I89" i="88"/>
  <c r="J89" i="88" s="1"/>
  <c r="S89" i="88"/>
  <c r="E155" i="88"/>
  <c r="M155" i="88" s="1"/>
  <c r="N118" i="88"/>
  <c r="O117" i="88"/>
  <c r="H90" i="88"/>
  <c r="G89" i="88"/>
  <c r="F90" i="88"/>
  <c r="K88" i="88"/>
  <c r="P88" i="88" s="1"/>
  <c r="L92" i="77"/>
  <c r="C93" i="77"/>
  <c r="K89" i="77"/>
  <c r="N89" i="77" s="1"/>
  <c r="H90" i="77"/>
  <c r="Q87" i="77"/>
  <c r="P87" i="77"/>
  <c r="T87" i="77"/>
  <c r="O88" i="77"/>
  <c r="S88" i="77"/>
  <c r="R86" i="77"/>
  <c r="M87" i="135"/>
  <c r="N87" i="135" s="1"/>
  <c r="O87" i="135"/>
  <c r="L88" i="135"/>
  <c r="G133" i="95"/>
  <c r="D35" i="159" s="1"/>
  <c r="E93" i="95"/>
  <c r="O93" i="95" s="1"/>
  <c r="F92" i="95"/>
  <c r="J92" i="95" s="1"/>
  <c r="N92" i="95" s="1"/>
  <c r="F62" i="113"/>
  <c r="G62" i="113" s="1"/>
  <c r="H140" i="112"/>
  <c r="D142" i="113" s="1"/>
  <c r="E94" i="134"/>
  <c r="F93" i="134"/>
  <c r="B57" i="113"/>
  <c r="M57" i="113"/>
  <c r="L89" i="134"/>
  <c r="M88" i="134"/>
  <c r="N88" i="134" s="1"/>
  <c r="O88" i="134"/>
  <c r="M87" i="133"/>
  <c r="K89" i="133"/>
  <c r="L88" i="133"/>
  <c r="H108" i="95"/>
  <c r="I107" i="95"/>
  <c r="H93" i="134"/>
  <c r="I92" i="134"/>
  <c r="J92" i="134" s="1"/>
  <c r="D109" i="93"/>
  <c r="E108" i="93"/>
  <c r="L107" i="111"/>
  <c r="E108" i="111"/>
  <c r="D90" i="133"/>
  <c r="E89" i="133"/>
  <c r="G89" i="133"/>
  <c r="H91" i="135"/>
  <c r="I90" i="135"/>
  <c r="J90" i="135" s="1"/>
  <c r="G94" i="134"/>
  <c r="K94" i="134" s="1"/>
  <c r="J55" i="112"/>
  <c r="E92" i="135"/>
  <c r="F91" i="135"/>
  <c r="J95" i="147" l="1"/>
  <c r="H97" i="147"/>
  <c r="I96" i="147"/>
  <c r="L95" i="147"/>
  <c r="M94" i="147"/>
  <c r="N94" i="147" s="1"/>
  <c r="O94" i="147"/>
  <c r="E97" i="147"/>
  <c r="F96" i="147"/>
  <c r="D47" i="159"/>
  <c r="E35" i="159"/>
  <c r="E47" i="159" s="1"/>
  <c r="E98" i="148"/>
  <c r="F97" i="148"/>
  <c r="L97" i="148"/>
  <c r="M96" i="148"/>
  <c r="H97" i="148"/>
  <c r="I96" i="148"/>
  <c r="J96" i="148" s="1"/>
  <c r="Q88" i="78"/>
  <c r="R88" i="78" s="1"/>
  <c r="K133" i="95"/>
  <c r="L101" i="95"/>
  <c r="M100" i="95"/>
  <c r="G88" i="110"/>
  <c r="K88" i="110" s="1"/>
  <c r="P88" i="110" s="1"/>
  <c r="F89" i="110"/>
  <c r="L88" i="110"/>
  <c r="H89" i="110"/>
  <c r="I89" i="110" s="1"/>
  <c r="J89" i="110" s="1"/>
  <c r="R88" i="110"/>
  <c r="L89" i="88"/>
  <c r="P88" i="78"/>
  <c r="T88" i="78"/>
  <c r="N89" i="78"/>
  <c r="O89" i="78" s="1"/>
  <c r="S89" i="78"/>
  <c r="X112" i="114"/>
  <c r="V112" i="114"/>
  <c r="W112" i="114" s="1"/>
  <c r="R87" i="78"/>
  <c r="O89" i="77"/>
  <c r="P89" i="77" s="1"/>
  <c r="S89" i="77"/>
  <c r="K89" i="88"/>
  <c r="P89" i="88" s="1"/>
  <c r="R89" i="88"/>
  <c r="N145" i="110"/>
  <c r="O144" i="110"/>
  <c r="E157" i="110"/>
  <c r="M157" i="110" s="1"/>
  <c r="K114" i="114"/>
  <c r="J114" i="114"/>
  <c r="Y114" i="114" s="1"/>
  <c r="I115" i="114"/>
  <c r="L113" i="114"/>
  <c r="M113" i="114" s="1"/>
  <c r="U113" i="114" s="1"/>
  <c r="P113" i="114"/>
  <c r="I91" i="78"/>
  <c r="L90" i="78"/>
  <c r="K93" i="78"/>
  <c r="B94" i="78"/>
  <c r="F92" i="78"/>
  <c r="C93" i="78"/>
  <c r="F117" i="114"/>
  <c r="G116" i="114"/>
  <c r="G100" i="91"/>
  <c r="E101" i="91"/>
  <c r="I98" i="91"/>
  <c r="J98" i="91" s="1"/>
  <c r="H99" i="91"/>
  <c r="I90" i="88"/>
  <c r="R90" i="88" s="1"/>
  <c r="S90" i="88"/>
  <c r="E156" i="88"/>
  <c r="M156" i="88" s="1"/>
  <c r="N119" i="88"/>
  <c r="O118" i="88"/>
  <c r="F91" i="88"/>
  <c r="G90" i="88"/>
  <c r="H91" i="88"/>
  <c r="L93" i="77"/>
  <c r="C94" i="77"/>
  <c r="P88" i="77"/>
  <c r="T88" i="77"/>
  <c r="Q88" i="77"/>
  <c r="R87" i="77"/>
  <c r="H91" i="77"/>
  <c r="K90" i="77"/>
  <c r="N90" i="77" s="1"/>
  <c r="O88" i="135"/>
  <c r="M88" i="135"/>
  <c r="N88" i="135" s="1"/>
  <c r="L89" i="135"/>
  <c r="G134" i="95"/>
  <c r="K134" i="95" s="1"/>
  <c r="F63" i="113"/>
  <c r="G95" i="134"/>
  <c r="K95" i="134" s="1"/>
  <c r="H141" i="112"/>
  <c r="D143" i="113" s="1"/>
  <c r="D110" i="93"/>
  <c r="E109" i="93"/>
  <c r="H94" i="134"/>
  <c r="I93" i="134"/>
  <c r="J93" i="134" s="1"/>
  <c r="M88" i="133"/>
  <c r="K90" i="133"/>
  <c r="L89" i="133"/>
  <c r="E95" i="134"/>
  <c r="E96" i="134" s="1"/>
  <c r="F94" i="134"/>
  <c r="E93" i="135"/>
  <c r="F92" i="135"/>
  <c r="K55" i="112"/>
  <c r="I56" i="112" s="1"/>
  <c r="C58" i="113" s="1"/>
  <c r="K58" i="113" s="1"/>
  <c r="M58" i="113" s="1"/>
  <c r="H92" i="135"/>
  <c r="I91" i="135"/>
  <c r="J91" i="135" s="1"/>
  <c r="G90" i="133"/>
  <c r="H89" i="133"/>
  <c r="I89" i="133" s="1"/>
  <c r="D91" i="133"/>
  <c r="E90" i="133"/>
  <c r="L108" i="111"/>
  <c r="E109" i="111"/>
  <c r="H109" i="95"/>
  <c r="I108" i="95"/>
  <c r="L90" i="134"/>
  <c r="M89" i="134"/>
  <c r="N89" i="134" s="1"/>
  <c r="O89" i="134"/>
  <c r="I62" i="113"/>
  <c r="J62" i="113" s="1"/>
  <c r="E94" i="95"/>
  <c r="O94" i="95" s="1"/>
  <c r="F93" i="95"/>
  <c r="J93" i="95" s="1"/>
  <c r="N93" i="95" s="1"/>
  <c r="E98" i="147" l="1"/>
  <c r="F97" i="147"/>
  <c r="L96" i="147"/>
  <c r="M95" i="147"/>
  <c r="N95" i="147" s="1"/>
  <c r="O95" i="147"/>
  <c r="J96" i="147"/>
  <c r="H98" i="147"/>
  <c r="I97" i="147"/>
  <c r="H98" i="148"/>
  <c r="I97" i="148"/>
  <c r="J97" i="148" s="1"/>
  <c r="O97" i="148"/>
  <c r="N96" i="148"/>
  <c r="E99" i="148"/>
  <c r="F98" i="148"/>
  <c r="L98" i="148"/>
  <c r="M97" i="148"/>
  <c r="L90" i="88"/>
  <c r="M101" i="95"/>
  <c r="L102" i="95"/>
  <c r="J90" i="88"/>
  <c r="K90" i="88" s="1"/>
  <c r="P90" i="88" s="1"/>
  <c r="Q89" i="77"/>
  <c r="R89" i="77" s="1"/>
  <c r="T89" i="77"/>
  <c r="L89" i="110"/>
  <c r="R89" i="110"/>
  <c r="G89" i="110"/>
  <c r="K89" i="110" s="1"/>
  <c r="P89" i="110" s="1"/>
  <c r="H90" i="110"/>
  <c r="I90" i="110" s="1"/>
  <c r="J90" i="110" s="1"/>
  <c r="F90" i="110"/>
  <c r="P89" i="78"/>
  <c r="T89" i="78"/>
  <c r="Q89" i="78"/>
  <c r="R89" i="78" s="1"/>
  <c r="N90" i="78"/>
  <c r="O90" i="78" s="1"/>
  <c r="S90" i="78"/>
  <c r="H95" i="134"/>
  <c r="X113" i="114"/>
  <c r="V113" i="114"/>
  <c r="W113" i="114" s="1"/>
  <c r="O90" i="77"/>
  <c r="T90" i="77" s="1"/>
  <c r="S90" i="77"/>
  <c r="E158" i="110"/>
  <c r="M158" i="110" s="1"/>
  <c r="N146" i="110"/>
  <c r="O145" i="110"/>
  <c r="I116" i="114"/>
  <c r="K115" i="114"/>
  <c r="J115" i="114"/>
  <c r="Y115" i="114" s="1"/>
  <c r="P114" i="114"/>
  <c r="L114" i="114"/>
  <c r="M114" i="114" s="1"/>
  <c r="U114" i="114" s="1"/>
  <c r="K94" i="78"/>
  <c r="B95" i="78"/>
  <c r="C94" i="78"/>
  <c r="F93" i="78"/>
  <c r="I92" i="78"/>
  <c r="L91" i="78"/>
  <c r="G117" i="114"/>
  <c r="F118" i="114"/>
  <c r="H100" i="91"/>
  <c r="I99" i="91"/>
  <c r="J99" i="91" s="1"/>
  <c r="G101" i="91"/>
  <c r="E102" i="91"/>
  <c r="I91" i="88"/>
  <c r="J91" i="88" s="1"/>
  <c r="S91" i="88"/>
  <c r="E157" i="88"/>
  <c r="M157" i="88" s="1"/>
  <c r="N120" i="88"/>
  <c r="O119" i="88"/>
  <c r="H92" i="88"/>
  <c r="F92" i="88"/>
  <c r="G91" i="88"/>
  <c r="L94" i="77"/>
  <c r="C95" i="77"/>
  <c r="K91" i="77"/>
  <c r="N91" i="77" s="1"/>
  <c r="H92" i="77"/>
  <c r="R88" i="77"/>
  <c r="M89" i="135"/>
  <c r="N89" i="135" s="1"/>
  <c r="L90" i="135"/>
  <c r="O89" i="135"/>
  <c r="F96" i="134"/>
  <c r="E97" i="134"/>
  <c r="G135" i="95"/>
  <c r="K135" i="95" s="1"/>
  <c r="L91" i="134"/>
  <c r="M90" i="134"/>
  <c r="N90" i="134" s="1"/>
  <c r="O90" i="134"/>
  <c r="H110" i="95"/>
  <c r="I109" i="95"/>
  <c r="L109" i="111"/>
  <c r="E110" i="111"/>
  <c r="D92" i="133"/>
  <c r="E91" i="133"/>
  <c r="G91" i="133"/>
  <c r="H90" i="133"/>
  <c r="I90" i="133" s="1"/>
  <c r="H93" i="135"/>
  <c r="I92" i="135"/>
  <c r="J92" i="135" s="1"/>
  <c r="B58" i="113"/>
  <c r="E94" i="135"/>
  <c r="F93" i="135"/>
  <c r="M89" i="133"/>
  <c r="I94" i="134"/>
  <c r="J94" i="134" s="1"/>
  <c r="I63" i="113"/>
  <c r="O63" i="113" s="1"/>
  <c r="E95" i="95"/>
  <c r="O95" i="95" s="1"/>
  <c r="F94" i="95"/>
  <c r="J94" i="95" s="1"/>
  <c r="N94" i="95" s="1"/>
  <c r="H142" i="112"/>
  <c r="D144" i="113" s="1"/>
  <c r="J56" i="112"/>
  <c r="F95" i="134"/>
  <c r="K91" i="133"/>
  <c r="L90" i="133"/>
  <c r="D111" i="93"/>
  <c r="E110" i="93"/>
  <c r="G63" i="113"/>
  <c r="O98" i="148" l="1"/>
  <c r="J97" i="147"/>
  <c r="H99" i="147"/>
  <c r="I99" i="147" s="1"/>
  <c r="I98" i="147"/>
  <c r="L97" i="147"/>
  <c r="M96" i="147"/>
  <c r="O96" i="147"/>
  <c r="N96" i="147"/>
  <c r="E99" i="147"/>
  <c r="F98" i="147"/>
  <c r="N97" i="148"/>
  <c r="F99" i="148"/>
  <c r="H99" i="148"/>
  <c r="I99" i="148" s="1"/>
  <c r="I98" i="148"/>
  <c r="J98" i="148" s="1"/>
  <c r="L99" i="148"/>
  <c r="M99" i="148" s="1"/>
  <c r="D65" i="162" s="1"/>
  <c r="M98" i="148"/>
  <c r="L91" i="88"/>
  <c r="R91" i="88"/>
  <c r="Q90" i="77"/>
  <c r="R90" i="77" s="1"/>
  <c r="M102" i="95"/>
  <c r="L103" i="95"/>
  <c r="F91" i="110"/>
  <c r="L90" i="110"/>
  <c r="H91" i="110"/>
  <c r="I91" i="110" s="1"/>
  <c r="J91" i="110" s="1"/>
  <c r="R90" i="110"/>
  <c r="G90" i="110"/>
  <c r="K90" i="110" s="1"/>
  <c r="P90" i="110" s="1"/>
  <c r="N91" i="78"/>
  <c r="O91" i="78" s="1"/>
  <c r="S91" i="78"/>
  <c r="P90" i="78"/>
  <c r="T90" i="78"/>
  <c r="Q90" i="78"/>
  <c r="R90" i="78" s="1"/>
  <c r="V114" i="114"/>
  <c r="W114" i="114" s="1"/>
  <c r="X114" i="114"/>
  <c r="O91" i="77"/>
  <c r="P91" i="77" s="1"/>
  <c r="S91" i="77"/>
  <c r="P90" i="77"/>
  <c r="N147" i="110"/>
  <c r="O146" i="110"/>
  <c r="E159" i="110"/>
  <c r="M159" i="110" s="1"/>
  <c r="J116" i="114"/>
  <c r="Y116" i="114" s="1"/>
  <c r="K116" i="114"/>
  <c r="I117" i="114"/>
  <c r="P115" i="114"/>
  <c r="L115" i="114"/>
  <c r="M115" i="114" s="1"/>
  <c r="U115" i="114" s="1"/>
  <c r="C95" i="78"/>
  <c r="F94" i="78"/>
  <c r="B96" i="78"/>
  <c r="K95" i="78"/>
  <c r="L92" i="78"/>
  <c r="I93" i="78"/>
  <c r="G118" i="114"/>
  <c r="F119" i="114"/>
  <c r="H101" i="91"/>
  <c r="I100" i="91"/>
  <c r="J100" i="91" s="1"/>
  <c r="E103" i="91"/>
  <c r="G102" i="91"/>
  <c r="S92" i="88"/>
  <c r="E158" i="88"/>
  <c r="M158" i="88" s="1"/>
  <c r="N121" i="88"/>
  <c r="O120" i="88"/>
  <c r="K91" i="88"/>
  <c r="P91" i="88" s="1"/>
  <c r="F93" i="88"/>
  <c r="H93" i="88"/>
  <c r="S93" i="88" s="1"/>
  <c r="G92" i="88"/>
  <c r="I92" i="88"/>
  <c r="C96" i="77"/>
  <c r="L95" i="77"/>
  <c r="H93" i="77"/>
  <c r="K92" i="77"/>
  <c r="N92" i="77" s="1"/>
  <c r="L91" i="135"/>
  <c r="M90" i="135"/>
  <c r="N90" i="135" s="1"/>
  <c r="O90" i="135"/>
  <c r="I95" i="134"/>
  <c r="J95" i="134" s="1"/>
  <c r="H96" i="134"/>
  <c r="F97" i="134"/>
  <c r="E98" i="134"/>
  <c r="G136" i="95"/>
  <c r="K136" i="95" s="1"/>
  <c r="K92" i="133"/>
  <c r="L91" i="133"/>
  <c r="E95" i="135"/>
  <c r="F94" i="135"/>
  <c r="E111" i="111"/>
  <c r="L110" i="111"/>
  <c r="F64" i="113"/>
  <c r="G64" i="113" s="1"/>
  <c r="D112" i="93"/>
  <c r="E111" i="93"/>
  <c r="M90" i="133"/>
  <c r="K56" i="112"/>
  <c r="I57" i="112" s="1"/>
  <c r="C59" i="113" s="1"/>
  <c r="K59" i="113" s="1"/>
  <c r="E96" i="95"/>
  <c r="O96" i="95" s="1"/>
  <c r="F95" i="95"/>
  <c r="J95" i="95" s="1"/>
  <c r="N95" i="95" s="1"/>
  <c r="D65" i="114"/>
  <c r="P63" i="113"/>
  <c r="H94" i="135"/>
  <c r="I93" i="135"/>
  <c r="J93" i="135" s="1"/>
  <c r="G92" i="133"/>
  <c r="H91" i="133"/>
  <c r="I91" i="133" s="1"/>
  <c r="D93" i="133"/>
  <c r="E92" i="133"/>
  <c r="H143" i="112"/>
  <c r="D145" i="113" s="1"/>
  <c r="H111" i="95"/>
  <c r="I110" i="95"/>
  <c r="L92" i="134"/>
  <c r="M91" i="134"/>
  <c r="N91" i="134" s="1"/>
  <c r="O91" i="134"/>
  <c r="J63" i="113"/>
  <c r="L98" i="147" l="1"/>
  <c r="M97" i="147"/>
  <c r="N97" i="147" s="1"/>
  <c r="O97" i="147"/>
  <c r="J98" i="147"/>
  <c r="F99" i="147"/>
  <c r="J99" i="147" s="1"/>
  <c r="J99" i="148"/>
  <c r="O99" i="148"/>
  <c r="N98" i="148"/>
  <c r="Q91" i="78"/>
  <c r="R91" i="78" s="1"/>
  <c r="M103" i="95"/>
  <c r="L104" i="95"/>
  <c r="Q91" i="77"/>
  <c r="R91" i="77" s="1"/>
  <c r="F92" i="110"/>
  <c r="H92" i="110"/>
  <c r="I92" i="110" s="1"/>
  <c r="J92" i="110" s="1"/>
  <c r="G91" i="110"/>
  <c r="K91" i="110" s="1"/>
  <c r="P91" i="110" s="1"/>
  <c r="R91" i="110"/>
  <c r="L91" i="110"/>
  <c r="P91" i="78"/>
  <c r="T91" i="78"/>
  <c r="N92" i="78"/>
  <c r="O92" i="78" s="1"/>
  <c r="S92" i="78"/>
  <c r="T91" i="77"/>
  <c r="V115" i="114"/>
  <c r="W115" i="114" s="1"/>
  <c r="X115" i="114"/>
  <c r="O92" i="77"/>
  <c r="P92" i="77" s="1"/>
  <c r="S92" i="77"/>
  <c r="E160" i="110"/>
  <c r="M160" i="110" s="1"/>
  <c r="N148" i="110"/>
  <c r="O147" i="110"/>
  <c r="L116" i="114"/>
  <c r="M116" i="114" s="1"/>
  <c r="U116" i="114" s="1"/>
  <c r="V116" i="114" s="1"/>
  <c r="W116" i="114" s="1"/>
  <c r="P116" i="114"/>
  <c r="K117" i="114"/>
  <c r="I118" i="114"/>
  <c r="J117" i="114"/>
  <c r="Y117" i="114" s="1"/>
  <c r="K96" i="78"/>
  <c r="B97" i="78"/>
  <c r="L93" i="78"/>
  <c r="I94" i="78"/>
  <c r="C96" i="78"/>
  <c r="F95" i="78"/>
  <c r="G119" i="114"/>
  <c r="F120" i="114"/>
  <c r="G103" i="91"/>
  <c r="E104" i="91"/>
  <c r="H102" i="91"/>
  <c r="I101" i="91"/>
  <c r="J101" i="91" s="1"/>
  <c r="E159" i="88"/>
  <c r="M159" i="88" s="1"/>
  <c r="N122" i="88"/>
  <c r="O121" i="88"/>
  <c r="I93" i="88"/>
  <c r="R93" i="88" s="1"/>
  <c r="J92" i="88"/>
  <c r="K92" i="88" s="1"/>
  <c r="P92" i="88" s="1"/>
  <c r="R92" i="88"/>
  <c r="L92" i="88"/>
  <c r="H94" i="88"/>
  <c r="S94" i="88" s="1"/>
  <c r="G93" i="88"/>
  <c r="F94" i="88"/>
  <c r="C97" i="77"/>
  <c r="L96" i="77"/>
  <c r="K93" i="77"/>
  <c r="N93" i="77" s="1"/>
  <c r="H94" i="77"/>
  <c r="O91" i="135"/>
  <c r="M91" i="135"/>
  <c r="N91" i="135" s="1"/>
  <c r="L92" i="135"/>
  <c r="H97" i="134"/>
  <c r="I96" i="134"/>
  <c r="J96" i="134" s="1"/>
  <c r="F98" i="134"/>
  <c r="E99" i="134"/>
  <c r="G137" i="95"/>
  <c r="K137" i="95" s="1"/>
  <c r="J57" i="112"/>
  <c r="K57" i="112" s="1"/>
  <c r="I58" i="112" s="1"/>
  <c r="C60" i="113" s="1"/>
  <c r="K60" i="113" s="1"/>
  <c r="B60" i="113" s="1"/>
  <c r="F65" i="113"/>
  <c r="D94" i="133"/>
  <c r="E93" i="133"/>
  <c r="G93" i="133"/>
  <c r="H92" i="133"/>
  <c r="I92" i="133" s="1"/>
  <c r="H95" i="135"/>
  <c r="I94" i="135"/>
  <c r="J94" i="135" s="1"/>
  <c r="B59" i="113"/>
  <c r="M59" i="113"/>
  <c r="L111" i="111"/>
  <c r="E112" i="111"/>
  <c r="M91" i="133"/>
  <c r="L93" i="134"/>
  <c r="M92" i="134"/>
  <c r="N92" i="134" s="1"/>
  <c r="O92" i="134"/>
  <c r="H112" i="95"/>
  <c r="I111" i="95"/>
  <c r="Q63" i="113"/>
  <c r="E97" i="95"/>
  <c r="O97" i="95" s="1"/>
  <c r="F96" i="95"/>
  <c r="J96" i="95" s="1"/>
  <c r="N96" i="95" s="1"/>
  <c r="D113" i="93"/>
  <c r="E112" i="93"/>
  <c r="I64" i="113"/>
  <c r="O64" i="113" s="1"/>
  <c r="H144" i="112"/>
  <c r="D146" i="113" s="1"/>
  <c r="E96" i="135"/>
  <c r="F95" i="135"/>
  <c r="K93" i="133"/>
  <c r="L92" i="133"/>
  <c r="D68" i="162" l="1"/>
  <c r="L99" i="147"/>
  <c r="M98" i="147"/>
  <c r="N98" i="147" s="1"/>
  <c r="O98" i="147"/>
  <c r="N99" i="148"/>
  <c r="D64" i="162"/>
  <c r="D66" i="162" s="1"/>
  <c r="Q92" i="78"/>
  <c r="R92" i="78" s="1"/>
  <c r="L105" i="95"/>
  <c r="M104" i="95"/>
  <c r="L92" i="110"/>
  <c r="F93" i="110"/>
  <c r="R92" i="110"/>
  <c r="H93" i="110"/>
  <c r="I93" i="110" s="1"/>
  <c r="J93" i="110" s="1"/>
  <c r="G92" i="110"/>
  <c r="K92" i="110" s="1"/>
  <c r="P92" i="110" s="1"/>
  <c r="N93" i="78"/>
  <c r="O93" i="78" s="1"/>
  <c r="S93" i="78"/>
  <c r="P92" i="78"/>
  <c r="T92" i="78"/>
  <c r="T92" i="77"/>
  <c r="X116" i="114"/>
  <c r="Q92" i="77"/>
  <c r="R92" i="77" s="1"/>
  <c r="L93" i="88"/>
  <c r="N149" i="110"/>
  <c r="O148" i="110"/>
  <c r="E161" i="110"/>
  <c r="M161" i="110" s="1"/>
  <c r="J118" i="114"/>
  <c r="Y118" i="114" s="1"/>
  <c r="K118" i="114"/>
  <c r="I119" i="114"/>
  <c r="L117" i="114"/>
  <c r="M117" i="114" s="1"/>
  <c r="U117" i="114" s="1"/>
  <c r="P117" i="114"/>
  <c r="I95" i="78"/>
  <c r="L94" i="78"/>
  <c r="K97" i="78"/>
  <c r="B98" i="78"/>
  <c r="F96" i="78"/>
  <c r="C97" i="78"/>
  <c r="O93" i="77"/>
  <c r="Q93" i="77" s="1"/>
  <c r="S93" i="77"/>
  <c r="G120" i="114"/>
  <c r="F121" i="114"/>
  <c r="H103" i="91"/>
  <c r="I102" i="91"/>
  <c r="J102" i="91" s="1"/>
  <c r="G104" i="91"/>
  <c r="E105" i="91"/>
  <c r="E160" i="88"/>
  <c r="M160" i="88" s="1"/>
  <c r="N123" i="88"/>
  <c r="O122" i="88"/>
  <c r="H95" i="88"/>
  <c r="S95" i="88" s="1"/>
  <c r="G94" i="88"/>
  <c r="F95" i="88"/>
  <c r="I94" i="88"/>
  <c r="L94" i="88" s="1"/>
  <c r="J93" i="88"/>
  <c r="K93" i="88" s="1"/>
  <c r="P93" i="88" s="1"/>
  <c r="L97" i="77"/>
  <c r="C98" i="77"/>
  <c r="H95" i="77"/>
  <c r="K94" i="77"/>
  <c r="N94" i="77" s="1"/>
  <c r="M92" i="135"/>
  <c r="N92" i="135" s="1"/>
  <c r="L93" i="135"/>
  <c r="O92" i="135"/>
  <c r="F99" i="134"/>
  <c r="E100" i="134"/>
  <c r="I97" i="134"/>
  <c r="J97" i="134" s="1"/>
  <c r="H98" i="134"/>
  <c r="G138" i="95"/>
  <c r="K138" i="95" s="1"/>
  <c r="K94" i="133"/>
  <c r="L93" i="133"/>
  <c r="E97" i="135"/>
  <c r="F96" i="135"/>
  <c r="D66" i="114"/>
  <c r="P64" i="113"/>
  <c r="L94" i="134"/>
  <c r="M93" i="134"/>
  <c r="N93" i="134" s="1"/>
  <c r="O93" i="134"/>
  <c r="H145" i="112"/>
  <c r="D147" i="113" s="1"/>
  <c r="M60" i="113"/>
  <c r="D95" i="133"/>
  <c r="E94" i="133"/>
  <c r="J64" i="113"/>
  <c r="I65" i="113"/>
  <c r="O65" i="113" s="1"/>
  <c r="D67" i="114" s="1"/>
  <c r="M92" i="133"/>
  <c r="D114" i="93"/>
  <c r="E113" i="93"/>
  <c r="J58" i="112"/>
  <c r="E98" i="95"/>
  <c r="F97" i="95"/>
  <c r="J97" i="95" s="1"/>
  <c r="N97" i="95" s="1"/>
  <c r="H113" i="95"/>
  <c r="I112" i="95"/>
  <c r="L112" i="111"/>
  <c r="E113" i="111"/>
  <c r="H96" i="135"/>
  <c r="I95" i="135"/>
  <c r="J95" i="135" s="1"/>
  <c r="G94" i="133"/>
  <c r="H93" i="133"/>
  <c r="I93" i="133" s="1"/>
  <c r="G65" i="113"/>
  <c r="M99" i="147" l="1"/>
  <c r="O99" i="147"/>
  <c r="G25" i="159"/>
  <c r="M105" i="95"/>
  <c r="L106" i="95"/>
  <c r="R93" i="110"/>
  <c r="G93" i="110"/>
  <c r="K93" i="110" s="1"/>
  <c r="P93" i="110" s="1"/>
  <c r="F94" i="110"/>
  <c r="H94" i="110"/>
  <c r="I94" i="110" s="1"/>
  <c r="J94" i="110" s="1"/>
  <c r="L93" i="110"/>
  <c r="P93" i="78"/>
  <c r="T93" i="78"/>
  <c r="N94" i="78"/>
  <c r="O94" i="78" s="1"/>
  <c r="S94" i="78"/>
  <c r="Q93" i="78"/>
  <c r="R93" i="78" s="1"/>
  <c r="V117" i="114"/>
  <c r="W117" i="114" s="1"/>
  <c r="X117" i="114"/>
  <c r="P93" i="77"/>
  <c r="T93" i="77"/>
  <c r="O98" i="95"/>
  <c r="E162" i="110"/>
  <c r="M162" i="110" s="1"/>
  <c r="N150" i="110"/>
  <c r="O149" i="110"/>
  <c r="I120" i="114"/>
  <c r="J119" i="114"/>
  <c r="Y119" i="114" s="1"/>
  <c r="K119" i="114"/>
  <c r="L118" i="114"/>
  <c r="M118" i="114" s="1"/>
  <c r="U118" i="114" s="1"/>
  <c r="P118" i="114"/>
  <c r="B99" i="78"/>
  <c r="K98" i="78"/>
  <c r="C98" i="78"/>
  <c r="F97" i="78"/>
  <c r="L95" i="78"/>
  <c r="I96" i="78"/>
  <c r="O94" i="77"/>
  <c r="T94" i="77" s="1"/>
  <c r="S94" i="77"/>
  <c r="G121" i="114"/>
  <c r="F122" i="114"/>
  <c r="H104" i="91"/>
  <c r="I103" i="91"/>
  <c r="J103" i="91" s="1"/>
  <c r="G105" i="91"/>
  <c r="E106" i="91"/>
  <c r="E161" i="88"/>
  <c r="M161" i="88" s="1"/>
  <c r="N124" i="88"/>
  <c r="O123" i="88"/>
  <c r="F96" i="88"/>
  <c r="H96" i="88"/>
  <c r="S96" i="88" s="1"/>
  <c r="G95" i="88"/>
  <c r="J94" i="88"/>
  <c r="K94" i="88" s="1"/>
  <c r="P94" i="88" s="1"/>
  <c r="I95" i="88"/>
  <c r="R95" i="88" s="1"/>
  <c r="R94" i="88"/>
  <c r="C99" i="77"/>
  <c r="L98" i="77"/>
  <c r="R93" i="77"/>
  <c r="K95" i="77"/>
  <c r="N95" i="77" s="1"/>
  <c r="H96" i="77"/>
  <c r="L94" i="135"/>
  <c r="O93" i="135"/>
  <c r="M93" i="135"/>
  <c r="N93" i="135" s="1"/>
  <c r="I98" i="134"/>
  <c r="J98" i="134" s="1"/>
  <c r="H99" i="134"/>
  <c r="F100" i="134"/>
  <c r="E101" i="134"/>
  <c r="G139" i="95"/>
  <c r="K139" i="95" s="1"/>
  <c r="G95" i="133"/>
  <c r="H94" i="133"/>
  <c r="I94" i="133" s="1"/>
  <c r="H97" i="135"/>
  <c r="I96" i="135"/>
  <c r="J96" i="135" s="1"/>
  <c r="H146" i="112"/>
  <c r="D148" i="113" s="1"/>
  <c r="K58" i="112"/>
  <c r="I59" i="112" s="1"/>
  <c r="C61" i="113" s="1"/>
  <c r="K61" i="113" s="1"/>
  <c r="B61" i="113" s="1"/>
  <c r="L95" i="134"/>
  <c r="M94" i="134"/>
  <c r="N94" i="134" s="1"/>
  <c r="O94" i="134"/>
  <c r="K95" i="133"/>
  <c r="L94" i="133"/>
  <c r="F66" i="113"/>
  <c r="G66" i="113" s="1"/>
  <c r="L113" i="111"/>
  <c r="E114" i="111"/>
  <c r="H114" i="95"/>
  <c r="I113" i="95"/>
  <c r="E99" i="95"/>
  <c r="O99" i="95" s="1"/>
  <c r="F98" i="95"/>
  <c r="J98" i="95" s="1"/>
  <c r="D115" i="93"/>
  <c r="E114" i="93"/>
  <c r="J65" i="113"/>
  <c r="D96" i="133"/>
  <c r="E95" i="133"/>
  <c r="P65" i="113"/>
  <c r="Q64" i="113"/>
  <c r="E98" i="135"/>
  <c r="F97" i="135"/>
  <c r="M93" i="133"/>
  <c r="D69" i="162" l="1"/>
  <c r="D70" i="162" s="1"/>
  <c r="G26" i="159" s="1"/>
  <c r="N99" i="147"/>
  <c r="Q94" i="78"/>
  <c r="R94" i="78" s="1"/>
  <c r="L107" i="95"/>
  <c r="M106" i="95"/>
  <c r="H95" i="110"/>
  <c r="I95" i="110" s="1"/>
  <c r="J95" i="110" s="1"/>
  <c r="G94" i="110"/>
  <c r="K94" i="110" s="1"/>
  <c r="P94" i="110" s="1"/>
  <c r="L94" i="110"/>
  <c r="F95" i="110"/>
  <c r="R94" i="110"/>
  <c r="N95" i="78"/>
  <c r="O95" i="78" s="1"/>
  <c r="S95" i="78"/>
  <c r="P94" i="78"/>
  <c r="T94" i="78"/>
  <c r="P94" i="77"/>
  <c r="V118" i="114"/>
  <c r="W118" i="114" s="1"/>
  <c r="X118" i="114"/>
  <c r="Q94" i="77"/>
  <c r="R94" i="77" s="1"/>
  <c r="N98" i="95"/>
  <c r="N151" i="110"/>
  <c r="O150" i="110"/>
  <c r="E163" i="110"/>
  <c r="M163" i="110" s="1"/>
  <c r="L119" i="114"/>
  <c r="M119" i="114" s="1"/>
  <c r="U119" i="114" s="1"/>
  <c r="P119" i="114"/>
  <c r="K120" i="114"/>
  <c r="I121" i="114"/>
  <c r="J120" i="114"/>
  <c r="Y120" i="114" s="1"/>
  <c r="C99" i="78"/>
  <c r="F98" i="78"/>
  <c r="I97" i="78"/>
  <c r="L96" i="78"/>
  <c r="B100" i="78"/>
  <c r="K99" i="78"/>
  <c r="O95" i="77"/>
  <c r="P95" i="77" s="1"/>
  <c r="S95" i="77"/>
  <c r="F123" i="114"/>
  <c r="G122" i="114"/>
  <c r="H105" i="91"/>
  <c r="I104" i="91"/>
  <c r="J104" i="91" s="1"/>
  <c r="G106" i="91"/>
  <c r="E107" i="91"/>
  <c r="E162" i="88"/>
  <c r="M162" i="88" s="1"/>
  <c r="N125" i="88"/>
  <c r="O124" i="88"/>
  <c r="H97" i="88"/>
  <c r="S97" i="88" s="1"/>
  <c r="F97" i="88"/>
  <c r="G96" i="88"/>
  <c r="I96" i="88"/>
  <c r="J95" i="88"/>
  <c r="K95" i="88" s="1"/>
  <c r="P95" i="88" s="1"/>
  <c r="L95" i="88"/>
  <c r="C100" i="77"/>
  <c r="L99" i="77"/>
  <c r="H97" i="77"/>
  <c r="K96" i="77"/>
  <c r="N96" i="77" s="1"/>
  <c r="O94" i="135"/>
  <c r="L95" i="135"/>
  <c r="M94" i="135"/>
  <c r="N94" i="135" s="1"/>
  <c r="O95" i="134"/>
  <c r="L96" i="134"/>
  <c r="F101" i="134"/>
  <c r="E102" i="134"/>
  <c r="I99" i="134"/>
  <c r="J99" i="134" s="1"/>
  <c r="H100" i="134"/>
  <c r="G140" i="95"/>
  <c r="K140" i="95" s="1"/>
  <c r="M61" i="113"/>
  <c r="J59" i="112"/>
  <c r="K59" i="112" s="1"/>
  <c r="I60" i="112" s="1"/>
  <c r="C62" i="113" s="1"/>
  <c r="K62" i="113" s="1"/>
  <c r="B62" i="113" s="1"/>
  <c r="Q65" i="113"/>
  <c r="D97" i="133"/>
  <c r="E96" i="133"/>
  <c r="D116" i="93"/>
  <c r="E115" i="93"/>
  <c r="H115" i="95"/>
  <c r="I114" i="95"/>
  <c r="E115" i="111"/>
  <c r="L114" i="111"/>
  <c r="I66" i="113"/>
  <c r="O66" i="113" s="1"/>
  <c r="K96" i="133"/>
  <c r="L95" i="133"/>
  <c r="E99" i="135"/>
  <c r="F98" i="135"/>
  <c r="E100" i="95"/>
  <c r="O100" i="95" s="1"/>
  <c r="F99" i="95"/>
  <c r="J99" i="95" s="1"/>
  <c r="N99" i="95" s="1"/>
  <c r="H147" i="112"/>
  <c r="D149" i="113" s="1"/>
  <c r="F67" i="113"/>
  <c r="G67" i="113" s="1"/>
  <c r="M94" i="133"/>
  <c r="M95" i="134"/>
  <c r="N95" i="134" s="1"/>
  <c r="H98" i="135"/>
  <c r="I97" i="135"/>
  <c r="J97" i="135" s="1"/>
  <c r="G96" i="133"/>
  <c r="H95" i="133"/>
  <c r="I95" i="133" s="1"/>
  <c r="L108" i="95" l="1"/>
  <c r="M107" i="95"/>
  <c r="L95" i="110"/>
  <c r="G95" i="110"/>
  <c r="K95" i="110" s="1"/>
  <c r="P95" i="110" s="1"/>
  <c r="R95" i="110"/>
  <c r="F96" i="110"/>
  <c r="H96" i="110"/>
  <c r="I96" i="110" s="1"/>
  <c r="J96" i="110" s="1"/>
  <c r="N96" i="78"/>
  <c r="O96" i="78" s="1"/>
  <c r="S96" i="78"/>
  <c r="P95" i="78"/>
  <c r="T95" i="78"/>
  <c r="Q95" i="78"/>
  <c r="R95" i="78" s="1"/>
  <c r="T95" i="77"/>
  <c r="X119" i="114"/>
  <c r="V119" i="114"/>
  <c r="W119" i="114" s="1"/>
  <c r="Q95" i="77"/>
  <c r="R95" i="77" s="1"/>
  <c r="E164" i="110"/>
  <c r="M164" i="110" s="1"/>
  <c r="N152" i="110"/>
  <c r="O151" i="110"/>
  <c r="I122" i="114"/>
  <c r="J121" i="114"/>
  <c r="Y121" i="114" s="1"/>
  <c r="K121" i="114"/>
  <c r="P120" i="114"/>
  <c r="L120" i="114"/>
  <c r="M120" i="114" s="1"/>
  <c r="U120" i="114" s="1"/>
  <c r="I98" i="78"/>
  <c r="L97" i="78"/>
  <c r="B101" i="78"/>
  <c r="K100" i="78"/>
  <c r="F99" i="78"/>
  <c r="C100" i="78"/>
  <c r="O96" i="77"/>
  <c r="P96" i="77" s="1"/>
  <c r="S96" i="77"/>
  <c r="G123" i="114"/>
  <c r="F124" i="114"/>
  <c r="I105" i="91"/>
  <c r="H106" i="91"/>
  <c r="E108" i="91"/>
  <c r="G107" i="91"/>
  <c r="E163" i="88"/>
  <c r="M163" i="88" s="1"/>
  <c r="N126" i="88"/>
  <c r="O125" i="88"/>
  <c r="J96" i="88"/>
  <c r="K96" i="88" s="1"/>
  <c r="P96" i="88" s="1"/>
  <c r="I97" i="88"/>
  <c r="L97" i="88" s="1"/>
  <c r="R96" i="88"/>
  <c r="F98" i="88"/>
  <c r="H98" i="88"/>
  <c r="S98" i="88" s="1"/>
  <c r="G97" i="88"/>
  <c r="L96" i="88"/>
  <c r="C101" i="77"/>
  <c r="L100" i="77"/>
  <c r="H98" i="77"/>
  <c r="K97" i="77"/>
  <c r="N97" i="77" s="1"/>
  <c r="O95" i="135"/>
  <c r="M95" i="135"/>
  <c r="N95" i="135" s="1"/>
  <c r="L96" i="135"/>
  <c r="I100" i="134"/>
  <c r="J100" i="134" s="1"/>
  <c r="H101" i="134"/>
  <c r="E103" i="134"/>
  <c r="F102" i="134"/>
  <c r="M96" i="134"/>
  <c r="N96" i="134" s="1"/>
  <c r="L97" i="134"/>
  <c r="O96" i="134"/>
  <c r="G141" i="95"/>
  <c r="K141" i="95" s="1"/>
  <c r="M62" i="113"/>
  <c r="J66" i="113"/>
  <c r="F68" i="113"/>
  <c r="G68" i="113" s="1"/>
  <c r="E101" i="95"/>
  <c r="O101" i="95" s="1"/>
  <c r="F100" i="95"/>
  <c r="J100" i="95" s="1"/>
  <c r="N100" i="95" s="1"/>
  <c r="K97" i="133"/>
  <c r="L96" i="133"/>
  <c r="D68" i="114"/>
  <c r="H148" i="112"/>
  <c r="D150" i="113" s="1"/>
  <c r="H116" i="95"/>
  <c r="I115" i="95"/>
  <c r="D117" i="93"/>
  <c r="E116" i="93"/>
  <c r="D98" i="133"/>
  <c r="E97" i="133"/>
  <c r="P66" i="113"/>
  <c r="G97" i="133"/>
  <c r="H96" i="133"/>
  <c r="I96" i="133" s="1"/>
  <c r="H99" i="135"/>
  <c r="I98" i="135"/>
  <c r="J98" i="135" s="1"/>
  <c r="I67" i="113"/>
  <c r="L67" i="113" s="1"/>
  <c r="E100" i="135"/>
  <c r="F99" i="135"/>
  <c r="J60" i="112"/>
  <c r="M95" i="133"/>
  <c r="E116" i="111"/>
  <c r="L115" i="111"/>
  <c r="M108" i="95" l="1"/>
  <c r="L109" i="95"/>
  <c r="Q96" i="77"/>
  <c r="R96" i="77" s="1"/>
  <c r="F97" i="110"/>
  <c r="G96" i="110"/>
  <c r="K96" i="110" s="1"/>
  <c r="P96" i="110" s="1"/>
  <c r="L96" i="110"/>
  <c r="H97" i="110"/>
  <c r="I97" i="110" s="1"/>
  <c r="J97" i="110" s="1"/>
  <c r="R96" i="110"/>
  <c r="V120" i="114"/>
  <c r="W120" i="114" s="1"/>
  <c r="N97" i="78"/>
  <c r="O97" i="78" s="1"/>
  <c r="Q97" i="78" s="1"/>
  <c r="S97" i="78"/>
  <c r="P96" i="78"/>
  <c r="T96" i="78"/>
  <c r="Q96" i="78"/>
  <c r="R96" i="78" s="1"/>
  <c r="X120" i="114"/>
  <c r="T96" i="77"/>
  <c r="N153" i="110"/>
  <c r="O152" i="110"/>
  <c r="E165" i="110"/>
  <c r="M165" i="110" s="1"/>
  <c r="P121" i="114"/>
  <c r="L121" i="114"/>
  <c r="M121" i="114" s="1"/>
  <c r="U121" i="114" s="1"/>
  <c r="K122" i="114"/>
  <c r="I123" i="114"/>
  <c r="J122" i="114"/>
  <c r="Y122" i="114" s="1"/>
  <c r="F100" i="78"/>
  <c r="C101" i="78"/>
  <c r="L98" i="78"/>
  <c r="I99" i="78"/>
  <c r="B102" i="78"/>
  <c r="K101" i="78"/>
  <c r="O97" i="77"/>
  <c r="Q97" i="77" s="1"/>
  <c r="S97" i="77"/>
  <c r="F125" i="114"/>
  <c r="G124" i="114"/>
  <c r="G108" i="91"/>
  <c r="E109" i="91"/>
  <c r="J105" i="91"/>
  <c r="H107" i="91"/>
  <c r="I106" i="91"/>
  <c r="J106" i="91" s="1"/>
  <c r="E164" i="88"/>
  <c r="N127" i="88"/>
  <c r="O126" i="88"/>
  <c r="F99" i="88"/>
  <c r="G98" i="88"/>
  <c r="H99" i="88"/>
  <c r="S99" i="88" s="1"/>
  <c r="J97" i="88"/>
  <c r="K97" i="88" s="1"/>
  <c r="P97" i="88" s="1"/>
  <c r="I98" i="88"/>
  <c r="R97" i="88"/>
  <c r="L101" i="77"/>
  <c r="C102" i="77"/>
  <c r="K98" i="77"/>
  <c r="N98" i="77" s="1"/>
  <c r="H99" i="77"/>
  <c r="M96" i="135"/>
  <c r="N96" i="135" s="1"/>
  <c r="O96" i="135"/>
  <c r="L97" i="135"/>
  <c r="E104" i="134"/>
  <c r="F103" i="134"/>
  <c r="I101" i="134"/>
  <c r="J101" i="134" s="1"/>
  <c r="H102" i="134"/>
  <c r="M97" i="134"/>
  <c r="N97" i="134" s="1"/>
  <c r="L98" i="134"/>
  <c r="O97" i="134"/>
  <c r="G142" i="95"/>
  <c r="K142" i="95" s="1"/>
  <c r="J67" i="113"/>
  <c r="I68" i="113" s="1"/>
  <c r="F69" i="113"/>
  <c r="G69" i="113" s="1"/>
  <c r="H149" i="112"/>
  <c r="D151" i="113" s="1"/>
  <c r="Q66" i="113"/>
  <c r="D99" i="133"/>
  <c r="E98" i="133"/>
  <c r="K98" i="133"/>
  <c r="L97" i="133"/>
  <c r="L116" i="111"/>
  <c r="E117" i="111"/>
  <c r="K60" i="112"/>
  <c r="I61" i="112" s="1"/>
  <c r="C63" i="113" s="1"/>
  <c r="K63" i="113" s="1"/>
  <c r="E101" i="135"/>
  <c r="F100" i="135"/>
  <c r="O67" i="113"/>
  <c r="H100" i="135"/>
  <c r="I99" i="135"/>
  <c r="J99" i="135" s="1"/>
  <c r="G98" i="133"/>
  <c r="H97" i="133"/>
  <c r="I97" i="133" s="1"/>
  <c r="D118" i="93"/>
  <c r="E117" i="93"/>
  <c r="H117" i="95"/>
  <c r="I116" i="95"/>
  <c r="M96" i="133"/>
  <c r="E102" i="95"/>
  <c r="O102" i="95" s="1"/>
  <c r="F101" i="95"/>
  <c r="J101" i="95" s="1"/>
  <c r="N101" i="95" s="1"/>
  <c r="R97" i="78" l="1"/>
  <c r="N98" i="78"/>
  <c r="O98" i="78" s="1"/>
  <c r="P98" i="78" s="1"/>
  <c r="S98" i="78"/>
  <c r="E165" i="88"/>
  <c r="M165" i="88" s="1"/>
  <c r="M164" i="88"/>
  <c r="M109" i="95"/>
  <c r="L110" i="95"/>
  <c r="F98" i="110"/>
  <c r="L97" i="110"/>
  <c r="R97" i="110"/>
  <c r="H98" i="110"/>
  <c r="I98" i="110" s="1"/>
  <c r="J98" i="110" s="1"/>
  <c r="G97" i="110"/>
  <c r="K97" i="110" s="1"/>
  <c r="P97" i="110" s="1"/>
  <c r="P97" i="78"/>
  <c r="T97" i="78"/>
  <c r="X121" i="114"/>
  <c r="V121" i="114"/>
  <c r="W121" i="114" s="1"/>
  <c r="P97" i="77"/>
  <c r="T97" i="77"/>
  <c r="E166" i="110"/>
  <c r="M166" i="110" s="1"/>
  <c r="N154" i="110"/>
  <c r="O153" i="110"/>
  <c r="K123" i="114"/>
  <c r="J123" i="114"/>
  <c r="Y123" i="114" s="1"/>
  <c r="I124" i="114"/>
  <c r="P122" i="114"/>
  <c r="L122" i="114"/>
  <c r="M122" i="114" s="1"/>
  <c r="U122" i="114" s="1"/>
  <c r="B103" i="78"/>
  <c r="K102" i="78"/>
  <c r="C102" i="78"/>
  <c r="F101" i="78"/>
  <c r="I100" i="78"/>
  <c r="L99" i="78"/>
  <c r="O98" i="77"/>
  <c r="Q98" i="77" s="1"/>
  <c r="S98" i="77"/>
  <c r="G125" i="114"/>
  <c r="F126" i="114"/>
  <c r="I107" i="91"/>
  <c r="J107" i="91" s="1"/>
  <c r="H108" i="91"/>
  <c r="E110" i="91"/>
  <c r="G109" i="91"/>
  <c r="N128" i="88"/>
  <c r="O127" i="88"/>
  <c r="H100" i="88"/>
  <c r="S100" i="88" s="1"/>
  <c r="F100" i="88"/>
  <c r="G99" i="88"/>
  <c r="L98" i="88"/>
  <c r="I99" i="88"/>
  <c r="L99" i="88" s="1"/>
  <c r="J98" i="88"/>
  <c r="K98" i="88" s="1"/>
  <c r="P98" i="88" s="1"/>
  <c r="R98" i="88"/>
  <c r="C103" i="77"/>
  <c r="L102" i="77"/>
  <c r="R97" i="77"/>
  <c r="K99" i="77"/>
  <c r="N99" i="77" s="1"/>
  <c r="H100" i="77"/>
  <c r="O97" i="135"/>
  <c r="M97" i="135"/>
  <c r="N97" i="135" s="1"/>
  <c r="L98" i="135"/>
  <c r="M98" i="134"/>
  <c r="N98" i="134" s="1"/>
  <c r="L99" i="134"/>
  <c r="O98" i="134"/>
  <c r="H103" i="134"/>
  <c r="I102" i="134"/>
  <c r="J102" i="134" s="1"/>
  <c r="E105" i="134"/>
  <c r="F104" i="134"/>
  <c r="G143" i="95"/>
  <c r="K143" i="95" s="1"/>
  <c r="J68" i="113"/>
  <c r="E103" i="95"/>
  <c r="O103" i="95" s="1"/>
  <c r="F102" i="95"/>
  <c r="J102" i="95" s="1"/>
  <c r="N102" i="95" s="1"/>
  <c r="H118" i="95"/>
  <c r="I117" i="95"/>
  <c r="G99" i="133"/>
  <c r="H98" i="133"/>
  <c r="I98" i="133" s="1"/>
  <c r="H101" i="135"/>
  <c r="I100" i="135"/>
  <c r="J100" i="135" s="1"/>
  <c r="D69" i="114"/>
  <c r="B63" i="113"/>
  <c r="M63" i="113"/>
  <c r="L117" i="111"/>
  <c r="E118" i="111"/>
  <c r="M97" i="133"/>
  <c r="F70" i="113"/>
  <c r="D119" i="93"/>
  <c r="E118" i="93"/>
  <c r="E102" i="135"/>
  <c r="E103" i="135" s="1"/>
  <c r="F101" i="135"/>
  <c r="J61" i="112"/>
  <c r="H150" i="112"/>
  <c r="D152" i="113" s="1"/>
  <c r="K99" i="133"/>
  <c r="L98" i="133"/>
  <c r="D100" i="133"/>
  <c r="D101" i="133" s="1"/>
  <c r="E99" i="133"/>
  <c r="P67" i="113"/>
  <c r="D102" i="133" l="1"/>
  <c r="E101" i="133"/>
  <c r="F103" i="135"/>
  <c r="E104" i="135"/>
  <c r="Q98" i="78"/>
  <c r="R98" i="78" s="1"/>
  <c r="T98" i="78"/>
  <c r="N99" i="78"/>
  <c r="O99" i="78" s="1"/>
  <c r="Q99" i="78" s="1"/>
  <c r="R99" i="78" s="1"/>
  <c r="S99" i="78"/>
  <c r="E166" i="88"/>
  <c r="M166" i="88" s="1"/>
  <c r="P98" i="77"/>
  <c r="L111" i="95"/>
  <c r="M110" i="95"/>
  <c r="F99" i="110"/>
  <c r="H99" i="110"/>
  <c r="I99" i="110" s="1"/>
  <c r="J99" i="110" s="1"/>
  <c r="G98" i="110"/>
  <c r="K98" i="110" s="1"/>
  <c r="P98" i="110" s="1"/>
  <c r="R98" i="110"/>
  <c r="L98" i="110"/>
  <c r="X122" i="114"/>
  <c r="V122" i="114"/>
  <c r="W122" i="114" s="1"/>
  <c r="N155" i="110"/>
  <c r="O154" i="110"/>
  <c r="E167" i="110"/>
  <c r="M167" i="110" s="1"/>
  <c r="J124" i="114"/>
  <c r="Y124" i="114" s="1"/>
  <c r="K124" i="114"/>
  <c r="I125" i="114"/>
  <c r="P123" i="114"/>
  <c r="L123" i="114"/>
  <c r="M123" i="114" s="1"/>
  <c r="U123" i="114" s="1"/>
  <c r="C103" i="78"/>
  <c r="F102" i="78"/>
  <c r="I101" i="78"/>
  <c r="L100" i="78"/>
  <c r="K103" i="78"/>
  <c r="B104" i="78"/>
  <c r="O99" i="77"/>
  <c r="Q99" i="77" s="1"/>
  <c r="S99" i="77"/>
  <c r="T98" i="77"/>
  <c r="G126" i="114"/>
  <c r="F127" i="114"/>
  <c r="E111" i="91"/>
  <c r="G110" i="91"/>
  <c r="H109" i="91"/>
  <c r="I108" i="91"/>
  <c r="J108" i="91" s="1"/>
  <c r="N129" i="88"/>
  <c r="O128" i="88"/>
  <c r="G100" i="88"/>
  <c r="F101" i="88"/>
  <c r="H101" i="88"/>
  <c r="S101" i="88" s="1"/>
  <c r="J99" i="88"/>
  <c r="K99" i="88" s="1"/>
  <c r="P99" i="88" s="1"/>
  <c r="I100" i="88"/>
  <c r="R99" i="88"/>
  <c r="C104" i="77"/>
  <c r="L103" i="77"/>
  <c r="H101" i="77"/>
  <c r="K100" i="77"/>
  <c r="N100" i="77" s="1"/>
  <c r="R98" i="77"/>
  <c r="L99" i="135"/>
  <c r="O98" i="135"/>
  <c r="M98" i="135"/>
  <c r="N98" i="135" s="1"/>
  <c r="F105" i="134"/>
  <c r="E106" i="134"/>
  <c r="H104" i="134"/>
  <c r="I103" i="134"/>
  <c r="J103" i="134" s="1"/>
  <c r="M99" i="134"/>
  <c r="N99" i="134" s="1"/>
  <c r="L100" i="134"/>
  <c r="O99" i="134"/>
  <c r="G144" i="95"/>
  <c r="K144" i="95" s="1"/>
  <c r="Q67" i="113"/>
  <c r="M98" i="133"/>
  <c r="D120" i="93"/>
  <c r="E119" i="93"/>
  <c r="E119" i="111"/>
  <c r="L118" i="111"/>
  <c r="H102" i="135"/>
  <c r="I101" i="135"/>
  <c r="J101" i="135" s="1"/>
  <c r="G100" i="133"/>
  <c r="H99" i="133"/>
  <c r="I99" i="133" s="1"/>
  <c r="H119" i="95"/>
  <c r="I118" i="95"/>
  <c r="E104" i="95"/>
  <c r="O104" i="95" s="1"/>
  <c r="F103" i="95"/>
  <c r="J103" i="95" s="1"/>
  <c r="N103" i="95" s="1"/>
  <c r="K61" i="112"/>
  <c r="I62" i="112" s="1"/>
  <c r="C64" i="113" s="1"/>
  <c r="K64" i="113" s="1"/>
  <c r="B64" i="113" s="1"/>
  <c r="F102" i="135"/>
  <c r="E100" i="133"/>
  <c r="K100" i="133"/>
  <c r="L99" i="133"/>
  <c r="G70" i="113"/>
  <c r="H151" i="112"/>
  <c r="D153" i="113" s="1"/>
  <c r="E102" i="133" l="1"/>
  <c r="D103" i="133"/>
  <c r="E105" i="135"/>
  <c r="F104" i="135"/>
  <c r="I102" i="135"/>
  <c r="J102" i="135" s="1"/>
  <c r="H103" i="135"/>
  <c r="L100" i="133"/>
  <c r="K101" i="133"/>
  <c r="H100" i="133"/>
  <c r="I100" i="133" s="1"/>
  <c r="G101" i="133"/>
  <c r="P99" i="77"/>
  <c r="N100" i="78"/>
  <c r="O100" i="78" s="1"/>
  <c r="Q100" i="78" s="1"/>
  <c r="R100" i="78" s="1"/>
  <c r="S100" i="78"/>
  <c r="P99" i="78"/>
  <c r="T99" i="78"/>
  <c r="E167" i="88"/>
  <c r="M167" i="88" s="1"/>
  <c r="L112" i="95"/>
  <c r="M111" i="95"/>
  <c r="G99" i="110"/>
  <c r="K99" i="110" s="1"/>
  <c r="P99" i="110" s="1"/>
  <c r="H100" i="110"/>
  <c r="I100" i="110" s="1"/>
  <c r="J100" i="110" s="1"/>
  <c r="R99" i="110"/>
  <c r="F100" i="110"/>
  <c r="L99" i="110"/>
  <c r="X123" i="114"/>
  <c r="V123" i="114"/>
  <c r="W123" i="114" s="1"/>
  <c r="E168" i="110"/>
  <c r="M168" i="110" s="1"/>
  <c r="N156" i="110"/>
  <c r="O155" i="110"/>
  <c r="K125" i="114"/>
  <c r="I126" i="114"/>
  <c r="J125" i="114"/>
  <c r="Y125" i="114" s="1"/>
  <c r="L124" i="114"/>
  <c r="P124" i="114"/>
  <c r="L101" i="78"/>
  <c r="I102" i="78"/>
  <c r="F103" i="78"/>
  <c r="C104" i="78"/>
  <c r="K104" i="78"/>
  <c r="B105" i="78"/>
  <c r="O100" i="77"/>
  <c r="Q100" i="77" s="1"/>
  <c r="S100" i="77"/>
  <c r="T99" i="77"/>
  <c r="F128" i="114"/>
  <c r="G127" i="114"/>
  <c r="I109" i="91"/>
  <c r="J109" i="91" s="1"/>
  <c r="H110" i="91"/>
  <c r="G111" i="91"/>
  <c r="E112" i="91"/>
  <c r="N130" i="88"/>
  <c r="O129" i="88"/>
  <c r="J100" i="88"/>
  <c r="K100" i="88" s="1"/>
  <c r="P100" i="88" s="1"/>
  <c r="I101" i="88"/>
  <c r="L101" i="88" s="1"/>
  <c r="R100" i="88"/>
  <c r="G101" i="88"/>
  <c r="F102" i="88"/>
  <c r="H102" i="88"/>
  <c r="S102" i="88" s="1"/>
  <c r="L100" i="88"/>
  <c r="L104" i="77"/>
  <c r="C105" i="77"/>
  <c r="R99" i="77"/>
  <c r="H102" i="77"/>
  <c r="K101" i="77"/>
  <c r="N101" i="77" s="1"/>
  <c r="O99" i="135"/>
  <c r="L100" i="135"/>
  <c r="M99" i="135"/>
  <c r="N99" i="135" s="1"/>
  <c r="F106" i="134"/>
  <c r="E107" i="134"/>
  <c r="E108" i="134" s="1"/>
  <c r="M100" i="134"/>
  <c r="N100" i="134" s="1"/>
  <c r="L101" i="134"/>
  <c r="O100" i="134"/>
  <c r="H105" i="134"/>
  <c r="I104" i="134"/>
  <c r="J104" i="134" s="1"/>
  <c r="G145" i="95"/>
  <c r="K145" i="95" s="1"/>
  <c r="M99" i="133"/>
  <c r="E105" i="95"/>
  <c r="O105" i="95" s="1"/>
  <c r="F104" i="95"/>
  <c r="J104" i="95" s="1"/>
  <c r="N104" i="95" s="1"/>
  <c r="H120" i="95"/>
  <c r="I119" i="95"/>
  <c r="H152" i="112"/>
  <c r="D154" i="113" s="1"/>
  <c r="D121" i="93"/>
  <c r="E120" i="93"/>
  <c r="F71" i="113"/>
  <c r="J62" i="112"/>
  <c r="M64" i="113"/>
  <c r="L119" i="111"/>
  <c r="E120" i="111"/>
  <c r="D104" i="133" l="1"/>
  <c r="E103" i="133"/>
  <c r="E106" i="135"/>
  <c r="F105" i="135"/>
  <c r="E109" i="134"/>
  <c r="F108" i="134"/>
  <c r="H104" i="135"/>
  <c r="I103" i="135"/>
  <c r="J103" i="135" s="1"/>
  <c r="M100" i="133"/>
  <c r="K102" i="133"/>
  <c r="L101" i="133"/>
  <c r="G102" i="133"/>
  <c r="H101" i="133"/>
  <c r="I101" i="133" s="1"/>
  <c r="N101" i="78"/>
  <c r="O101" i="78" s="1"/>
  <c r="Q101" i="78" s="1"/>
  <c r="R101" i="78" s="1"/>
  <c r="S101" i="78"/>
  <c r="P100" i="78"/>
  <c r="T100" i="78"/>
  <c r="M124" i="114"/>
  <c r="U124" i="114" s="1"/>
  <c r="X124" i="114" s="1"/>
  <c r="L125" i="114"/>
  <c r="L126" i="114" s="1"/>
  <c r="L127" i="114" s="1"/>
  <c r="L128" i="114" s="1"/>
  <c r="L129" i="114" s="1"/>
  <c r="L130" i="114" s="1"/>
  <c r="L131" i="114" s="1"/>
  <c r="L132" i="114" s="1"/>
  <c r="L133" i="114" s="1"/>
  <c r="L134" i="114" s="1"/>
  <c r="L135" i="114" s="1"/>
  <c r="L136" i="114" s="1"/>
  <c r="L137" i="114" s="1"/>
  <c r="L138" i="114" s="1"/>
  <c r="L139" i="114" s="1"/>
  <c r="L140" i="114" s="1"/>
  <c r="L141" i="114" s="1"/>
  <c r="E168" i="88"/>
  <c r="M168" i="88" s="1"/>
  <c r="L113" i="95"/>
  <c r="M112" i="95"/>
  <c r="P100" i="77"/>
  <c r="G100" i="110"/>
  <c r="K100" i="110" s="1"/>
  <c r="P100" i="110" s="1"/>
  <c r="H101" i="110"/>
  <c r="I101" i="110" s="1"/>
  <c r="J101" i="110" s="1"/>
  <c r="R100" i="110"/>
  <c r="F101" i="110"/>
  <c r="L100" i="110"/>
  <c r="R100" i="77"/>
  <c r="E169" i="110"/>
  <c r="M169" i="110" s="1"/>
  <c r="N157" i="110"/>
  <c r="O156" i="110"/>
  <c r="I127" i="114"/>
  <c r="J126" i="114"/>
  <c r="Y126" i="114" s="1"/>
  <c r="K126" i="114"/>
  <c r="P125" i="114"/>
  <c r="F104" i="78"/>
  <c r="C105" i="78"/>
  <c r="B106" i="78"/>
  <c r="K105" i="78"/>
  <c r="I103" i="78"/>
  <c r="L102" i="78"/>
  <c r="O101" i="77"/>
  <c r="P101" i="77" s="1"/>
  <c r="S101" i="77"/>
  <c r="T100" i="77"/>
  <c r="G128" i="114"/>
  <c r="F129" i="114"/>
  <c r="G112" i="91"/>
  <c r="E113" i="91"/>
  <c r="H111" i="91"/>
  <c r="I110" i="91"/>
  <c r="J110" i="91" s="1"/>
  <c r="N131" i="88"/>
  <c r="O130" i="88"/>
  <c r="I102" i="88"/>
  <c r="L102" i="88" s="1"/>
  <c r="J101" i="88"/>
  <c r="K101" i="88" s="1"/>
  <c r="P101" i="88" s="1"/>
  <c r="H103" i="88"/>
  <c r="S103" i="88" s="1"/>
  <c r="F103" i="88"/>
  <c r="G102" i="88"/>
  <c r="R101" i="88"/>
  <c r="L105" i="77"/>
  <c r="C106" i="77"/>
  <c r="H103" i="77"/>
  <c r="K102" i="77"/>
  <c r="N102" i="77" s="1"/>
  <c r="M100" i="135"/>
  <c r="N100" i="135" s="1"/>
  <c r="O100" i="135"/>
  <c r="L101" i="135"/>
  <c r="I105" i="134"/>
  <c r="J105" i="134" s="1"/>
  <c r="H106" i="134"/>
  <c r="M101" i="134"/>
  <c r="N101" i="134" s="1"/>
  <c r="L102" i="134"/>
  <c r="O101" i="134"/>
  <c r="F107" i="134"/>
  <c r="G146" i="95"/>
  <c r="K146" i="95" s="1"/>
  <c r="H153" i="112"/>
  <c r="D155" i="113" s="1"/>
  <c r="K62" i="112"/>
  <c r="I63" i="112" s="1"/>
  <c r="C65" i="113" s="1"/>
  <c r="K65" i="113" s="1"/>
  <c r="B65" i="113" s="1"/>
  <c r="D122" i="93"/>
  <c r="E121" i="93"/>
  <c r="E121" i="111"/>
  <c r="L120" i="111"/>
  <c r="G71" i="113"/>
  <c r="H121" i="95"/>
  <c r="I120" i="95"/>
  <c r="E106" i="95"/>
  <c r="F105" i="95"/>
  <c r="J105" i="95" s="1"/>
  <c r="N105" i="95" s="1"/>
  <c r="D105" i="133" l="1"/>
  <c r="E104" i="133"/>
  <c r="E107" i="135"/>
  <c r="F106" i="135"/>
  <c r="V124" i="114"/>
  <c r="W124" i="114" s="1"/>
  <c r="E110" i="134"/>
  <c r="F109" i="134"/>
  <c r="I104" i="135"/>
  <c r="J104" i="135" s="1"/>
  <c r="H105" i="135"/>
  <c r="M101" i="133"/>
  <c r="K103" i="133"/>
  <c r="L102" i="133"/>
  <c r="G103" i="133"/>
  <c r="H102" i="133"/>
  <c r="I102" i="133" s="1"/>
  <c r="M125" i="114"/>
  <c r="U125" i="114" s="1"/>
  <c r="V125" i="114" s="1"/>
  <c r="W125" i="114" s="1"/>
  <c r="N102" i="78"/>
  <c r="O102" i="78" s="1"/>
  <c r="Q102" i="78" s="1"/>
  <c r="R102" i="78" s="1"/>
  <c r="S102" i="78"/>
  <c r="P101" i="78"/>
  <c r="T101" i="78"/>
  <c r="E169" i="88"/>
  <c r="M169" i="88" s="1"/>
  <c r="Q101" i="77"/>
  <c r="R101" i="77" s="1"/>
  <c r="L114" i="95"/>
  <c r="M113" i="95"/>
  <c r="L101" i="110"/>
  <c r="R101" i="110"/>
  <c r="H102" i="110"/>
  <c r="I102" i="110" s="1"/>
  <c r="J102" i="110" s="1"/>
  <c r="G101" i="110"/>
  <c r="K101" i="110" s="1"/>
  <c r="P101" i="110" s="1"/>
  <c r="F102" i="110"/>
  <c r="O106" i="95"/>
  <c r="N158" i="110"/>
  <c r="O157" i="110"/>
  <c r="E170" i="110"/>
  <c r="M170" i="110" s="1"/>
  <c r="P126" i="114"/>
  <c r="M126" i="114"/>
  <c r="J127" i="114"/>
  <c r="Y127" i="114" s="1"/>
  <c r="K127" i="114"/>
  <c r="I128" i="114"/>
  <c r="I104" i="78"/>
  <c r="L103" i="78"/>
  <c r="B107" i="78"/>
  <c r="K106" i="78"/>
  <c r="C106" i="78"/>
  <c r="F105" i="78"/>
  <c r="O102" i="77"/>
  <c r="P102" i="77" s="1"/>
  <c r="S102" i="77"/>
  <c r="T101" i="77"/>
  <c r="F130" i="114"/>
  <c r="G129" i="114"/>
  <c r="H112" i="91"/>
  <c r="I111" i="91"/>
  <c r="J111" i="91" s="1"/>
  <c r="G113" i="91"/>
  <c r="E114" i="91"/>
  <c r="R102" i="88"/>
  <c r="N132" i="88"/>
  <c r="O131" i="88"/>
  <c r="H104" i="88"/>
  <c r="G103" i="88"/>
  <c r="F104" i="88"/>
  <c r="J102" i="88"/>
  <c r="K102" i="88" s="1"/>
  <c r="P102" i="88" s="1"/>
  <c r="I103" i="88"/>
  <c r="L106" i="77"/>
  <c r="C107" i="77"/>
  <c r="K103" i="77"/>
  <c r="N103" i="77" s="1"/>
  <c r="H104" i="77"/>
  <c r="M101" i="135"/>
  <c r="N101" i="135" s="1"/>
  <c r="O101" i="135"/>
  <c r="L102" i="135"/>
  <c r="L103" i="135" s="1"/>
  <c r="I106" i="134"/>
  <c r="J106" i="134" s="1"/>
  <c r="H107" i="134"/>
  <c r="H108" i="134" s="1"/>
  <c r="L103" i="134"/>
  <c r="M102" i="134"/>
  <c r="N102" i="134" s="1"/>
  <c r="O102" i="134"/>
  <c r="G147" i="95"/>
  <c r="K147" i="95" s="1"/>
  <c r="M65" i="113"/>
  <c r="H122" i="95"/>
  <c r="I121" i="95"/>
  <c r="F72" i="113"/>
  <c r="G72" i="113" s="1"/>
  <c r="H154" i="112"/>
  <c r="D156" i="113" s="1"/>
  <c r="E107" i="95"/>
  <c r="O107" i="95" s="1"/>
  <c r="F106" i="95"/>
  <c r="J106" i="95" s="1"/>
  <c r="E122" i="111"/>
  <c r="L121" i="111"/>
  <c r="D123" i="93"/>
  <c r="E122" i="93"/>
  <c r="J63" i="112"/>
  <c r="D106" i="133" l="1"/>
  <c r="E106" i="133" s="1"/>
  <c r="E105" i="133"/>
  <c r="E108" i="135"/>
  <c r="F108" i="135" s="1"/>
  <c r="F107" i="135"/>
  <c r="U126" i="114"/>
  <c r="V126" i="114" s="1"/>
  <c r="W126" i="114" s="1"/>
  <c r="H109" i="134"/>
  <c r="I108" i="134"/>
  <c r="J108" i="134" s="1"/>
  <c r="E111" i="134"/>
  <c r="F110" i="134"/>
  <c r="L104" i="135"/>
  <c r="M103" i="135"/>
  <c r="N103" i="135" s="1"/>
  <c r="O103" i="135"/>
  <c r="H106" i="135"/>
  <c r="I105" i="135"/>
  <c r="J105" i="135" s="1"/>
  <c r="M102" i="133"/>
  <c r="G104" i="133"/>
  <c r="H103" i="133"/>
  <c r="I103" i="133" s="1"/>
  <c r="K104" i="133"/>
  <c r="L103" i="133"/>
  <c r="X125" i="114"/>
  <c r="N103" i="78"/>
  <c r="O103" i="78" s="1"/>
  <c r="Q103" i="78" s="1"/>
  <c r="R103" i="78" s="1"/>
  <c r="S103" i="78"/>
  <c r="P102" i="78"/>
  <c r="T102" i="78"/>
  <c r="E170" i="88"/>
  <c r="M170" i="88" s="1"/>
  <c r="L115" i="95"/>
  <c r="M114" i="95"/>
  <c r="F103" i="110"/>
  <c r="G102" i="110"/>
  <c r="K102" i="110" s="1"/>
  <c r="P102" i="110" s="1"/>
  <c r="L102" i="110"/>
  <c r="R102" i="110"/>
  <c r="H103" i="110"/>
  <c r="I103" i="110" s="1"/>
  <c r="J103" i="110" s="1"/>
  <c r="N106" i="95"/>
  <c r="Q102" i="77"/>
  <c r="R102" i="77" s="1"/>
  <c r="N159" i="110"/>
  <c r="O158" i="110"/>
  <c r="E171" i="110"/>
  <c r="M171" i="110" s="1"/>
  <c r="M127" i="114"/>
  <c r="P127" i="114"/>
  <c r="J128" i="114"/>
  <c r="Y128" i="114" s="1"/>
  <c r="K128" i="114"/>
  <c r="I129" i="114"/>
  <c r="K107" i="78"/>
  <c r="B108" i="78"/>
  <c r="F106" i="78"/>
  <c r="C107" i="78"/>
  <c r="L104" i="78"/>
  <c r="I105" i="78"/>
  <c r="O103" i="77"/>
  <c r="P103" i="77" s="1"/>
  <c r="S103" i="77"/>
  <c r="T102" i="77"/>
  <c r="F131" i="114"/>
  <c r="G130" i="114"/>
  <c r="I112" i="91"/>
  <c r="J112" i="91" s="1"/>
  <c r="H113" i="91"/>
  <c r="E115" i="91"/>
  <c r="G114" i="91"/>
  <c r="S104" i="88"/>
  <c r="N133" i="88"/>
  <c r="O132" i="88"/>
  <c r="J103" i="88"/>
  <c r="K103" i="88" s="1"/>
  <c r="P103" i="88" s="1"/>
  <c r="I104" i="88"/>
  <c r="R104" i="88" s="1"/>
  <c r="H105" i="88"/>
  <c r="S105" i="88" s="1"/>
  <c r="G104" i="88"/>
  <c r="F105" i="88"/>
  <c r="L103" i="88"/>
  <c r="R103" i="88"/>
  <c r="L107" i="77"/>
  <c r="C108" i="77"/>
  <c r="K104" i="77"/>
  <c r="N104" i="77" s="1"/>
  <c r="H105" i="77"/>
  <c r="M102" i="135"/>
  <c r="N102" i="135" s="1"/>
  <c r="O102" i="135"/>
  <c r="L104" i="134"/>
  <c r="M103" i="134"/>
  <c r="N103" i="134" s="1"/>
  <c r="O103" i="134"/>
  <c r="I107" i="134"/>
  <c r="J107" i="134" s="1"/>
  <c r="G148" i="95"/>
  <c r="K148" i="95" s="1"/>
  <c r="E123" i="111"/>
  <c r="L122" i="111"/>
  <c r="E108" i="95"/>
  <c r="O108" i="95" s="1"/>
  <c r="F107" i="95"/>
  <c r="J107" i="95" s="1"/>
  <c r="N107" i="95" s="1"/>
  <c r="H123" i="95"/>
  <c r="I122" i="95"/>
  <c r="K63" i="112"/>
  <c r="I64" i="112" s="1"/>
  <c r="C66" i="113" s="1"/>
  <c r="K66" i="113" s="1"/>
  <c r="D124" i="93"/>
  <c r="E123" i="93"/>
  <c r="H155" i="112"/>
  <c r="D157" i="113" s="1"/>
  <c r="F73" i="113"/>
  <c r="G73" i="113" s="1"/>
  <c r="X126" i="114" l="1"/>
  <c r="D125" i="93"/>
  <c r="U127" i="114"/>
  <c r="E112" i="134"/>
  <c r="F111" i="134"/>
  <c r="H110" i="134"/>
  <c r="I109" i="134"/>
  <c r="J109" i="134" s="1"/>
  <c r="H107" i="135"/>
  <c r="I106" i="135"/>
  <c r="J106" i="135" s="1"/>
  <c r="L105" i="135"/>
  <c r="M104" i="135"/>
  <c r="N104" i="135" s="1"/>
  <c r="O104" i="135"/>
  <c r="K105" i="133"/>
  <c r="L104" i="133"/>
  <c r="M103" i="133"/>
  <c r="H104" i="133"/>
  <c r="I104" i="133" s="1"/>
  <c r="G105" i="133"/>
  <c r="N104" i="78"/>
  <c r="O104" i="78" s="1"/>
  <c r="Q104" i="78" s="1"/>
  <c r="R104" i="78" s="1"/>
  <c r="S104" i="78"/>
  <c r="P103" i="78"/>
  <c r="T103" i="78"/>
  <c r="E171" i="88"/>
  <c r="M171" i="88" s="1"/>
  <c r="M115" i="95"/>
  <c r="L116" i="95"/>
  <c r="H104" i="110"/>
  <c r="I104" i="110" s="1"/>
  <c r="J104" i="110" s="1"/>
  <c r="R103" i="110"/>
  <c r="F104" i="110"/>
  <c r="G103" i="110"/>
  <c r="K103" i="110" s="1"/>
  <c r="P103" i="110" s="1"/>
  <c r="L103" i="110"/>
  <c r="Q103" i="77"/>
  <c r="R103" i="77" s="1"/>
  <c r="V127" i="114"/>
  <c r="W127" i="114" s="1"/>
  <c r="X127" i="114"/>
  <c r="E172" i="110"/>
  <c r="M172" i="110" s="1"/>
  <c r="N160" i="110"/>
  <c r="O159" i="110"/>
  <c r="M128" i="114"/>
  <c r="U128" i="114" s="1"/>
  <c r="V128" i="114" s="1"/>
  <c r="W128" i="114" s="1"/>
  <c r="P128" i="114"/>
  <c r="I130" i="114"/>
  <c r="J129" i="114"/>
  <c r="Y129" i="114" s="1"/>
  <c r="K129" i="114"/>
  <c r="B109" i="78"/>
  <c r="K108" i="78"/>
  <c r="F107" i="78"/>
  <c r="C108" i="78"/>
  <c r="I106" i="78"/>
  <c r="L105" i="78"/>
  <c r="O104" i="77"/>
  <c r="S104" i="77"/>
  <c r="T103" i="77"/>
  <c r="G131" i="114"/>
  <c r="F132" i="114"/>
  <c r="G115" i="91"/>
  <c r="E116" i="91"/>
  <c r="I113" i="91"/>
  <c r="J113" i="91" s="1"/>
  <c r="H114" i="91"/>
  <c r="N134" i="88"/>
  <c r="O133" i="88"/>
  <c r="L104" i="88"/>
  <c r="J104" i="88"/>
  <c r="K104" i="88" s="1"/>
  <c r="P104" i="88" s="1"/>
  <c r="I105" i="88"/>
  <c r="R105" i="88" s="1"/>
  <c r="G105" i="88"/>
  <c r="H106" i="88"/>
  <c r="S106" i="88" s="1"/>
  <c r="F106" i="88"/>
  <c r="C109" i="77"/>
  <c r="L108" i="77"/>
  <c r="H106" i="77"/>
  <c r="K105" i="77"/>
  <c r="N105" i="77" s="1"/>
  <c r="L105" i="134"/>
  <c r="M104" i="134"/>
  <c r="N104" i="134" s="1"/>
  <c r="O104" i="134"/>
  <c r="G149" i="95"/>
  <c r="K149" i="95" s="1"/>
  <c r="J64" i="112"/>
  <c r="K64" i="112" s="1"/>
  <c r="I65" i="112" s="1"/>
  <c r="C67" i="113" s="1"/>
  <c r="K67" i="113" s="1"/>
  <c r="B67" i="113" s="1"/>
  <c r="F74" i="113"/>
  <c r="G74" i="113" s="1"/>
  <c r="H124" i="95"/>
  <c r="I123" i="95"/>
  <c r="E109" i="95"/>
  <c r="O109" i="95" s="1"/>
  <c r="F108" i="95"/>
  <c r="J108" i="95" s="1"/>
  <c r="N108" i="95" s="1"/>
  <c r="E124" i="111"/>
  <c r="L123" i="111"/>
  <c r="E124" i="93"/>
  <c r="B66" i="113"/>
  <c r="M66" i="113"/>
  <c r="H156" i="112"/>
  <c r="D158" i="113" s="1"/>
  <c r="D126" i="93" l="1"/>
  <c r="E125" i="93"/>
  <c r="H111" i="134"/>
  <c r="I110" i="134"/>
  <c r="J110" i="134" s="1"/>
  <c r="E113" i="134"/>
  <c r="F112" i="134"/>
  <c r="L106" i="135"/>
  <c r="M105" i="135"/>
  <c r="N105" i="135" s="1"/>
  <c r="O105" i="135"/>
  <c r="H108" i="135"/>
  <c r="I107" i="135"/>
  <c r="J107" i="135" s="1"/>
  <c r="M104" i="133"/>
  <c r="G106" i="133"/>
  <c r="H106" i="133" s="1"/>
  <c r="I106" i="133" s="1"/>
  <c r="D45" i="162" s="1"/>
  <c r="H105" i="133"/>
  <c r="I105" i="133" s="1"/>
  <c r="K106" i="133"/>
  <c r="L106" i="133" s="1"/>
  <c r="L105" i="133"/>
  <c r="I107" i="78"/>
  <c r="L107" i="78" s="1"/>
  <c r="N107" i="78" s="1"/>
  <c r="S105" i="78"/>
  <c r="P104" i="78"/>
  <c r="T104" i="78"/>
  <c r="E172" i="88"/>
  <c r="M172" i="88" s="1"/>
  <c r="L117" i="95"/>
  <c r="M116" i="95"/>
  <c r="L104" i="110"/>
  <c r="R104" i="110"/>
  <c r="H105" i="110"/>
  <c r="I105" i="110" s="1"/>
  <c r="J105" i="110" s="1"/>
  <c r="G104" i="110"/>
  <c r="K104" i="110" s="1"/>
  <c r="P104" i="110" s="1"/>
  <c r="F105" i="110"/>
  <c r="X128" i="114"/>
  <c r="P104" i="77"/>
  <c r="Q104" i="77"/>
  <c r="R104" i="77" s="1"/>
  <c r="N161" i="110"/>
  <c r="O160" i="110"/>
  <c r="E173" i="110"/>
  <c r="M173" i="110" s="1"/>
  <c r="K130" i="114"/>
  <c r="I131" i="114"/>
  <c r="J130" i="114"/>
  <c r="Y130" i="114" s="1"/>
  <c r="M129" i="114"/>
  <c r="U129" i="114" s="1"/>
  <c r="P129" i="114"/>
  <c r="N105" i="78"/>
  <c r="O105" i="78" s="1"/>
  <c r="L106" i="78"/>
  <c r="F108" i="78"/>
  <c r="C109" i="78"/>
  <c r="K109" i="78"/>
  <c r="B110" i="78"/>
  <c r="O105" i="77"/>
  <c r="P105" i="77" s="1"/>
  <c r="S105" i="77"/>
  <c r="T104" i="77"/>
  <c r="F133" i="114"/>
  <c r="G132" i="114"/>
  <c r="I114" i="91"/>
  <c r="J114" i="91" s="1"/>
  <c r="H115" i="91"/>
  <c r="G116" i="91"/>
  <c r="E117" i="91"/>
  <c r="N135" i="88"/>
  <c r="O134" i="88"/>
  <c r="L105" i="88"/>
  <c r="F107" i="88"/>
  <c r="G106" i="88"/>
  <c r="H107" i="88"/>
  <c r="S107" i="88" s="1"/>
  <c r="J105" i="88"/>
  <c r="K105" i="88" s="1"/>
  <c r="P105" i="88" s="1"/>
  <c r="I106" i="88"/>
  <c r="C110" i="77"/>
  <c r="L109" i="77"/>
  <c r="H107" i="77"/>
  <c r="K106" i="77"/>
  <c r="N106" i="77" s="1"/>
  <c r="M105" i="134"/>
  <c r="N105" i="134" s="1"/>
  <c r="L106" i="134"/>
  <c r="O105" i="134"/>
  <c r="G150" i="95"/>
  <c r="M67" i="113"/>
  <c r="M1" i="113" s="1"/>
  <c r="F75" i="113"/>
  <c r="L124" i="111"/>
  <c r="E125" i="111"/>
  <c r="E110" i="95"/>
  <c r="O110" i="95" s="1"/>
  <c r="F109" i="95"/>
  <c r="J109" i="95" s="1"/>
  <c r="N109" i="95" s="1"/>
  <c r="J65" i="112"/>
  <c r="H157" i="112"/>
  <c r="D159" i="113" s="1"/>
  <c r="H125" i="95"/>
  <c r="I124" i="95"/>
  <c r="D127" i="93" l="1"/>
  <c r="E126" i="93"/>
  <c r="F113" i="134"/>
  <c r="H112" i="134"/>
  <c r="I111" i="134"/>
  <c r="J111" i="134" s="1"/>
  <c r="K150" i="95"/>
  <c r="L107" i="135"/>
  <c r="M106" i="135"/>
  <c r="N106" i="135" s="1"/>
  <c r="O106" i="135"/>
  <c r="I108" i="135"/>
  <c r="J108" i="135" s="1"/>
  <c r="M106" i="133"/>
  <c r="D46" i="162"/>
  <c r="D47" i="162" s="1"/>
  <c r="M105" i="133"/>
  <c r="P105" i="78"/>
  <c r="T105" i="78"/>
  <c r="N106" i="78"/>
  <c r="O106" i="78" s="1"/>
  <c r="S106" i="78"/>
  <c r="S107" i="78"/>
  <c r="E173" i="88"/>
  <c r="M173" i="88" s="1"/>
  <c r="M117" i="95"/>
  <c r="L118" i="95"/>
  <c r="H106" i="110"/>
  <c r="I106" i="110" s="1"/>
  <c r="J106" i="110" s="1"/>
  <c r="F106" i="110"/>
  <c r="R105" i="110"/>
  <c r="L105" i="110"/>
  <c r="G105" i="110"/>
  <c r="K105" i="110" s="1"/>
  <c r="P105" i="110" s="1"/>
  <c r="V129" i="114"/>
  <c r="W129" i="114" s="1"/>
  <c r="Q105" i="77"/>
  <c r="R105" i="77" s="1"/>
  <c r="X129" i="114"/>
  <c r="Q105" i="78"/>
  <c r="R105" i="78" s="1"/>
  <c r="E174" i="110"/>
  <c r="M174" i="110" s="1"/>
  <c r="N162" i="110"/>
  <c r="O161" i="110"/>
  <c r="K131" i="114"/>
  <c r="J131" i="114"/>
  <c r="Y131" i="114" s="1"/>
  <c r="I132" i="114"/>
  <c r="M130" i="114"/>
  <c r="U130" i="114" s="1"/>
  <c r="P130" i="114"/>
  <c r="B111" i="78"/>
  <c r="K110" i="78"/>
  <c r="I108" i="78"/>
  <c r="O107" i="78"/>
  <c r="O108" i="78" s="1"/>
  <c r="C110" i="78"/>
  <c r="F109" i="78"/>
  <c r="O106" i="77"/>
  <c r="Q106" i="77" s="1"/>
  <c r="S106" i="77"/>
  <c r="T105" i="77"/>
  <c r="G133" i="114"/>
  <c r="F134" i="114"/>
  <c r="G117" i="91"/>
  <c r="E118" i="91"/>
  <c r="H116" i="91"/>
  <c r="I115" i="91"/>
  <c r="J115" i="91" s="1"/>
  <c r="N136" i="88"/>
  <c r="O135" i="88"/>
  <c r="L106" i="88"/>
  <c r="I107" i="88"/>
  <c r="L107" i="88" s="1"/>
  <c r="J106" i="88"/>
  <c r="K106" i="88" s="1"/>
  <c r="P106" i="88" s="1"/>
  <c r="R106" i="88"/>
  <c r="F108" i="88"/>
  <c r="H108" i="88"/>
  <c r="S108" i="88" s="1"/>
  <c r="G107" i="88"/>
  <c r="C111" i="77"/>
  <c r="L110" i="77"/>
  <c r="K107" i="77"/>
  <c r="N107" i="77" s="1"/>
  <c r="H108" i="77"/>
  <c r="M106" i="134"/>
  <c r="N106" i="134" s="1"/>
  <c r="L107" i="134"/>
  <c r="L108" i="134" s="1"/>
  <c r="O106" i="134"/>
  <c r="G151" i="95"/>
  <c r="K151" i="95" s="1"/>
  <c r="H126" i="95"/>
  <c r="I125" i="95"/>
  <c r="H158" i="112"/>
  <c r="D160" i="113" s="1"/>
  <c r="K65" i="112"/>
  <c r="I66" i="112" s="1"/>
  <c r="C68" i="113" s="1"/>
  <c r="K68" i="113" s="1"/>
  <c r="E111" i="95"/>
  <c r="O111" i="95" s="1"/>
  <c r="F110" i="95"/>
  <c r="J110" i="95" s="1"/>
  <c r="N110" i="95" s="1"/>
  <c r="L125" i="111"/>
  <c r="E126" i="111"/>
  <c r="P1" i="113"/>
  <c r="O6" i="113" s="1"/>
  <c r="L6" i="113"/>
  <c r="L68" i="113"/>
  <c r="G75" i="113"/>
  <c r="D128" i="93" l="1"/>
  <c r="E127" i="93"/>
  <c r="H113" i="134"/>
  <c r="I112" i="134"/>
  <c r="J112" i="134" s="1"/>
  <c r="L109" i="134"/>
  <c r="M108" i="134"/>
  <c r="N108" i="134" s="1"/>
  <c r="O108" i="134"/>
  <c r="D52" i="162"/>
  <c r="L108" i="135"/>
  <c r="M107" i="135"/>
  <c r="N107" i="135" s="1"/>
  <c r="O107" i="135"/>
  <c r="G22" i="159"/>
  <c r="P106" i="77"/>
  <c r="P108" i="78"/>
  <c r="T108" i="78"/>
  <c r="T106" i="78"/>
  <c r="O109" i="78"/>
  <c r="P106" i="78"/>
  <c r="P107" i="78"/>
  <c r="T107" i="78"/>
  <c r="Q106" i="78"/>
  <c r="R106" i="78" s="1"/>
  <c r="E174" i="88"/>
  <c r="M174" i="88" s="1"/>
  <c r="L119" i="95"/>
  <c r="M118" i="95"/>
  <c r="R106" i="110"/>
  <c r="L106" i="110"/>
  <c r="H107" i="110"/>
  <c r="I107" i="110" s="1"/>
  <c r="J107" i="110" s="1"/>
  <c r="F107" i="110"/>
  <c r="G106" i="110"/>
  <c r="K106" i="110" s="1"/>
  <c r="P106" i="110" s="1"/>
  <c r="X130" i="114"/>
  <c r="V130" i="114"/>
  <c r="W130" i="114" s="1"/>
  <c r="R106" i="77"/>
  <c r="N163" i="110"/>
  <c r="O162" i="110"/>
  <c r="E175" i="110"/>
  <c r="M175" i="110" s="1"/>
  <c r="J132" i="114"/>
  <c r="Y132" i="114" s="1"/>
  <c r="I133" i="114"/>
  <c r="K132" i="114"/>
  <c r="M131" i="114"/>
  <c r="U131" i="114" s="1"/>
  <c r="P131" i="114"/>
  <c r="F110" i="78"/>
  <c r="C111" i="78"/>
  <c r="Q107" i="78"/>
  <c r="K111" i="78"/>
  <c r="B112" i="78"/>
  <c r="I109" i="78"/>
  <c r="L108" i="78"/>
  <c r="O107" i="77"/>
  <c r="P107" i="77" s="1"/>
  <c r="S107" i="77"/>
  <c r="T106" i="77"/>
  <c r="G134" i="114"/>
  <c r="F135" i="114"/>
  <c r="H117" i="91"/>
  <c r="I116" i="91"/>
  <c r="J116" i="91" s="1"/>
  <c r="G118" i="91"/>
  <c r="E119" i="91"/>
  <c r="N137" i="88"/>
  <c r="O136" i="88"/>
  <c r="I108" i="88"/>
  <c r="L108" i="88" s="1"/>
  <c r="J107" i="88"/>
  <c r="K107" i="88" s="1"/>
  <c r="P107" i="88" s="1"/>
  <c r="R107" i="88"/>
  <c r="H109" i="88"/>
  <c r="S109" i="88" s="1"/>
  <c r="F109" i="88"/>
  <c r="G108" i="88"/>
  <c r="L111" i="77"/>
  <c r="C112" i="77"/>
  <c r="H109" i="77"/>
  <c r="K108" i="77"/>
  <c r="N108" i="77" s="1"/>
  <c r="M107" i="134"/>
  <c r="N107" i="134" s="1"/>
  <c r="O107" i="134"/>
  <c r="G152" i="95"/>
  <c r="K152" i="95" s="1"/>
  <c r="O68" i="113"/>
  <c r="E127" i="111"/>
  <c r="L126" i="111"/>
  <c r="E112" i="95"/>
  <c r="O112" i="95" s="1"/>
  <c r="F111" i="95"/>
  <c r="J111" i="95" s="1"/>
  <c r="N111" i="95" s="1"/>
  <c r="J66" i="112"/>
  <c r="F76" i="113"/>
  <c r="H159" i="112"/>
  <c r="D161" i="113" s="1"/>
  <c r="B68" i="113"/>
  <c r="K299" i="113"/>
  <c r="M68" i="113"/>
  <c r="H127" i="95"/>
  <c r="I126" i="95"/>
  <c r="D129" i="93" l="1"/>
  <c r="E128" i="93"/>
  <c r="L110" i="134"/>
  <c r="M109" i="134"/>
  <c r="N109" i="134" s="1"/>
  <c r="O109" i="134"/>
  <c r="I113" i="134"/>
  <c r="J113" i="134" s="1"/>
  <c r="D60" i="162" s="1"/>
  <c r="M108" i="135"/>
  <c r="O108" i="135"/>
  <c r="R107" i="78"/>
  <c r="N108" i="78"/>
  <c r="S108" i="78"/>
  <c r="O110" i="78"/>
  <c r="P109" i="78"/>
  <c r="T109" i="78"/>
  <c r="E175" i="88"/>
  <c r="M175" i="88" s="1"/>
  <c r="M119" i="95"/>
  <c r="L120" i="95"/>
  <c r="H108" i="110"/>
  <c r="I108" i="110" s="1"/>
  <c r="J108" i="110" s="1"/>
  <c r="G107" i="110"/>
  <c r="K107" i="110" s="1"/>
  <c r="P107" i="110" s="1"/>
  <c r="R107" i="110"/>
  <c r="L107" i="110"/>
  <c r="F108" i="110"/>
  <c r="Q107" i="77"/>
  <c r="R107" i="77" s="1"/>
  <c r="X131" i="114"/>
  <c r="E176" i="110"/>
  <c r="M176" i="110" s="1"/>
  <c r="N164" i="110"/>
  <c r="O163" i="110"/>
  <c r="V131" i="114"/>
  <c r="W131" i="114" s="1"/>
  <c r="P132" i="114"/>
  <c r="M132" i="114"/>
  <c r="U132" i="114" s="1"/>
  <c r="I134" i="114"/>
  <c r="K133" i="114"/>
  <c r="J133" i="114"/>
  <c r="Y133" i="114" s="1"/>
  <c r="F111" i="78"/>
  <c r="C112" i="78"/>
  <c r="K112" i="78"/>
  <c r="B113" i="78"/>
  <c r="Q108" i="78"/>
  <c r="R108" i="78" s="1"/>
  <c r="I110" i="78"/>
  <c r="L109" i="78"/>
  <c r="O108" i="77"/>
  <c r="P108" i="77" s="1"/>
  <c r="S108" i="77"/>
  <c r="T107" i="77"/>
  <c r="F136" i="114"/>
  <c r="G135" i="114"/>
  <c r="I117" i="91"/>
  <c r="J117" i="91" s="1"/>
  <c r="H118" i="91"/>
  <c r="E120" i="91"/>
  <c r="G119" i="91"/>
  <c r="N138" i="88"/>
  <c r="O137" i="88"/>
  <c r="F110" i="88"/>
  <c r="H110" i="88"/>
  <c r="S110" i="88" s="1"/>
  <c r="G109" i="88"/>
  <c r="R108" i="88"/>
  <c r="J108" i="88"/>
  <c r="K108" i="88" s="1"/>
  <c r="P108" i="88" s="1"/>
  <c r="I109" i="88"/>
  <c r="L112" i="77"/>
  <c r="C113" i="77"/>
  <c r="K109" i="77"/>
  <c r="N109" i="77" s="1"/>
  <c r="H110" i="77"/>
  <c r="G153" i="95"/>
  <c r="K153" i="95" s="1"/>
  <c r="H160" i="112"/>
  <c r="D162" i="113" s="1"/>
  <c r="P68" i="113"/>
  <c r="H128" i="95"/>
  <c r="I127" i="95"/>
  <c r="G76" i="113"/>
  <c r="K66" i="112"/>
  <c r="I67" i="112" s="1"/>
  <c r="C69" i="113" s="1"/>
  <c r="H69" i="113" s="1"/>
  <c r="E113" i="95"/>
  <c r="O113" i="95" s="1"/>
  <c r="F112" i="95"/>
  <c r="J112" i="95" s="1"/>
  <c r="N112" i="95" s="1"/>
  <c r="L127" i="111"/>
  <c r="E128" i="111"/>
  <c r="D130" i="93" l="1"/>
  <c r="E129" i="93"/>
  <c r="L111" i="134"/>
  <c r="M110" i="134"/>
  <c r="N110" i="134" s="1"/>
  <c r="O110" i="134"/>
  <c r="D53" i="162"/>
  <c r="D54" i="162" s="1"/>
  <c r="N108" i="135"/>
  <c r="N109" i="78"/>
  <c r="S109" i="78"/>
  <c r="O111" i="78"/>
  <c r="T110" i="78"/>
  <c r="E176" i="88"/>
  <c r="M176" i="88" s="1"/>
  <c r="M120" i="95"/>
  <c r="L121" i="95"/>
  <c r="L108" i="110"/>
  <c r="H109" i="110"/>
  <c r="I109" i="110" s="1"/>
  <c r="J109" i="110" s="1"/>
  <c r="F109" i="110"/>
  <c r="G108" i="110"/>
  <c r="K108" i="110" s="1"/>
  <c r="P108" i="110" s="1"/>
  <c r="R108" i="110"/>
  <c r="Q108" i="77"/>
  <c r="R108" i="77" s="1"/>
  <c r="X132" i="114"/>
  <c r="V132" i="114"/>
  <c r="W132" i="114" s="1"/>
  <c r="Q109" i="78"/>
  <c r="R109" i="78" s="1"/>
  <c r="N165" i="110"/>
  <c r="O164" i="110"/>
  <c r="E177" i="110"/>
  <c r="M177" i="110" s="1"/>
  <c r="M133" i="114"/>
  <c r="U133" i="114" s="1"/>
  <c r="P133" i="114"/>
  <c r="J134" i="114"/>
  <c r="Y134" i="114" s="1"/>
  <c r="I135" i="114"/>
  <c r="K134" i="114"/>
  <c r="L110" i="78"/>
  <c r="I111" i="78"/>
  <c r="B114" i="78"/>
  <c r="K113" i="78"/>
  <c r="F112" i="78"/>
  <c r="C113" i="78"/>
  <c r="O109" i="77"/>
  <c r="Q109" i="77" s="1"/>
  <c r="S109" i="77"/>
  <c r="T108" i="77"/>
  <c r="F137" i="114"/>
  <c r="G136" i="114"/>
  <c r="G120" i="91"/>
  <c r="E121" i="91"/>
  <c r="H119" i="91"/>
  <c r="I118" i="91"/>
  <c r="J118" i="91" s="1"/>
  <c r="N139" i="88"/>
  <c r="O138" i="88"/>
  <c r="I110" i="88"/>
  <c r="L110" i="88" s="1"/>
  <c r="J109" i="88"/>
  <c r="K109" i="88" s="1"/>
  <c r="P109" i="88" s="1"/>
  <c r="R109" i="88"/>
  <c r="L109" i="88"/>
  <c r="F111" i="88"/>
  <c r="H111" i="88"/>
  <c r="S111" i="88" s="1"/>
  <c r="G110" i="88"/>
  <c r="C114" i="77"/>
  <c r="L113" i="77"/>
  <c r="K110" i="77"/>
  <c r="N110" i="77" s="1"/>
  <c r="H111" i="77"/>
  <c r="G154" i="95"/>
  <c r="K154" i="95" s="1"/>
  <c r="J67" i="112"/>
  <c r="K67" i="112" s="1"/>
  <c r="I68" i="112" s="1"/>
  <c r="C70" i="113" s="1"/>
  <c r="H70" i="113" s="1"/>
  <c r="B70" i="113" s="1"/>
  <c r="L128" i="111"/>
  <c r="E129" i="111"/>
  <c r="E114" i="95"/>
  <c r="O114" i="95" s="1"/>
  <c r="F113" i="95"/>
  <c r="J113" i="95" s="1"/>
  <c r="N113" i="95" s="1"/>
  <c r="H161" i="112"/>
  <c r="D163" i="113" s="1"/>
  <c r="B69" i="113"/>
  <c r="I69" i="113"/>
  <c r="F77" i="113"/>
  <c r="H129" i="95"/>
  <c r="I128" i="95"/>
  <c r="Q68" i="113"/>
  <c r="D131" i="93" l="1"/>
  <c r="E130" i="93"/>
  <c r="L112" i="134"/>
  <c r="M111" i="134"/>
  <c r="N111" i="134" s="1"/>
  <c r="O111" i="134"/>
  <c r="G23" i="159"/>
  <c r="P109" i="77"/>
  <c r="O112" i="78"/>
  <c r="T111" i="78"/>
  <c r="N110" i="78"/>
  <c r="P110" i="78" s="1"/>
  <c r="S110" i="78"/>
  <c r="E177" i="88"/>
  <c r="M177" i="88" s="1"/>
  <c r="M121" i="95"/>
  <c r="L122" i="95"/>
  <c r="G109" i="110"/>
  <c r="K109" i="110" s="1"/>
  <c r="P109" i="110" s="1"/>
  <c r="H110" i="110"/>
  <c r="I110" i="110" s="1"/>
  <c r="J110" i="110" s="1"/>
  <c r="R109" i="110"/>
  <c r="F110" i="110"/>
  <c r="L109" i="110"/>
  <c r="V133" i="114"/>
  <c r="W133" i="114" s="1"/>
  <c r="X133" i="114"/>
  <c r="Q110" i="78"/>
  <c r="R110" i="78" s="1"/>
  <c r="R109" i="77"/>
  <c r="E178" i="110"/>
  <c r="M178" i="110" s="1"/>
  <c r="N166" i="110"/>
  <c r="O165" i="110"/>
  <c r="J135" i="114"/>
  <c r="Y135" i="114" s="1"/>
  <c r="I136" i="114"/>
  <c r="K135" i="114"/>
  <c r="P134" i="114"/>
  <c r="M134" i="114"/>
  <c r="U134" i="114" s="1"/>
  <c r="C114" i="78"/>
  <c r="F113" i="78"/>
  <c r="L111" i="78"/>
  <c r="I112" i="78"/>
  <c r="B115" i="78"/>
  <c r="K114" i="78"/>
  <c r="O110" i="77"/>
  <c r="P110" i="77" s="1"/>
  <c r="S110" i="77"/>
  <c r="T109" i="77"/>
  <c r="G137" i="114"/>
  <c r="F138" i="114"/>
  <c r="H120" i="91"/>
  <c r="I119" i="91"/>
  <c r="J119" i="91" s="1"/>
  <c r="G121" i="91"/>
  <c r="E122" i="91"/>
  <c r="N140" i="88"/>
  <c r="O139" i="88"/>
  <c r="F112" i="88"/>
  <c r="G111" i="88"/>
  <c r="H112" i="88"/>
  <c r="S112" i="88" s="1"/>
  <c r="R110" i="88"/>
  <c r="I111" i="88"/>
  <c r="L111" i="88" s="1"/>
  <c r="J110" i="88"/>
  <c r="K110" i="88" s="1"/>
  <c r="P110" i="88" s="1"/>
  <c r="C115" i="77"/>
  <c r="L114" i="77"/>
  <c r="H112" i="77"/>
  <c r="K111" i="77"/>
  <c r="N111" i="77" s="1"/>
  <c r="G155" i="95"/>
  <c r="K155" i="95" s="1"/>
  <c r="H130" i="95"/>
  <c r="I129" i="95"/>
  <c r="L69" i="113"/>
  <c r="O69" i="113" s="1"/>
  <c r="E115" i="95"/>
  <c r="O115" i="95" s="1"/>
  <c r="F114" i="95"/>
  <c r="J114" i="95" s="1"/>
  <c r="N114" i="95" s="1"/>
  <c r="H162" i="112"/>
  <c r="D164" i="113" s="1"/>
  <c r="G77" i="113"/>
  <c r="J69" i="113"/>
  <c r="L129" i="111"/>
  <c r="E130" i="111"/>
  <c r="J68" i="112"/>
  <c r="D132" i="93" l="1"/>
  <c r="E131" i="93"/>
  <c r="L113" i="134"/>
  <c r="M112" i="134"/>
  <c r="N112" i="134" s="1"/>
  <c r="O112" i="134"/>
  <c r="N111" i="78"/>
  <c r="P111" i="78" s="1"/>
  <c r="S111" i="78"/>
  <c r="O113" i="78"/>
  <c r="T112" i="78"/>
  <c r="E178" i="88"/>
  <c r="M178" i="88" s="1"/>
  <c r="L123" i="95"/>
  <c r="M122" i="95"/>
  <c r="F111" i="110"/>
  <c r="H111" i="110"/>
  <c r="I111" i="110" s="1"/>
  <c r="J111" i="110" s="1"/>
  <c r="L110" i="110"/>
  <c r="R110" i="110"/>
  <c r="G110" i="110"/>
  <c r="K110" i="110" s="1"/>
  <c r="P110" i="110" s="1"/>
  <c r="V134" i="114"/>
  <c r="W134" i="114" s="1"/>
  <c r="X134" i="114"/>
  <c r="Q110" i="77"/>
  <c r="R110" i="77" s="1"/>
  <c r="N167" i="110"/>
  <c r="O166" i="110"/>
  <c r="E179" i="110"/>
  <c r="M179" i="110" s="1"/>
  <c r="M135" i="114"/>
  <c r="U135" i="114" s="1"/>
  <c r="P135" i="114"/>
  <c r="I137" i="114"/>
  <c r="J136" i="114"/>
  <c r="Y136" i="114" s="1"/>
  <c r="K136" i="114"/>
  <c r="B116" i="78"/>
  <c r="K115" i="78"/>
  <c r="F114" i="78"/>
  <c r="C115" i="78"/>
  <c r="L112" i="78"/>
  <c r="I113" i="78"/>
  <c r="Q111" i="78"/>
  <c r="O111" i="77"/>
  <c r="P111" i="77" s="1"/>
  <c r="S111" i="77"/>
  <c r="T110" i="77"/>
  <c r="F139" i="114"/>
  <c r="G138" i="114"/>
  <c r="H121" i="91"/>
  <c r="I120" i="91"/>
  <c r="J120" i="91" s="1"/>
  <c r="G122" i="91"/>
  <c r="E123" i="91"/>
  <c r="N141" i="88"/>
  <c r="O140" i="88"/>
  <c r="I112" i="88"/>
  <c r="R112" i="88" s="1"/>
  <c r="J111" i="88"/>
  <c r="K111" i="88" s="1"/>
  <c r="P111" i="88" s="1"/>
  <c r="R111" i="88"/>
  <c r="H113" i="88"/>
  <c r="S113" i="88" s="1"/>
  <c r="F113" i="88"/>
  <c r="G112" i="88"/>
  <c r="C116" i="77"/>
  <c r="L115" i="77"/>
  <c r="K112" i="77"/>
  <c r="N112" i="77" s="1"/>
  <c r="H113" i="77"/>
  <c r="G156" i="95"/>
  <c r="K156" i="95" s="1"/>
  <c r="K68" i="112"/>
  <c r="I69" i="112" s="1"/>
  <c r="C71" i="113" s="1"/>
  <c r="H71" i="113" s="1"/>
  <c r="B71" i="113" s="1"/>
  <c r="H163" i="112"/>
  <c r="D165" i="113" s="1"/>
  <c r="F78" i="113"/>
  <c r="G78" i="113" s="1"/>
  <c r="E116" i="95"/>
  <c r="O116" i="95" s="1"/>
  <c r="F115" i="95"/>
  <c r="J115" i="95" s="1"/>
  <c r="N115" i="95" s="1"/>
  <c r="P69" i="113"/>
  <c r="H131" i="95"/>
  <c r="I130" i="95"/>
  <c r="E131" i="111"/>
  <c r="L130" i="111"/>
  <c r="I70" i="113"/>
  <c r="J70" i="113" s="1"/>
  <c r="M69" i="113"/>
  <c r="D133" i="93" l="1"/>
  <c r="E132" i="93"/>
  <c r="M113" i="134"/>
  <c r="O113" i="134"/>
  <c r="N112" i="78"/>
  <c r="P112" i="78" s="1"/>
  <c r="S112" i="78"/>
  <c r="O114" i="78"/>
  <c r="T113" i="78"/>
  <c r="E179" i="88"/>
  <c r="M179" i="88" s="1"/>
  <c r="R111" i="78"/>
  <c r="M123" i="95"/>
  <c r="L124" i="95"/>
  <c r="H112" i="110"/>
  <c r="I112" i="110" s="1"/>
  <c r="J112" i="110" s="1"/>
  <c r="R111" i="110"/>
  <c r="L111" i="110"/>
  <c r="F112" i="110"/>
  <c r="G111" i="110"/>
  <c r="K111" i="110" s="1"/>
  <c r="P111" i="110" s="1"/>
  <c r="X135" i="114"/>
  <c r="V135" i="114"/>
  <c r="W135" i="114" s="1"/>
  <c r="Q111" i="77"/>
  <c r="E180" i="110"/>
  <c r="M180" i="110" s="1"/>
  <c r="N168" i="110"/>
  <c r="O167" i="110"/>
  <c r="K137" i="114"/>
  <c r="I138" i="114"/>
  <c r="J137" i="114"/>
  <c r="Y137" i="114" s="1"/>
  <c r="M136" i="114"/>
  <c r="U136" i="114" s="1"/>
  <c r="P136" i="114"/>
  <c r="I114" i="78"/>
  <c r="L113" i="78"/>
  <c r="B117" i="78"/>
  <c r="K116" i="78"/>
  <c r="Q112" i="78"/>
  <c r="F115" i="78"/>
  <c r="C116" i="78"/>
  <c r="O112" i="77"/>
  <c r="P112" i="77" s="1"/>
  <c r="S112" i="77"/>
  <c r="T111" i="77"/>
  <c r="F140" i="114"/>
  <c r="G139" i="114"/>
  <c r="H122" i="91"/>
  <c r="I121" i="91"/>
  <c r="J121" i="91" s="1"/>
  <c r="E124" i="91"/>
  <c r="G123" i="91"/>
  <c r="N142" i="88"/>
  <c r="O141" i="88"/>
  <c r="F114" i="88"/>
  <c r="G113" i="88"/>
  <c r="H114" i="88"/>
  <c r="S114" i="88" s="1"/>
  <c r="I113" i="88"/>
  <c r="J112" i="88"/>
  <c r="K112" i="88" s="1"/>
  <c r="P112" i="88" s="1"/>
  <c r="L112" i="88"/>
  <c r="L116" i="77"/>
  <c r="C117" i="77"/>
  <c r="K113" i="77"/>
  <c r="N113" i="77" s="1"/>
  <c r="H114" i="77"/>
  <c r="R111" i="77"/>
  <c r="G157" i="95"/>
  <c r="K157" i="95" s="1"/>
  <c r="F79" i="113"/>
  <c r="I71" i="113"/>
  <c r="H164" i="112"/>
  <c r="D166" i="113" s="1"/>
  <c r="Q69" i="113"/>
  <c r="E117" i="95"/>
  <c r="O117" i="95" s="1"/>
  <c r="F116" i="95"/>
  <c r="J116" i="95" s="1"/>
  <c r="N116" i="95" s="1"/>
  <c r="L70" i="113"/>
  <c r="M70" i="113" s="1"/>
  <c r="E132" i="111"/>
  <c r="L131" i="111"/>
  <c r="H132" i="95"/>
  <c r="I131" i="95"/>
  <c r="J69" i="112"/>
  <c r="D134" i="93" l="1"/>
  <c r="E133" i="93"/>
  <c r="D61" i="162"/>
  <c r="D62" i="162" s="1"/>
  <c r="G24" i="159" s="1"/>
  <c r="N113" i="134"/>
  <c r="N113" i="78"/>
  <c r="P113" i="78" s="1"/>
  <c r="S113" i="78"/>
  <c r="O115" i="78"/>
  <c r="T114" i="78"/>
  <c r="E180" i="88"/>
  <c r="M180" i="88" s="1"/>
  <c r="R112" i="78"/>
  <c r="L125" i="95"/>
  <c r="M124" i="95"/>
  <c r="H113" i="110"/>
  <c r="I113" i="110" s="1"/>
  <c r="J113" i="110" s="1"/>
  <c r="F113" i="110"/>
  <c r="L112" i="110"/>
  <c r="G112" i="110"/>
  <c r="K112" i="110" s="1"/>
  <c r="P112" i="110" s="1"/>
  <c r="R112" i="110"/>
  <c r="X136" i="114"/>
  <c r="V136" i="114"/>
  <c r="Q112" i="77"/>
  <c r="R112" i="77" s="1"/>
  <c r="Q113" i="78"/>
  <c r="N169" i="110"/>
  <c r="O168" i="110"/>
  <c r="E181" i="110"/>
  <c r="M181" i="110" s="1"/>
  <c r="I139" i="114"/>
  <c r="J138" i="114"/>
  <c r="Y138" i="114" s="1"/>
  <c r="K138" i="114"/>
  <c r="M137" i="114"/>
  <c r="U137" i="114" s="1"/>
  <c r="P137" i="114"/>
  <c r="K117" i="78"/>
  <c r="B118" i="78"/>
  <c r="L114" i="78"/>
  <c r="I115" i="78"/>
  <c r="C117" i="78"/>
  <c r="F116" i="78"/>
  <c r="O113" i="77"/>
  <c r="P113" i="77" s="1"/>
  <c r="S113" i="77"/>
  <c r="T112" i="77"/>
  <c r="F141" i="114"/>
  <c r="G140" i="114"/>
  <c r="E125" i="91"/>
  <c r="G124" i="91"/>
  <c r="H123" i="91"/>
  <c r="I122" i="91"/>
  <c r="J122" i="91" s="1"/>
  <c r="N143" i="88"/>
  <c r="O142" i="88"/>
  <c r="I114" i="88"/>
  <c r="L114" i="88" s="1"/>
  <c r="J113" i="88"/>
  <c r="K113" i="88" s="1"/>
  <c r="P113" i="88" s="1"/>
  <c r="L113" i="88"/>
  <c r="R113" i="88"/>
  <c r="F115" i="88"/>
  <c r="H115" i="88"/>
  <c r="S115" i="88" s="1"/>
  <c r="G114" i="88"/>
  <c r="L117" i="77"/>
  <c r="C118" i="77"/>
  <c r="K114" i="77"/>
  <c r="N114" i="77" s="1"/>
  <c r="H115" i="77"/>
  <c r="G158" i="95"/>
  <c r="K69" i="112"/>
  <c r="J70" i="112"/>
  <c r="H133" i="95"/>
  <c r="I132" i="95"/>
  <c r="L132" i="111"/>
  <c r="E133" i="111"/>
  <c r="O70" i="113"/>
  <c r="L71" i="113"/>
  <c r="H165" i="112"/>
  <c r="D167" i="113" s="1"/>
  <c r="E118" i="95"/>
  <c r="O118" i="95" s="1"/>
  <c r="F117" i="95"/>
  <c r="J117" i="95" s="1"/>
  <c r="N117" i="95" s="1"/>
  <c r="J71" i="113"/>
  <c r="G79" i="113"/>
  <c r="O116" i="78" l="1"/>
  <c r="D135" i="93"/>
  <c r="E134" i="93"/>
  <c r="T116" i="78"/>
  <c r="T115" i="78"/>
  <c r="N114" i="78"/>
  <c r="P114" i="78" s="1"/>
  <c r="S114" i="78"/>
  <c r="E181" i="88"/>
  <c r="M181" i="88" s="1"/>
  <c r="R113" i="78"/>
  <c r="M125" i="95"/>
  <c r="L126" i="95"/>
  <c r="W136" i="114"/>
  <c r="R113" i="110"/>
  <c r="L113" i="110"/>
  <c r="H114" i="110"/>
  <c r="I114" i="110" s="1"/>
  <c r="J114" i="110" s="1"/>
  <c r="F114" i="110"/>
  <c r="G113" i="110"/>
  <c r="K113" i="110" s="1"/>
  <c r="P113" i="110" s="1"/>
  <c r="X137" i="114"/>
  <c r="V137" i="114"/>
  <c r="W137" i="114" s="1"/>
  <c r="Q113" i="77"/>
  <c r="R113" i="77" s="1"/>
  <c r="E182" i="110"/>
  <c r="M182" i="110" s="1"/>
  <c r="N170" i="110"/>
  <c r="O169" i="110"/>
  <c r="M138" i="114"/>
  <c r="U138" i="114" s="1"/>
  <c r="V138" i="114" s="1"/>
  <c r="W138" i="114" s="1"/>
  <c r="P138" i="114"/>
  <c r="J139" i="114"/>
  <c r="Y139" i="114" s="1"/>
  <c r="K139" i="114"/>
  <c r="I140" i="114"/>
  <c r="B119" i="78"/>
  <c r="K118" i="78"/>
  <c r="C118" i="78"/>
  <c r="F117" i="78"/>
  <c r="O117" i="78" s="1"/>
  <c r="Q114" i="78"/>
  <c r="L115" i="78"/>
  <c r="I116" i="78"/>
  <c r="O114" i="77"/>
  <c r="Q114" i="77" s="1"/>
  <c r="S114" i="77"/>
  <c r="T113" i="77"/>
  <c r="F142" i="114"/>
  <c r="G141" i="114"/>
  <c r="H124" i="91"/>
  <c r="I123" i="91"/>
  <c r="J123" i="91" s="1"/>
  <c r="E126" i="91"/>
  <c r="G125" i="91"/>
  <c r="N144" i="88"/>
  <c r="O143" i="88"/>
  <c r="H116" i="88"/>
  <c r="F116" i="88"/>
  <c r="G115" i="88"/>
  <c r="R114" i="88"/>
  <c r="J114" i="88"/>
  <c r="K114" i="88" s="1"/>
  <c r="P114" i="88" s="1"/>
  <c r="I115" i="88"/>
  <c r="L115" i="88" s="1"/>
  <c r="C119" i="77"/>
  <c r="L118" i="77"/>
  <c r="H116" i="77"/>
  <c r="K115" i="77"/>
  <c r="N115" i="77" s="1"/>
  <c r="K158" i="95"/>
  <c r="G159" i="95"/>
  <c r="F80" i="113"/>
  <c r="I72" i="113"/>
  <c r="J72" i="113" s="1"/>
  <c r="E119" i="95"/>
  <c r="O119" i="95" s="1"/>
  <c r="F118" i="95"/>
  <c r="J118" i="95" s="1"/>
  <c r="N118" i="95" s="1"/>
  <c r="P70" i="113"/>
  <c r="H166" i="112"/>
  <c r="D168" i="113" s="1"/>
  <c r="K70" i="112"/>
  <c r="I71" i="112" s="1"/>
  <c r="C73" i="113" s="1"/>
  <c r="H73" i="113" s="1"/>
  <c r="B73" i="113" s="1"/>
  <c r="O71" i="113"/>
  <c r="L133" i="111"/>
  <c r="E134" i="111"/>
  <c r="H134" i="95"/>
  <c r="I133" i="95"/>
  <c r="M71" i="113"/>
  <c r="D136" i="93" l="1"/>
  <c r="E135" i="93"/>
  <c r="O118" i="78"/>
  <c r="P117" i="78"/>
  <c r="T117" i="78"/>
  <c r="C119" i="78"/>
  <c r="N115" i="78"/>
  <c r="P115" i="78" s="1"/>
  <c r="S115" i="78"/>
  <c r="E182" i="88"/>
  <c r="M182" i="88" s="1"/>
  <c r="R114" i="78"/>
  <c r="X138" i="114"/>
  <c r="L127" i="95"/>
  <c r="M126" i="95"/>
  <c r="R114" i="77"/>
  <c r="R114" i="110"/>
  <c r="F115" i="110"/>
  <c r="L114" i="110"/>
  <c r="H115" i="110"/>
  <c r="I115" i="110" s="1"/>
  <c r="J115" i="110" s="1"/>
  <c r="G114" i="110"/>
  <c r="K114" i="110" s="1"/>
  <c r="P114" i="110" s="1"/>
  <c r="P114" i="77"/>
  <c r="Q115" i="78"/>
  <c r="E183" i="110"/>
  <c r="M183" i="110" s="1"/>
  <c r="N171" i="110"/>
  <c r="O170" i="110"/>
  <c r="P139" i="114"/>
  <c r="M139" i="114"/>
  <c r="U139" i="114" s="1"/>
  <c r="V139" i="114" s="1"/>
  <c r="W139" i="114" s="1"/>
  <c r="J140" i="114"/>
  <c r="Y140" i="114" s="1"/>
  <c r="K140" i="114"/>
  <c r="I141" i="114"/>
  <c r="B120" i="78"/>
  <c r="K119" i="78"/>
  <c r="I117" i="78"/>
  <c r="L117" i="78" s="1"/>
  <c r="L116" i="78"/>
  <c r="O115" i="77"/>
  <c r="Q115" i="77" s="1"/>
  <c r="R115" i="77" s="1"/>
  <c r="S115" i="77"/>
  <c r="T114" i="77"/>
  <c r="F143" i="114"/>
  <c r="G142" i="114"/>
  <c r="E127" i="91"/>
  <c r="G126" i="91"/>
  <c r="H125" i="91"/>
  <c r="I124" i="91"/>
  <c r="J124" i="91" s="1"/>
  <c r="S116" i="88"/>
  <c r="N145" i="88"/>
  <c r="O144" i="88"/>
  <c r="I116" i="88"/>
  <c r="R116" i="88" s="1"/>
  <c r="J115" i="88"/>
  <c r="K115" i="88" s="1"/>
  <c r="P115" i="88" s="1"/>
  <c r="H117" i="88"/>
  <c r="S117" i="88" s="1"/>
  <c r="F117" i="88"/>
  <c r="G116" i="88"/>
  <c r="R115" i="88"/>
  <c r="L119" i="77"/>
  <c r="C120" i="77"/>
  <c r="K116" i="77"/>
  <c r="N116" i="77" s="1"/>
  <c r="H117" i="77"/>
  <c r="K159" i="95"/>
  <c r="G160" i="95"/>
  <c r="J71" i="112"/>
  <c r="K71" i="112" s="1"/>
  <c r="I72" i="112" s="1"/>
  <c r="C74" i="113" s="1"/>
  <c r="H74" i="113" s="1"/>
  <c r="B74" i="113" s="1"/>
  <c r="E135" i="111"/>
  <c r="L134" i="111"/>
  <c r="Q70" i="113"/>
  <c r="P71" i="113"/>
  <c r="I73" i="113"/>
  <c r="J73" i="113" s="1"/>
  <c r="H135" i="95"/>
  <c r="I134" i="95"/>
  <c r="H167" i="112"/>
  <c r="D169" i="113" s="1"/>
  <c r="E120" i="95"/>
  <c r="O120" i="95" s="1"/>
  <c r="F119" i="95"/>
  <c r="J119" i="95" s="1"/>
  <c r="N119" i="95" s="1"/>
  <c r="L72" i="113"/>
  <c r="G80" i="113"/>
  <c r="D137" i="93" l="1"/>
  <c r="E136" i="93"/>
  <c r="O119" i="78"/>
  <c r="P115" i="77"/>
  <c r="N117" i="78"/>
  <c r="Q117" i="78"/>
  <c r="S117" i="78"/>
  <c r="C120" i="78"/>
  <c r="N116" i="78"/>
  <c r="P116" i="78" s="1"/>
  <c r="Q116" i="78"/>
  <c r="R116" i="78" s="1"/>
  <c r="S116" i="78"/>
  <c r="P118" i="78"/>
  <c r="T118" i="78"/>
  <c r="E183" i="88"/>
  <c r="M183" i="88" s="1"/>
  <c r="R115" i="78"/>
  <c r="L128" i="95"/>
  <c r="M127" i="95"/>
  <c r="G115" i="110"/>
  <c r="K115" i="110" s="1"/>
  <c r="P115" i="110" s="1"/>
  <c r="H116" i="110"/>
  <c r="I116" i="110" s="1"/>
  <c r="J116" i="110" s="1"/>
  <c r="R115" i="110"/>
  <c r="F116" i="110"/>
  <c r="L115" i="110"/>
  <c r="X139" i="114"/>
  <c r="N172" i="110"/>
  <c r="O171" i="110"/>
  <c r="E184" i="110"/>
  <c r="M184" i="110" s="1"/>
  <c r="P140" i="114"/>
  <c r="M140" i="114"/>
  <c r="U140" i="114" s="1"/>
  <c r="I142" i="114"/>
  <c r="K141" i="114"/>
  <c r="J141" i="114"/>
  <c r="Y141" i="114" s="1"/>
  <c r="I118" i="78"/>
  <c r="K120" i="78"/>
  <c r="B121" i="78"/>
  <c r="O116" i="77"/>
  <c r="Q116" i="77" s="1"/>
  <c r="R116" i="77" s="1"/>
  <c r="S116" i="77"/>
  <c r="T115" i="77"/>
  <c r="F144" i="114"/>
  <c r="G143" i="114"/>
  <c r="H126" i="91"/>
  <c r="I125" i="91"/>
  <c r="J125" i="91" s="1"/>
  <c r="G127" i="91"/>
  <c r="E128" i="91"/>
  <c r="L116" i="88"/>
  <c r="N146" i="88"/>
  <c r="O145" i="88"/>
  <c r="F118" i="88"/>
  <c r="H118" i="88"/>
  <c r="S118" i="88" s="1"/>
  <c r="G117" i="88"/>
  <c r="I117" i="88"/>
  <c r="J116" i="88"/>
  <c r="K116" i="88" s="1"/>
  <c r="P116" i="88" s="1"/>
  <c r="L120" i="77"/>
  <c r="C121" i="77"/>
  <c r="K117" i="77"/>
  <c r="N117" i="77" s="1"/>
  <c r="H118" i="77"/>
  <c r="K160" i="95"/>
  <c r="G161" i="95"/>
  <c r="G35" i="159" s="1"/>
  <c r="E121" i="95"/>
  <c r="O121" i="95" s="1"/>
  <c r="F120" i="95"/>
  <c r="J120" i="95" s="1"/>
  <c r="N120" i="95" s="1"/>
  <c r="M72" i="113"/>
  <c r="L73" i="113"/>
  <c r="J72" i="112"/>
  <c r="L135" i="111"/>
  <c r="E136" i="111"/>
  <c r="F81" i="113"/>
  <c r="O72" i="113"/>
  <c r="H136" i="95"/>
  <c r="I135" i="95"/>
  <c r="I74" i="113"/>
  <c r="Q71" i="113"/>
  <c r="H168" i="112"/>
  <c r="D170" i="113" s="1"/>
  <c r="D138" i="93" l="1"/>
  <c r="E137" i="93"/>
  <c r="O120" i="78"/>
  <c r="H35" i="159"/>
  <c r="H47" i="159" s="1"/>
  <c r="G47" i="159"/>
  <c r="C121" i="78"/>
  <c r="I119" i="78"/>
  <c r="L118" i="78"/>
  <c r="P119" i="78"/>
  <c r="T119" i="78"/>
  <c r="E184" i="88"/>
  <c r="M184" i="88" s="1"/>
  <c r="L129" i="95"/>
  <c r="M128" i="95"/>
  <c r="H117" i="110"/>
  <c r="I117" i="110" s="1"/>
  <c r="J117" i="110" s="1"/>
  <c r="G116" i="110"/>
  <c r="K116" i="110" s="1"/>
  <c r="P116" i="110" s="1"/>
  <c r="R116" i="110"/>
  <c r="F117" i="110"/>
  <c r="L116" i="110"/>
  <c r="X140" i="114"/>
  <c r="V140" i="114"/>
  <c r="W140" i="114" s="1"/>
  <c r="P116" i="77"/>
  <c r="N173" i="110"/>
  <c r="O172" i="110"/>
  <c r="E185" i="110"/>
  <c r="M185" i="110" s="1"/>
  <c r="M141" i="114"/>
  <c r="U141" i="114" s="1"/>
  <c r="P141" i="114"/>
  <c r="J142" i="114"/>
  <c r="Y142" i="114" s="1"/>
  <c r="K142" i="114"/>
  <c r="I143" i="114"/>
  <c r="R117" i="78"/>
  <c r="B122" i="78"/>
  <c r="B123" i="78" s="1"/>
  <c r="K121" i="78"/>
  <c r="O117" i="77"/>
  <c r="P117" i="77" s="1"/>
  <c r="S117" i="77"/>
  <c r="T116" i="77"/>
  <c r="F145" i="114"/>
  <c r="G144" i="114"/>
  <c r="P72" i="113"/>
  <c r="H127" i="91"/>
  <c r="I126" i="91"/>
  <c r="J126" i="91" s="1"/>
  <c r="G128" i="91"/>
  <c r="E129" i="91"/>
  <c r="E130" i="91" s="1"/>
  <c r="N147" i="88"/>
  <c r="O146" i="88"/>
  <c r="J117" i="88"/>
  <c r="K117" i="88" s="1"/>
  <c r="P117" i="88" s="1"/>
  <c r="I118" i="88"/>
  <c r="R118" i="88" s="1"/>
  <c r="L117" i="88"/>
  <c r="F119" i="88"/>
  <c r="G118" i="88"/>
  <c r="H119" i="88"/>
  <c r="S119" i="88" s="1"/>
  <c r="R117" i="88"/>
  <c r="C122" i="77"/>
  <c r="L121" i="77"/>
  <c r="K118" i="77"/>
  <c r="N118" i="77" s="1"/>
  <c r="H119" i="77"/>
  <c r="G162" i="95"/>
  <c r="K161" i="95"/>
  <c r="L74" i="113"/>
  <c r="L136" i="111"/>
  <c r="E137" i="111"/>
  <c r="K72" i="112"/>
  <c r="I73" i="112" s="1"/>
  <c r="C75" i="113" s="1"/>
  <c r="H75" i="113" s="1"/>
  <c r="B75" i="113" s="1"/>
  <c r="M73" i="113"/>
  <c r="E122" i="95"/>
  <c r="O122" i="95" s="1"/>
  <c r="F121" i="95"/>
  <c r="J121" i="95" s="1"/>
  <c r="N121" i="95" s="1"/>
  <c r="J74" i="113"/>
  <c r="H137" i="95"/>
  <c r="I136" i="95"/>
  <c r="G81" i="113"/>
  <c r="H169" i="112"/>
  <c r="D171" i="113" s="1"/>
  <c r="O73" i="113"/>
  <c r="E131" i="91" l="1"/>
  <c r="D139" i="93"/>
  <c r="E138" i="93"/>
  <c r="O121" i="78"/>
  <c r="H49" i="159"/>
  <c r="H51" i="159" s="1"/>
  <c r="H53" i="159" s="1"/>
  <c r="N118" i="78"/>
  <c r="Q118" i="78"/>
  <c r="R118" i="78" s="1"/>
  <c r="S118" i="78"/>
  <c r="P120" i="78"/>
  <c r="T120" i="78"/>
  <c r="I120" i="78"/>
  <c r="L119" i="78"/>
  <c r="B124" i="78"/>
  <c r="K123" i="78"/>
  <c r="C122" i="78"/>
  <c r="E185" i="88"/>
  <c r="M185" i="88" s="1"/>
  <c r="M129" i="95"/>
  <c r="L130" i="95"/>
  <c r="L117" i="110"/>
  <c r="G117" i="110"/>
  <c r="K117" i="110" s="1"/>
  <c r="P117" i="110" s="1"/>
  <c r="H118" i="110"/>
  <c r="I118" i="110" s="1"/>
  <c r="J118" i="110" s="1"/>
  <c r="R117" i="110"/>
  <c r="F118" i="110"/>
  <c r="V141" i="114"/>
  <c r="W141" i="114" s="1"/>
  <c r="X141" i="114"/>
  <c r="Q117" i="77"/>
  <c r="R117" i="77" s="1"/>
  <c r="E186" i="110"/>
  <c r="M186" i="110" s="1"/>
  <c r="N174" i="110"/>
  <c r="O173" i="110"/>
  <c r="P142" i="114"/>
  <c r="L142" i="114"/>
  <c r="M142" i="114" s="1"/>
  <c r="U142" i="114" s="1"/>
  <c r="I144" i="114"/>
  <c r="K143" i="114"/>
  <c r="J143" i="114"/>
  <c r="Y143" i="114" s="1"/>
  <c r="M74" i="113"/>
  <c r="K122" i="78"/>
  <c r="O118" i="77"/>
  <c r="Q118" i="77" s="1"/>
  <c r="S118" i="77"/>
  <c r="T117" i="77"/>
  <c r="F146" i="114"/>
  <c r="G145" i="114"/>
  <c r="Q72" i="113"/>
  <c r="H128" i="91"/>
  <c r="I128" i="91" s="1"/>
  <c r="I127" i="91"/>
  <c r="N148" i="88"/>
  <c r="O147" i="88"/>
  <c r="H120" i="88"/>
  <c r="S120" i="88" s="1"/>
  <c r="F120" i="88"/>
  <c r="G119" i="88"/>
  <c r="L118" i="88"/>
  <c r="J118" i="88"/>
  <c r="K118" i="88" s="1"/>
  <c r="P118" i="88" s="1"/>
  <c r="I119" i="88"/>
  <c r="L119" i="88" s="1"/>
  <c r="L122" i="77"/>
  <c r="C123" i="77"/>
  <c r="K119" i="77"/>
  <c r="N119" i="77" s="1"/>
  <c r="H120" i="77"/>
  <c r="K162" i="95"/>
  <c r="G163" i="95"/>
  <c r="H138" i="95"/>
  <c r="I137" i="95"/>
  <c r="H170" i="112"/>
  <c r="D172" i="113" s="1"/>
  <c r="P73" i="113"/>
  <c r="F82" i="113"/>
  <c r="G82" i="113" s="1"/>
  <c r="I75" i="113"/>
  <c r="J75" i="113" s="1"/>
  <c r="E123" i="95"/>
  <c r="O123" i="95" s="1"/>
  <c r="F122" i="95"/>
  <c r="J122" i="95" s="1"/>
  <c r="N122" i="95" s="1"/>
  <c r="J73" i="112"/>
  <c r="L137" i="111"/>
  <c r="E138" i="111"/>
  <c r="O74" i="113"/>
  <c r="E132" i="91" l="1"/>
  <c r="D140" i="93"/>
  <c r="E139" i="93"/>
  <c r="O122" i="78"/>
  <c r="P118" i="77"/>
  <c r="P121" i="78"/>
  <c r="T121" i="78"/>
  <c r="K124" i="78"/>
  <c r="B125" i="78"/>
  <c r="C123" i="78"/>
  <c r="I121" i="78"/>
  <c r="L120" i="78"/>
  <c r="N119" i="78"/>
  <c r="Q119" i="78"/>
  <c r="R119" i="78" s="1"/>
  <c r="S119" i="78"/>
  <c r="E186" i="88"/>
  <c r="M186" i="88" s="1"/>
  <c r="R118" i="77"/>
  <c r="L131" i="95"/>
  <c r="M130" i="95"/>
  <c r="L118" i="110"/>
  <c r="G118" i="110"/>
  <c r="K118" i="110" s="1"/>
  <c r="P118" i="110" s="1"/>
  <c r="H119" i="110"/>
  <c r="I119" i="110" s="1"/>
  <c r="J119" i="110" s="1"/>
  <c r="R118" i="110"/>
  <c r="F119" i="110"/>
  <c r="X142" i="114"/>
  <c r="V142" i="114"/>
  <c r="W142" i="114" s="1"/>
  <c r="E187" i="110"/>
  <c r="M187" i="110" s="1"/>
  <c r="N175" i="110"/>
  <c r="O174" i="110"/>
  <c r="L143" i="114"/>
  <c r="M143" i="114" s="1"/>
  <c r="U143" i="114" s="1"/>
  <c r="P143" i="114"/>
  <c r="I145" i="114"/>
  <c r="J144" i="114"/>
  <c r="Y144" i="114" s="1"/>
  <c r="K144" i="114"/>
  <c r="O119" i="77"/>
  <c r="Q119" i="77" s="1"/>
  <c r="R119" i="77" s="1"/>
  <c r="S119" i="77"/>
  <c r="T118" i="77"/>
  <c r="G146" i="114"/>
  <c r="F147" i="114"/>
  <c r="G129" i="91"/>
  <c r="H129" i="91" s="1"/>
  <c r="J128" i="91"/>
  <c r="J127" i="91"/>
  <c r="N149" i="88"/>
  <c r="O148" i="88"/>
  <c r="J119" i="88"/>
  <c r="K119" i="88" s="1"/>
  <c r="P119" i="88" s="1"/>
  <c r="I120" i="88"/>
  <c r="R120" i="88" s="1"/>
  <c r="R119" i="88"/>
  <c r="H121" i="88"/>
  <c r="S121" i="88" s="1"/>
  <c r="G120" i="88"/>
  <c r="F121" i="88"/>
  <c r="C124" i="77"/>
  <c r="L123" i="77"/>
  <c r="H121" i="77"/>
  <c r="K120" i="77"/>
  <c r="N120" i="77" s="1"/>
  <c r="G164" i="95"/>
  <c r="K163" i="95"/>
  <c r="F83" i="113"/>
  <c r="I76" i="113"/>
  <c r="H171" i="112"/>
  <c r="D173" i="113" s="1"/>
  <c r="K73" i="112"/>
  <c r="J74" i="112"/>
  <c r="E124" i="95"/>
  <c r="O124" i="95" s="1"/>
  <c r="F123" i="95"/>
  <c r="J123" i="95" s="1"/>
  <c r="N123" i="95" s="1"/>
  <c r="Q73" i="113"/>
  <c r="P74" i="113"/>
  <c r="E139" i="111"/>
  <c r="L138" i="111"/>
  <c r="L75" i="113"/>
  <c r="O75" i="113" s="1"/>
  <c r="H139" i="95"/>
  <c r="I138" i="95"/>
  <c r="I129" i="91" l="1"/>
  <c r="H130" i="91"/>
  <c r="E133" i="91"/>
  <c r="D141" i="93"/>
  <c r="E140" i="93"/>
  <c r="D27" i="162" s="1"/>
  <c r="O123" i="78"/>
  <c r="C124" i="78"/>
  <c r="P122" i="78"/>
  <c r="T122" i="78"/>
  <c r="I122" i="78"/>
  <c r="L121" i="78"/>
  <c r="N120" i="78"/>
  <c r="Q120" i="78"/>
  <c r="R120" i="78" s="1"/>
  <c r="S120" i="78"/>
  <c r="B126" i="78"/>
  <c r="K125" i="78"/>
  <c r="E187" i="88"/>
  <c r="M187" i="88" s="1"/>
  <c r="M131" i="95"/>
  <c r="L132" i="95"/>
  <c r="G119" i="110"/>
  <c r="K119" i="110" s="1"/>
  <c r="P119" i="110" s="1"/>
  <c r="R119" i="110"/>
  <c r="F120" i="110"/>
  <c r="L119" i="110"/>
  <c r="H120" i="110"/>
  <c r="I120" i="110" s="1"/>
  <c r="J120" i="110" s="1"/>
  <c r="P119" i="77"/>
  <c r="X143" i="114"/>
  <c r="V143" i="114"/>
  <c r="W143" i="114" s="1"/>
  <c r="N176" i="110"/>
  <c r="O175" i="110"/>
  <c r="E188" i="110"/>
  <c r="M188" i="110" s="1"/>
  <c r="K145" i="114"/>
  <c r="I146" i="114"/>
  <c r="J145" i="114"/>
  <c r="Y145" i="114" s="1"/>
  <c r="P144" i="114"/>
  <c r="L144" i="114"/>
  <c r="M144" i="114" s="1"/>
  <c r="U144" i="114" s="1"/>
  <c r="O120" i="77"/>
  <c r="P120" i="77" s="1"/>
  <c r="S120" i="77"/>
  <c r="T119" i="77"/>
  <c r="G147" i="114"/>
  <c r="F148" i="114"/>
  <c r="J129" i="91"/>
  <c r="L120" i="88"/>
  <c r="N150" i="88"/>
  <c r="O149" i="88"/>
  <c r="F122" i="88"/>
  <c r="G121" i="88"/>
  <c r="H122" i="88"/>
  <c r="S122" i="88" s="1"/>
  <c r="J120" i="88"/>
  <c r="K120" i="88" s="1"/>
  <c r="P120" i="88" s="1"/>
  <c r="I121" i="88"/>
  <c r="C125" i="77"/>
  <c r="L124" i="77"/>
  <c r="H122" i="77"/>
  <c r="K121" i="77"/>
  <c r="N121" i="77" s="1"/>
  <c r="G165" i="95"/>
  <c r="K164" i="95"/>
  <c r="H172" i="112"/>
  <c r="D174" i="113" s="1"/>
  <c r="L76" i="113"/>
  <c r="O76" i="113" s="1"/>
  <c r="H140" i="95"/>
  <c r="I139" i="95"/>
  <c r="M75" i="113"/>
  <c r="L139" i="111"/>
  <c r="E140" i="111"/>
  <c r="P75" i="113"/>
  <c r="Q74" i="113"/>
  <c r="E125" i="95"/>
  <c r="O125" i="95" s="1"/>
  <c r="F124" i="95"/>
  <c r="J124" i="95" s="1"/>
  <c r="N124" i="95" s="1"/>
  <c r="K74" i="112"/>
  <c r="I75" i="112" s="1"/>
  <c r="C77" i="113" s="1"/>
  <c r="H77" i="113" s="1"/>
  <c r="B77" i="113" s="1"/>
  <c r="J76" i="113"/>
  <c r="G83" i="113"/>
  <c r="E134" i="91" l="1"/>
  <c r="H131" i="91"/>
  <c r="I130" i="91"/>
  <c r="J130" i="91" s="1"/>
  <c r="D142" i="93"/>
  <c r="E141" i="93"/>
  <c r="O124" i="78"/>
  <c r="K126" i="78"/>
  <c r="B127" i="78"/>
  <c r="N121" i="78"/>
  <c r="Q121" i="78"/>
  <c r="S121" i="78"/>
  <c r="I123" i="78"/>
  <c r="L122" i="78"/>
  <c r="P123" i="78"/>
  <c r="T123" i="78"/>
  <c r="C125" i="78"/>
  <c r="E188" i="88"/>
  <c r="M188" i="88" s="1"/>
  <c r="Q120" i="77"/>
  <c r="R120" i="77" s="1"/>
  <c r="L133" i="95"/>
  <c r="M132" i="95"/>
  <c r="F121" i="110"/>
  <c r="L120" i="110"/>
  <c r="G120" i="110"/>
  <c r="K120" i="110" s="1"/>
  <c r="P120" i="110" s="1"/>
  <c r="R120" i="110"/>
  <c r="H121" i="110"/>
  <c r="I121" i="110" s="1"/>
  <c r="J121" i="110" s="1"/>
  <c r="X144" i="114"/>
  <c r="V144" i="114"/>
  <c r="W144" i="114" s="1"/>
  <c r="E189" i="110"/>
  <c r="M189" i="110" s="1"/>
  <c r="N177" i="110"/>
  <c r="O176" i="110"/>
  <c r="I147" i="114"/>
  <c r="J146" i="114"/>
  <c r="Y146" i="114" s="1"/>
  <c r="K146" i="114"/>
  <c r="L145" i="114"/>
  <c r="M145" i="114" s="1"/>
  <c r="U145" i="114" s="1"/>
  <c r="P145" i="114"/>
  <c r="O121" i="77"/>
  <c r="Q121" i="77" s="1"/>
  <c r="S121" i="77"/>
  <c r="T120" i="77"/>
  <c r="G148" i="114"/>
  <c r="F149" i="114"/>
  <c r="N151" i="88"/>
  <c r="O150" i="88"/>
  <c r="H123" i="88"/>
  <c r="S123" i="88" s="1"/>
  <c r="G122" i="88"/>
  <c r="F123" i="88"/>
  <c r="I122" i="88"/>
  <c r="R122" i="88" s="1"/>
  <c r="J121" i="88"/>
  <c r="K121" i="88" s="1"/>
  <c r="P121" i="88" s="1"/>
  <c r="R121" i="88"/>
  <c r="L121" i="88"/>
  <c r="C126" i="77"/>
  <c r="L125" i="77"/>
  <c r="H123" i="77"/>
  <c r="K122" i="77"/>
  <c r="N122" i="77" s="1"/>
  <c r="K165" i="95"/>
  <c r="G166" i="95"/>
  <c r="M76" i="113"/>
  <c r="E126" i="95"/>
  <c r="O126" i="95" s="1"/>
  <c r="F125" i="95"/>
  <c r="J125" i="95" s="1"/>
  <c r="N125" i="95" s="1"/>
  <c r="I77" i="113"/>
  <c r="J75" i="112"/>
  <c r="Q75" i="113"/>
  <c r="P76" i="113"/>
  <c r="L140" i="111"/>
  <c r="E141" i="111"/>
  <c r="H141" i="95"/>
  <c r="I140" i="95"/>
  <c r="F84" i="113"/>
  <c r="G84" i="113" s="1"/>
  <c r="H173" i="112"/>
  <c r="D175" i="113" s="1"/>
  <c r="H132" i="91" l="1"/>
  <c r="I131" i="91"/>
  <c r="E135" i="91"/>
  <c r="D143" i="93"/>
  <c r="E142" i="93"/>
  <c r="P121" i="77"/>
  <c r="O125" i="78"/>
  <c r="R121" i="78"/>
  <c r="C126" i="78"/>
  <c r="N122" i="78"/>
  <c r="S122" i="78"/>
  <c r="Q122" i="78"/>
  <c r="I124" i="78"/>
  <c r="L123" i="78"/>
  <c r="B128" i="78"/>
  <c r="K127" i="78"/>
  <c r="P124" i="78"/>
  <c r="T124" i="78"/>
  <c r="E189" i="88"/>
  <c r="M189" i="88" s="1"/>
  <c r="R121" i="77"/>
  <c r="L134" i="95"/>
  <c r="M133" i="95"/>
  <c r="F122" i="110"/>
  <c r="R121" i="110"/>
  <c r="L121" i="110"/>
  <c r="G121" i="110"/>
  <c r="K121" i="110" s="1"/>
  <c r="P121" i="110" s="1"/>
  <c r="H122" i="110"/>
  <c r="I122" i="110" s="1"/>
  <c r="J122" i="110" s="1"/>
  <c r="X145" i="114"/>
  <c r="V145" i="114"/>
  <c r="W145" i="114" s="1"/>
  <c r="N178" i="110"/>
  <c r="O177" i="110"/>
  <c r="E190" i="110"/>
  <c r="M190" i="110" s="1"/>
  <c r="P146" i="114"/>
  <c r="L146" i="114"/>
  <c r="M146" i="114" s="1"/>
  <c r="U146" i="114" s="1"/>
  <c r="I148" i="114"/>
  <c r="J147" i="114"/>
  <c r="Y147" i="114" s="1"/>
  <c r="K147" i="114"/>
  <c r="O122" i="77"/>
  <c r="Q122" i="77" s="1"/>
  <c r="R122" i="77" s="1"/>
  <c r="S122" i="77"/>
  <c r="T121" i="77"/>
  <c r="G149" i="114"/>
  <c r="F150" i="114"/>
  <c r="N152" i="88"/>
  <c r="O151" i="88"/>
  <c r="H124" i="88"/>
  <c r="S124" i="88" s="1"/>
  <c r="G123" i="88"/>
  <c r="F124" i="88"/>
  <c r="J122" i="88"/>
  <c r="K122" i="88" s="1"/>
  <c r="P122" i="88" s="1"/>
  <c r="I123" i="88"/>
  <c r="L122" i="88"/>
  <c r="C127" i="77"/>
  <c r="L126" i="77"/>
  <c r="H124" i="77"/>
  <c r="K123" i="77"/>
  <c r="N123" i="77" s="1"/>
  <c r="K166" i="95"/>
  <c r="G167" i="95"/>
  <c r="F85" i="113"/>
  <c r="G85" i="113" s="1"/>
  <c r="E142" i="111"/>
  <c r="L141" i="111"/>
  <c r="Q76" i="113"/>
  <c r="L77" i="113"/>
  <c r="O77" i="113" s="1"/>
  <c r="E127" i="95"/>
  <c r="O127" i="95" s="1"/>
  <c r="F126" i="95"/>
  <c r="J126" i="95" s="1"/>
  <c r="N126" i="95" s="1"/>
  <c r="H142" i="95"/>
  <c r="I141" i="95"/>
  <c r="H174" i="112"/>
  <c r="D176" i="113" s="1"/>
  <c r="K75" i="112"/>
  <c r="I76" i="112" s="1"/>
  <c r="C78" i="113" s="1"/>
  <c r="H78" i="113" s="1"/>
  <c r="B78" i="113" s="1"/>
  <c r="J77" i="113"/>
  <c r="J131" i="91" l="1"/>
  <c r="E136" i="91"/>
  <c r="H133" i="91"/>
  <c r="I132" i="91"/>
  <c r="J132" i="91" s="1"/>
  <c r="D144" i="93"/>
  <c r="E143" i="93"/>
  <c r="O126" i="78"/>
  <c r="R122" i="78"/>
  <c r="I125" i="78"/>
  <c r="L124" i="78"/>
  <c r="C127" i="78"/>
  <c r="K128" i="78"/>
  <c r="B129" i="78"/>
  <c r="P125" i="78"/>
  <c r="T125" i="78"/>
  <c r="N123" i="78"/>
  <c r="Q123" i="78"/>
  <c r="R123" i="78" s="1"/>
  <c r="S123" i="78"/>
  <c r="E190" i="88"/>
  <c r="M190" i="88" s="1"/>
  <c r="L135" i="95"/>
  <c r="M134" i="95"/>
  <c r="R122" i="110"/>
  <c r="G122" i="110"/>
  <c r="K122" i="110" s="1"/>
  <c r="P122" i="110" s="1"/>
  <c r="H123" i="110"/>
  <c r="I123" i="110" s="1"/>
  <c r="J123" i="110" s="1"/>
  <c r="L122" i="110"/>
  <c r="F123" i="110"/>
  <c r="V146" i="114"/>
  <c r="W146" i="114" s="1"/>
  <c r="X146" i="114"/>
  <c r="P122" i="77"/>
  <c r="E191" i="110"/>
  <c r="M191" i="110" s="1"/>
  <c r="N179" i="110"/>
  <c r="O178" i="110"/>
  <c r="I149" i="114"/>
  <c r="J148" i="114"/>
  <c r="Y148" i="114" s="1"/>
  <c r="K148" i="114"/>
  <c r="L147" i="114"/>
  <c r="M147" i="114" s="1"/>
  <c r="U147" i="114" s="1"/>
  <c r="P147" i="114"/>
  <c r="O123" i="77"/>
  <c r="S123" i="77"/>
  <c r="T122" i="77"/>
  <c r="G150" i="114"/>
  <c r="F151" i="114"/>
  <c r="N153" i="88"/>
  <c r="O152" i="88"/>
  <c r="I124" i="88"/>
  <c r="J123" i="88"/>
  <c r="K123" i="88" s="1"/>
  <c r="P123" i="88" s="1"/>
  <c r="F125" i="88"/>
  <c r="G124" i="88"/>
  <c r="H125" i="88"/>
  <c r="S125" i="88" s="1"/>
  <c r="L123" i="88"/>
  <c r="R123" i="88"/>
  <c r="L127" i="77"/>
  <c r="C128" i="77"/>
  <c r="K124" i="77"/>
  <c r="N124" i="77" s="1"/>
  <c r="H125" i="77"/>
  <c r="G168" i="95"/>
  <c r="K167" i="95"/>
  <c r="J76" i="112"/>
  <c r="K76" i="112" s="1"/>
  <c r="I77" i="112" s="1"/>
  <c r="C79" i="113" s="1"/>
  <c r="H79" i="113" s="1"/>
  <c r="B79" i="113" s="1"/>
  <c r="I78" i="113"/>
  <c r="H143" i="95"/>
  <c r="I142" i="95"/>
  <c r="L142" i="111"/>
  <c r="E143" i="111"/>
  <c r="F86" i="113"/>
  <c r="G86" i="113" s="1"/>
  <c r="E128" i="95"/>
  <c r="O128" i="95" s="1"/>
  <c r="F127" i="95"/>
  <c r="J127" i="95" s="1"/>
  <c r="N127" i="95" s="1"/>
  <c r="M77" i="113"/>
  <c r="P77" i="113"/>
  <c r="H175" i="112"/>
  <c r="D177" i="113" s="1"/>
  <c r="E137" i="91" l="1"/>
  <c r="H134" i="91"/>
  <c r="I133" i="91"/>
  <c r="D145" i="93"/>
  <c r="E144" i="93"/>
  <c r="O127" i="78"/>
  <c r="T126" i="78"/>
  <c r="I126" i="78"/>
  <c r="L125" i="78"/>
  <c r="P126" i="78"/>
  <c r="K129" i="78"/>
  <c r="B130" i="78"/>
  <c r="N124" i="78"/>
  <c r="Q124" i="78"/>
  <c r="S124" i="78"/>
  <c r="C128" i="78"/>
  <c r="E191" i="88"/>
  <c r="M191" i="88" s="1"/>
  <c r="O124" i="77"/>
  <c r="O125" i="77" s="1"/>
  <c r="O126" i="77" s="1"/>
  <c r="P123" i="77"/>
  <c r="M135" i="95"/>
  <c r="L136" i="95"/>
  <c r="R123" i="110"/>
  <c r="G123" i="110"/>
  <c r="K123" i="110" s="1"/>
  <c r="P123" i="110" s="1"/>
  <c r="L123" i="110"/>
  <c r="F124" i="110"/>
  <c r="H124" i="110"/>
  <c r="I124" i="110" s="1"/>
  <c r="J124" i="110" s="1"/>
  <c r="V147" i="114"/>
  <c r="W147" i="114" s="1"/>
  <c r="X147" i="114"/>
  <c r="Q123" i="77"/>
  <c r="N180" i="110"/>
  <c r="O179" i="110"/>
  <c r="E192" i="110"/>
  <c r="M192" i="110" s="1"/>
  <c r="P148" i="114"/>
  <c r="L148" i="114"/>
  <c r="M148" i="114" s="1"/>
  <c r="U148" i="114" s="1"/>
  <c r="I150" i="114"/>
  <c r="J149" i="114"/>
  <c r="Y149" i="114" s="1"/>
  <c r="K149" i="114"/>
  <c r="S124" i="77"/>
  <c r="T123" i="77"/>
  <c r="G151" i="114"/>
  <c r="F152" i="114"/>
  <c r="N154" i="88"/>
  <c r="O153" i="88"/>
  <c r="F126" i="88"/>
  <c r="H126" i="88"/>
  <c r="S126" i="88" s="1"/>
  <c r="G125" i="88"/>
  <c r="L124" i="88"/>
  <c r="I125" i="88"/>
  <c r="J124" i="88"/>
  <c r="K124" i="88" s="1"/>
  <c r="P124" i="88" s="1"/>
  <c r="R124" i="88"/>
  <c r="L128" i="77"/>
  <c r="C129" i="77"/>
  <c r="H126" i="77"/>
  <c r="K125" i="77"/>
  <c r="N125" i="77" s="1"/>
  <c r="G169" i="95"/>
  <c r="K168" i="95"/>
  <c r="E129" i="95"/>
  <c r="O129" i="95" s="1"/>
  <c r="F128" i="95"/>
  <c r="J128" i="95" s="1"/>
  <c r="N128" i="95" s="1"/>
  <c r="H176" i="112"/>
  <c r="D178" i="113" s="1"/>
  <c r="H144" i="95"/>
  <c r="I143" i="95"/>
  <c r="J77" i="112"/>
  <c r="L78" i="113"/>
  <c r="O78" i="113" s="1"/>
  <c r="Q77" i="113"/>
  <c r="F87" i="113"/>
  <c r="G87" i="113" s="1"/>
  <c r="L143" i="111"/>
  <c r="E144" i="111"/>
  <c r="J78" i="113"/>
  <c r="J133" i="91" l="1"/>
  <c r="H135" i="91"/>
  <c r="I134" i="91"/>
  <c r="J134" i="91" s="1"/>
  <c r="E138" i="91"/>
  <c r="D146" i="93"/>
  <c r="E145" i="93"/>
  <c r="O128" i="78"/>
  <c r="T127" i="78"/>
  <c r="O127" i="77"/>
  <c r="P127" i="78"/>
  <c r="C129" i="78"/>
  <c r="K130" i="78"/>
  <c r="B131" i="78"/>
  <c r="N125" i="78"/>
  <c r="Q125" i="78"/>
  <c r="S125" i="78"/>
  <c r="I127" i="78"/>
  <c r="L126" i="78"/>
  <c r="E192" i="88"/>
  <c r="M192" i="88" s="1"/>
  <c r="R123" i="77"/>
  <c r="L137" i="95"/>
  <c r="M136" i="95"/>
  <c r="L124" i="110"/>
  <c r="G124" i="110"/>
  <c r="K124" i="110" s="1"/>
  <c r="P124" i="110" s="1"/>
  <c r="R124" i="110"/>
  <c r="F125" i="110"/>
  <c r="H125" i="110"/>
  <c r="I125" i="110" s="1"/>
  <c r="J125" i="110" s="1"/>
  <c r="V148" i="114"/>
  <c r="W148" i="114" s="1"/>
  <c r="X148" i="114"/>
  <c r="Q124" i="77"/>
  <c r="R124" i="77" s="1"/>
  <c r="P124" i="77"/>
  <c r="E193" i="110"/>
  <c r="M193" i="110" s="1"/>
  <c r="N181" i="110"/>
  <c r="O180" i="110"/>
  <c r="I151" i="114"/>
  <c r="K150" i="114"/>
  <c r="J150" i="114"/>
  <c r="Y150" i="114" s="1"/>
  <c r="P149" i="114"/>
  <c r="L149" i="114"/>
  <c r="M149" i="114" s="1"/>
  <c r="U149" i="114" s="1"/>
  <c r="Q125" i="77"/>
  <c r="S125" i="77"/>
  <c r="T124" i="77"/>
  <c r="G152" i="114"/>
  <c r="F153" i="114"/>
  <c r="N155" i="88"/>
  <c r="O154" i="88"/>
  <c r="J125" i="88"/>
  <c r="K125" i="88" s="1"/>
  <c r="P125" i="88" s="1"/>
  <c r="I126" i="88"/>
  <c r="L126" i="88" s="1"/>
  <c r="R125" i="88"/>
  <c r="L125" i="88"/>
  <c r="F127" i="88"/>
  <c r="G126" i="88"/>
  <c r="H127" i="88"/>
  <c r="S127" i="88" s="1"/>
  <c r="L129" i="77"/>
  <c r="C130" i="77"/>
  <c r="H127" i="77"/>
  <c r="K126" i="77"/>
  <c r="N126" i="77" s="1"/>
  <c r="G170" i="95"/>
  <c r="K169" i="95"/>
  <c r="F88" i="113"/>
  <c r="P78" i="113"/>
  <c r="I79" i="113"/>
  <c r="J79" i="113" s="1"/>
  <c r="H177" i="112"/>
  <c r="D179" i="113" s="1"/>
  <c r="E130" i="95"/>
  <c r="O130" i="95" s="1"/>
  <c r="F129" i="95"/>
  <c r="J129" i="95" s="1"/>
  <c r="N129" i="95" s="1"/>
  <c r="L144" i="111"/>
  <c r="E145" i="111"/>
  <c r="K77" i="112"/>
  <c r="I78" i="112" s="1"/>
  <c r="C80" i="113" s="1"/>
  <c r="H80" i="113" s="1"/>
  <c r="B80" i="113" s="1"/>
  <c r="H145" i="95"/>
  <c r="I144" i="95"/>
  <c r="M78" i="113"/>
  <c r="H136" i="91" l="1"/>
  <c r="I135" i="91"/>
  <c r="J135" i="91" s="1"/>
  <c r="E139" i="91"/>
  <c r="D147" i="93"/>
  <c r="E146" i="93"/>
  <c r="S126" i="78"/>
  <c r="O129" i="78"/>
  <c r="T128" i="78"/>
  <c r="R125" i="78"/>
  <c r="O128" i="77"/>
  <c r="N126" i="78"/>
  <c r="Q126" i="78"/>
  <c r="C130" i="78"/>
  <c r="I128" i="78"/>
  <c r="L127" i="78"/>
  <c r="K131" i="78"/>
  <c r="B132" i="78"/>
  <c r="P128" i="78"/>
  <c r="E193" i="88"/>
  <c r="M193" i="88" s="1"/>
  <c r="L138" i="95"/>
  <c r="M137" i="95"/>
  <c r="R125" i="77"/>
  <c r="G125" i="110"/>
  <c r="K125" i="110" s="1"/>
  <c r="P125" i="110" s="1"/>
  <c r="R125" i="110"/>
  <c r="L125" i="110"/>
  <c r="H126" i="110"/>
  <c r="I126" i="110" s="1"/>
  <c r="J126" i="110" s="1"/>
  <c r="F126" i="110"/>
  <c r="V149" i="114"/>
  <c r="W149" i="114" s="1"/>
  <c r="X149" i="114"/>
  <c r="P125" i="77"/>
  <c r="R126" i="88"/>
  <c r="E194" i="110"/>
  <c r="M194" i="110" s="1"/>
  <c r="N182" i="110"/>
  <c r="O181" i="110"/>
  <c r="L150" i="114"/>
  <c r="M150" i="114" s="1"/>
  <c r="U150" i="114" s="1"/>
  <c r="P150" i="114"/>
  <c r="K151" i="114"/>
  <c r="I152" i="114"/>
  <c r="J151" i="114"/>
  <c r="Y151" i="114" s="1"/>
  <c r="T126" i="77"/>
  <c r="S126" i="77"/>
  <c r="T125" i="77"/>
  <c r="G153" i="114"/>
  <c r="F154" i="114"/>
  <c r="N156" i="88"/>
  <c r="O155" i="88"/>
  <c r="F128" i="88"/>
  <c r="F129" i="88" s="1"/>
  <c r="G127" i="88"/>
  <c r="H128" i="88"/>
  <c r="J126" i="88"/>
  <c r="K126" i="88" s="1"/>
  <c r="P126" i="88" s="1"/>
  <c r="I127" i="88"/>
  <c r="C131" i="77"/>
  <c r="L130" i="77"/>
  <c r="H128" i="77"/>
  <c r="K127" i="77"/>
  <c r="N127" i="77" s="1"/>
  <c r="G171" i="95"/>
  <c r="K170" i="95"/>
  <c r="J78" i="112"/>
  <c r="K78" i="112" s="1"/>
  <c r="I79" i="112" s="1"/>
  <c r="E146" i="111"/>
  <c r="L145" i="111"/>
  <c r="I80" i="113"/>
  <c r="J80" i="113" s="1"/>
  <c r="Q78" i="113"/>
  <c r="H146" i="95"/>
  <c r="I145" i="95"/>
  <c r="H178" i="112"/>
  <c r="D180" i="113" s="1"/>
  <c r="E131" i="95"/>
  <c r="O131" i="95" s="1"/>
  <c r="F130" i="95"/>
  <c r="J130" i="95" s="1"/>
  <c r="N130" i="95" s="1"/>
  <c r="L79" i="113"/>
  <c r="O79" i="113" s="1"/>
  <c r="G88" i="113"/>
  <c r="E140" i="91" l="1"/>
  <c r="H137" i="91"/>
  <c r="I136" i="91"/>
  <c r="J136" i="91" s="1"/>
  <c r="D148" i="93"/>
  <c r="E147" i="93"/>
  <c r="S127" i="78"/>
  <c r="O130" i="78"/>
  <c r="T129" i="78"/>
  <c r="R126" i="78"/>
  <c r="O129" i="77"/>
  <c r="C131" i="78"/>
  <c r="K132" i="78"/>
  <c r="B133" i="78"/>
  <c r="P129" i="78"/>
  <c r="N127" i="78"/>
  <c r="Q127" i="78"/>
  <c r="I129" i="78"/>
  <c r="L128" i="78"/>
  <c r="E194" i="88"/>
  <c r="M194" i="88" s="1"/>
  <c r="P126" i="77"/>
  <c r="L139" i="95"/>
  <c r="M138" i="95"/>
  <c r="F127" i="110"/>
  <c r="G126" i="110"/>
  <c r="K126" i="110" s="1"/>
  <c r="P126" i="110" s="1"/>
  <c r="H127" i="110"/>
  <c r="I127" i="110" s="1"/>
  <c r="J127" i="110" s="1"/>
  <c r="R126" i="110"/>
  <c r="L126" i="110"/>
  <c r="Q126" i="77"/>
  <c r="X150" i="114"/>
  <c r="V150" i="114"/>
  <c r="W150" i="114" s="1"/>
  <c r="E195" i="110"/>
  <c r="M195" i="110" s="1"/>
  <c r="N183" i="110"/>
  <c r="O182" i="110"/>
  <c r="K152" i="114"/>
  <c r="I153" i="114"/>
  <c r="J152" i="114"/>
  <c r="Y152" i="114" s="1"/>
  <c r="P151" i="114"/>
  <c r="L151" i="114"/>
  <c r="M151" i="114" s="1"/>
  <c r="U151" i="114" s="1"/>
  <c r="T127" i="77"/>
  <c r="S127" i="77"/>
  <c r="G154" i="114"/>
  <c r="F155" i="114"/>
  <c r="S128" i="88"/>
  <c r="N157" i="88"/>
  <c r="O156" i="88"/>
  <c r="J127" i="88"/>
  <c r="K127" i="88" s="1"/>
  <c r="P127" i="88" s="1"/>
  <c r="I128" i="88"/>
  <c r="L128" i="88" s="1"/>
  <c r="R127" i="88"/>
  <c r="H129" i="88"/>
  <c r="S129" i="88" s="1"/>
  <c r="G128" i="88"/>
  <c r="L127" i="88"/>
  <c r="L131" i="77"/>
  <c r="C132" i="77"/>
  <c r="H129" i="77"/>
  <c r="K128" i="77"/>
  <c r="N128" i="77" s="1"/>
  <c r="G172" i="95"/>
  <c r="K171" i="95"/>
  <c r="C81" i="113"/>
  <c r="H81" i="113" s="1"/>
  <c r="B81" i="113" s="1"/>
  <c r="J79" i="112"/>
  <c r="K79" i="112" s="1"/>
  <c r="I80" i="112" s="1"/>
  <c r="C82" i="113" s="1"/>
  <c r="H82" i="113" s="1"/>
  <c r="B82" i="113" s="1"/>
  <c r="F89" i="113"/>
  <c r="G89" i="113" s="1"/>
  <c r="E147" i="111"/>
  <c r="L146" i="111"/>
  <c r="E132" i="95"/>
  <c r="O132" i="95" s="1"/>
  <c r="F131" i="95"/>
  <c r="J131" i="95" s="1"/>
  <c r="N131" i="95" s="1"/>
  <c r="H147" i="95"/>
  <c r="I146" i="95"/>
  <c r="M79" i="113"/>
  <c r="P79" i="113"/>
  <c r="L80" i="113"/>
  <c r="O80" i="113" s="1"/>
  <c r="H179" i="112"/>
  <c r="D181" i="113" s="1"/>
  <c r="H138" i="91" l="1"/>
  <c r="I137" i="91"/>
  <c r="J137" i="91" s="1"/>
  <c r="E141" i="91"/>
  <c r="D149" i="93"/>
  <c r="E148" i="93"/>
  <c r="R128" i="88"/>
  <c r="O131" i="78"/>
  <c r="T130" i="78"/>
  <c r="S128" i="78"/>
  <c r="R127" i="78"/>
  <c r="O130" i="77"/>
  <c r="R126" i="77"/>
  <c r="K133" i="78"/>
  <c r="B134" i="78"/>
  <c r="N128" i="78"/>
  <c r="Q128" i="78"/>
  <c r="P130" i="78"/>
  <c r="I130" i="78"/>
  <c r="L129" i="78"/>
  <c r="C132" i="78"/>
  <c r="E195" i="88"/>
  <c r="M195" i="88" s="1"/>
  <c r="L140" i="95"/>
  <c r="M139" i="95"/>
  <c r="Q127" i="77"/>
  <c r="R127" i="110"/>
  <c r="F128" i="110"/>
  <c r="H128" i="110"/>
  <c r="I128" i="110" s="1"/>
  <c r="J128" i="110" s="1"/>
  <c r="L127" i="110"/>
  <c r="G127" i="110"/>
  <c r="K127" i="110" s="1"/>
  <c r="P127" i="110" s="1"/>
  <c r="P127" i="77"/>
  <c r="V151" i="114"/>
  <c r="W151" i="114" s="1"/>
  <c r="X151" i="114"/>
  <c r="N184" i="110"/>
  <c r="O183" i="110"/>
  <c r="E196" i="110"/>
  <c r="M196" i="110" s="1"/>
  <c r="J153" i="114"/>
  <c r="Y153" i="114" s="1"/>
  <c r="K153" i="114"/>
  <c r="I154" i="114"/>
  <c r="L152" i="114"/>
  <c r="M152" i="114" s="1"/>
  <c r="U152" i="114" s="1"/>
  <c r="P152" i="114"/>
  <c r="T128" i="77"/>
  <c r="S128" i="77"/>
  <c r="I81" i="113"/>
  <c r="J81" i="113" s="1"/>
  <c r="I82" i="113" s="1"/>
  <c r="J82" i="113" s="1"/>
  <c r="F156" i="114"/>
  <c r="G155" i="114"/>
  <c r="N158" i="88"/>
  <c r="O157" i="88"/>
  <c r="F130" i="88"/>
  <c r="H130" i="88"/>
  <c r="S130" i="88" s="1"/>
  <c r="G129" i="88"/>
  <c r="I129" i="88"/>
  <c r="R129" i="88" s="1"/>
  <c r="J128" i="88"/>
  <c r="K128" i="88" s="1"/>
  <c r="P128" i="88" s="1"/>
  <c r="C133" i="77"/>
  <c r="L133" i="77" s="1"/>
  <c r="L132" i="77"/>
  <c r="P128" i="77"/>
  <c r="H130" i="77"/>
  <c r="K129" i="77"/>
  <c r="N129" i="77" s="1"/>
  <c r="K172" i="95"/>
  <c r="G173" i="95"/>
  <c r="M80" i="113"/>
  <c r="J80" i="112"/>
  <c r="K80" i="112" s="1"/>
  <c r="I81" i="112" s="1"/>
  <c r="C83" i="113" s="1"/>
  <c r="H83" i="113" s="1"/>
  <c r="B83" i="113" s="1"/>
  <c r="E133" i="95"/>
  <c r="O133" i="95" s="1"/>
  <c r="F132" i="95"/>
  <c r="J132" i="95" s="1"/>
  <c r="N132" i="95" s="1"/>
  <c r="L147" i="111"/>
  <c r="E148" i="111"/>
  <c r="F90" i="113"/>
  <c r="G90" i="113" s="1"/>
  <c r="P80" i="113"/>
  <c r="Q79" i="113"/>
  <c r="H148" i="95"/>
  <c r="I147" i="95"/>
  <c r="H180" i="112"/>
  <c r="D182" i="113" s="1"/>
  <c r="E142" i="91" l="1"/>
  <c r="H139" i="91"/>
  <c r="I138" i="91"/>
  <c r="J138" i="91" s="1"/>
  <c r="D150" i="93"/>
  <c r="E149" i="93"/>
  <c r="S129" i="78"/>
  <c r="O132" i="78"/>
  <c r="T131" i="78"/>
  <c r="R128" i="78"/>
  <c r="O131" i="77"/>
  <c r="I131" i="78"/>
  <c r="L130" i="78"/>
  <c r="N129" i="78"/>
  <c r="Q129" i="78"/>
  <c r="P131" i="78"/>
  <c r="K134" i="78"/>
  <c r="B135" i="78"/>
  <c r="C133" i="78"/>
  <c r="E196" i="88"/>
  <c r="M196" i="88" s="1"/>
  <c r="R127" i="77"/>
  <c r="M140" i="95"/>
  <c r="L141" i="95"/>
  <c r="L128" i="110"/>
  <c r="R128" i="110"/>
  <c r="F129" i="110"/>
  <c r="G128" i="110"/>
  <c r="K128" i="110" s="1"/>
  <c r="P128" i="110" s="1"/>
  <c r="H129" i="110"/>
  <c r="I129" i="110" s="1"/>
  <c r="J129" i="110" s="1"/>
  <c r="X152" i="114"/>
  <c r="V152" i="114"/>
  <c r="W152" i="114" s="1"/>
  <c r="E197" i="110"/>
  <c r="M197" i="110" s="1"/>
  <c r="N185" i="110"/>
  <c r="O184" i="110"/>
  <c r="I155" i="114"/>
  <c r="J154" i="114"/>
  <c r="Y154" i="114" s="1"/>
  <c r="K154" i="114"/>
  <c r="L153" i="114"/>
  <c r="M153" i="114" s="1"/>
  <c r="U153" i="114" s="1"/>
  <c r="P153" i="114"/>
  <c r="Q128" i="77"/>
  <c r="T129" i="77"/>
  <c r="S129" i="77"/>
  <c r="L81" i="113"/>
  <c r="O81" i="113" s="1"/>
  <c r="J81" i="112"/>
  <c r="K81" i="112" s="1"/>
  <c r="I82" i="112" s="1"/>
  <c r="C84" i="113" s="1"/>
  <c r="H84" i="113" s="1"/>
  <c r="B84" i="113" s="1"/>
  <c r="F157" i="114"/>
  <c r="G156" i="114"/>
  <c r="N159" i="88"/>
  <c r="O158" i="88"/>
  <c r="F131" i="88"/>
  <c r="H131" i="88"/>
  <c r="S131" i="88" s="1"/>
  <c r="G130" i="88"/>
  <c r="I130" i="88"/>
  <c r="J129" i="88"/>
  <c r="K129" i="88" s="1"/>
  <c r="P129" i="88" s="1"/>
  <c r="L129" i="88"/>
  <c r="C134" i="77"/>
  <c r="L134" i="77" s="1"/>
  <c r="K130" i="77"/>
  <c r="N130" i="77" s="1"/>
  <c r="H131" i="77"/>
  <c r="G174" i="95"/>
  <c r="K173" i="95"/>
  <c r="F91" i="113"/>
  <c r="I83" i="113"/>
  <c r="L148" i="111"/>
  <c r="E149" i="111"/>
  <c r="H149" i="95"/>
  <c r="I148" i="95"/>
  <c r="H181" i="112"/>
  <c r="D183" i="113" s="1"/>
  <c r="E134" i="95"/>
  <c r="O134" i="95" s="1"/>
  <c r="F133" i="95"/>
  <c r="J133" i="95" s="1"/>
  <c r="Q80" i="113"/>
  <c r="L82" i="113"/>
  <c r="H140" i="91" l="1"/>
  <c r="I139" i="91"/>
  <c r="J139" i="91" s="1"/>
  <c r="E143" i="91"/>
  <c r="D151" i="93"/>
  <c r="E150" i="93"/>
  <c r="O133" i="78"/>
  <c r="T132" i="78"/>
  <c r="K135" i="78"/>
  <c r="B136" i="78"/>
  <c r="S130" i="78"/>
  <c r="R129" i="78"/>
  <c r="O132" i="77"/>
  <c r="P132" i="78"/>
  <c r="N130" i="78"/>
  <c r="Q130" i="78"/>
  <c r="C134" i="78"/>
  <c r="I132" i="78"/>
  <c r="L131" i="78"/>
  <c r="E197" i="88"/>
  <c r="M197" i="88" s="1"/>
  <c r="N133" i="95"/>
  <c r="R128" i="77"/>
  <c r="L142" i="95"/>
  <c r="M141" i="95"/>
  <c r="Q129" i="77"/>
  <c r="P129" i="77"/>
  <c r="R129" i="110"/>
  <c r="G129" i="110"/>
  <c r="K129" i="110" s="1"/>
  <c r="P129" i="110" s="1"/>
  <c r="H130" i="110"/>
  <c r="I130" i="110" s="1"/>
  <c r="J130" i="110" s="1"/>
  <c r="L129" i="110"/>
  <c r="F130" i="110"/>
  <c r="V153" i="114"/>
  <c r="W153" i="114" s="1"/>
  <c r="N186" i="110"/>
  <c r="O185" i="110"/>
  <c r="E198" i="110"/>
  <c r="M198" i="110" s="1"/>
  <c r="X153" i="114"/>
  <c r="P154" i="114"/>
  <c r="L154" i="114"/>
  <c r="M154" i="114" s="1"/>
  <c r="U154" i="114" s="1"/>
  <c r="I156" i="114"/>
  <c r="J155" i="114"/>
  <c r="Y155" i="114" s="1"/>
  <c r="K155" i="114"/>
  <c r="P81" i="113"/>
  <c r="Q81" i="113" s="1"/>
  <c r="T130" i="77"/>
  <c r="S130" i="77"/>
  <c r="M81" i="113"/>
  <c r="M82" i="113" s="1"/>
  <c r="G157" i="114"/>
  <c r="F158" i="114"/>
  <c r="N160" i="88"/>
  <c r="O159" i="88"/>
  <c r="J130" i="88"/>
  <c r="K130" i="88" s="1"/>
  <c r="P130" i="88" s="1"/>
  <c r="I131" i="88"/>
  <c r="L131" i="88" s="1"/>
  <c r="G131" i="88"/>
  <c r="F132" i="88"/>
  <c r="H132" i="88"/>
  <c r="S132" i="88" s="1"/>
  <c r="R130" i="88"/>
  <c r="L130" i="88"/>
  <c r="C135" i="77"/>
  <c r="K131" i="77"/>
  <c r="N131" i="77" s="1"/>
  <c r="H132" i="77"/>
  <c r="G175" i="95"/>
  <c r="K174" i="95"/>
  <c r="J82" i="112"/>
  <c r="K82" i="112" s="1"/>
  <c r="I83" i="112" s="1"/>
  <c r="C85" i="113" s="1"/>
  <c r="H85" i="113" s="1"/>
  <c r="B85" i="113" s="1"/>
  <c r="H150" i="95"/>
  <c r="I149" i="95"/>
  <c r="E150" i="111"/>
  <c r="L149" i="111"/>
  <c r="L83" i="113"/>
  <c r="O82" i="113"/>
  <c r="E135" i="95"/>
  <c r="O135" i="95" s="1"/>
  <c r="F134" i="95"/>
  <c r="J134" i="95" s="1"/>
  <c r="N134" i="95" s="1"/>
  <c r="H182" i="112"/>
  <c r="D184" i="113" s="1"/>
  <c r="J83" i="113"/>
  <c r="G91" i="113"/>
  <c r="E144" i="91" l="1"/>
  <c r="H141" i="91"/>
  <c r="I140" i="91"/>
  <c r="J140" i="91" s="1"/>
  <c r="D152" i="93"/>
  <c r="E151" i="93"/>
  <c r="S131" i="78"/>
  <c r="B137" i="78"/>
  <c r="K136" i="78"/>
  <c r="O134" i="78"/>
  <c r="T133" i="78"/>
  <c r="R130" i="78"/>
  <c r="O133" i="77"/>
  <c r="N131" i="78"/>
  <c r="Q131" i="78"/>
  <c r="I133" i="78"/>
  <c r="L132" i="78"/>
  <c r="P133" i="78"/>
  <c r="C135" i="78"/>
  <c r="C136" i="78" s="1"/>
  <c r="C137" i="78" s="1"/>
  <c r="E198" i="88"/>
  <c r="M198" i="88" s="1"/>
  <c r="R129" i="77"/>
  <c r="M142" i="95"/>
  <c r="L143" i="95"/>
  <c r="R130" i="110"/>
  <c r="L130" i="110"/>
  <c r="G130" i="110"/>
  <c r="K130" i="110" s="1"/>
  <c r="P130" i="110" s="1"/>
  <c r="F131" i="110"/>
  <c r="H131" i="110"/>
  <c r="I131" i="110" s="1"/>
  <c r="J131" i="110" s="1"/>
  <c r="X154" i="114"/>
  <c r="V154" i="114"/>
  <c r="W154" i="114" s="1"/>
  <c r="P130" i="77"/>
  <c r="Q130" i="77"/>
  <c r="E199" i="110"/>
  <c r="M199" i="110" s="1"/>
  <c r="N187" i="110"/>
  <c r="O186" i="110"/>
  <c r="I157" i="114"/>
  <c r="J156" i="114"/>
  <c r="Y156" i="114" s="1"/>
  <c r="K156" i="114"/>
  <c r="L155" i="114"/>
  <c r="M155" i="114" s="1"/>
  <c r="U155" i="114" s="1"/>
  <c r="P155" i="114"/>
  <c r="T131" i="77"/>
  <c r="S131" i="77"/>
  <c r="R131" i="88"/>
  <c r="F159" i="114"/>
  <c r="G158" i="114"/>
  <c r="N161" i="88"/>
  <c r="O160" i="88"/>
  <c r="H133" i="88"/>
  <c r="S133" i="88" s="1"/>
  <c r="F133" i="88"/>
  <c r="G132" i="88"/>
  <c r="J131" i="88"/>
  <c r="K131" i="88" s="1"/>
  <c r="P131" i="88" s="1"/>
  <c r="I132" i="88"/>
  <c r="L132" i="88" s="1"/>
  <c r="L135" i="77"/>
  <c r="C136" i="77"/>
  <c r="K132" i="77"/>
  <c r="N132" i="77" s="1"/>
  <c r="H133" i="77"/>
  <c r="K175" i="95"/>
  <c r="G176" i="95"/>
  <c r="M83" i="113"/>
  <c r="E136" i="95"/>
  <c r="O136" i="95" s="1"/>
  <c r="F135" i="95"/>
  <c r="J135" i="95" s="1"/>
  <c r="N135" i="95" s="1"/>
  <c r="L150" i="111"/>
  <c r="E151" i="111"/>
  <c r="F92" i="113"/>
  <c r="G92" i="113" s="1"/>
  <c r="I84" i="113"/>
  <c r="J84" i="113" s="1"/>
  <c r="P82" i="113"/>
  <c r="O83" i="113"/>
  <c r="H183" i="112"/>
  <c r="D185" i="113" s="1"/>
  <c r="J83" i="112"/>
  <c r="H151" i="95"/>
  <c r="I150" i="95"/>
  <c r="E145" i="91" l="1"/>
  <c r="H142" i="91"/>
  <c r="I141" i="91"/>
  <c r="J141" i="91" s="1"/>
  <c r="D153" i="93"/>
  <c r="E152" i="93"/>
  <c r="C138" i="78"/>
  <c r="K137" i="78"/>
  <c r="B138" i="78"/>
  <c r="S132" i="78"/>
  <c r="O135" i="78"/>
  <c r="T134" i="78"/>
  <c r="R131" i="78"/>
  <c r="R130" i="77"/>
  <c r="O134" i="77"/>
  <c r="P133" i="77"/>
  <c r="Q133" i="77"/>
  <c r="N132" i="78"/>
  <c r="Q132" i="78"/>
  <c r="I134" i="78"/>
  <c r="L133" i="78"/>
  <c r="P134" i="78"/>
  <c r="E199" i="88"/>
  <c r="M199" i="88" s="1"/>
  <c r="P131" i="77"/>
  <c r="M143" i="95"/>
  <c r="L144" i="95"/>
  <c r="R131" i="110"/>
  <c r="G131" i="110"/>
  <c r="K131" i="110" s="1"/>
  <c r="P131" i="110" s="1"/>
  <c r="F132" i="110"/>
  <c r="H132" i="110"/>
  <c r="I132" i="110" s="1"/>
  <c r="J132" i="110" s="1"/>
  <c r="L131" i="110"/>
  <c r="V155" i="114"/>
  <c r="W155" i="114" s="1"/>
  <c r="X155" i="114"/>
  <c r="Q131" i="77"/>
  <c r="N188" i="110"/>
  <c r="O187" i="110"/>
  <c r="E200" i="110"/>
  <c r="M200" i="110" s="1"/>
  <c r="P156" i="114"/>
  <c r="L156" i="114"/>
  <c r="M156" i="114" s="1"/>
  <c r="U156" i="114" s="1"/>
  <c r="K157" i="114"/>
  <c r="J157" i="114"/>
  <c r="Y157" i="114" s="1"/>
  <c r="I158" i="114"/>
  <c r="T132" i="77"/>
  <c r="S132" i="77"/>
  <c r="F160" i="114"/>
  <c r="G159" i="114"/>
  <c r="N162" i="88"/>
  <c r="O161" i="88"/>
  <c r="R132" i="88"/>
  <c r="F134" i="88"/>
  <c r="G133" i="88"/>
  <c r="H134" i="88"/>
  <c r="S134" i="88" s="1"/>
  <c r="I133" i="88"/>
  <c r="L133" i="88" s="1"/>
  <c r="J132" i="88"/>
  <c r="K132" i="88" s="1"/>
  <c r="P132" i="88" s="1"/>
  <c r="C137" i="77"/>
  <c r="L136" i="77"/>
  <c r="K133" i="77"/>
  <c r="N133" i="77" s="1"/>
  <c r="H134" i="77"/>
  <c r="K176" i="95"/>
  <c r="G177" i="95"/>
  <c r="F93" i="113"/>
  <c r="G93" i="113" s="1"/>
  <c r="H152" i="95"/>
  <c r="I151" i="95"/>
  <c r="Q82" i="113"/>
  <c r="P83" i="113"/>
  <c r="L84" i="113"/>
  <c r="O84" i="113" s="1"/>
  <c r="H184" i="112"/>
  <c r="D186" i="113" s="1"/>
  <c r="K83" i="112"/>
  <c r="I84" i="112" s="1"/>
  <c r="C86" i="113" s="1"/>
  <c r="H86" i="113" s="1"/>
  <c r="B86" i="113" s="1"/>
  <c r="I85" i="113"/>
  <c r="J85" i="113" s="1"/>
  <c r="E152" i="111"/>
  <c r="L151" i="111"/>
  <c r="E137" i="95"/>
  <c r="O137" i="95" s="1"/>
  <c r="F136" i="95"/>
  <c r="J136" i="95" s="1"/>
  <c r="N136" i="95" s="1"/>
  <c r="H143" i="91" l="1"/>
  <c r="I142" i="91"/>
  <c r="J142" i="91" s="1"/>
  <c r="D154" i="93"/>
  <c r="E153" i="93"/>
  <c r="O136" i="78"/>
  <c r="T135" i="78"/>
  <c r="P135" i="78"/>
  <c r="K138" i="78"/>
  <c r="B139" i="78"/>
  <c r="S133" i="78"/>
  <c r="C139" i="78"/>
  <c r="R132" i="78"/>
  <c r="R131" i="77"/>
  <c r="O135" i="77"/>
  <c r="P134" i="77"/>
  <c r="Q134" i="77"/>
  <c r="I135" i="78"/>
  <c r="L134" i="78"/>
  <c r="N133" i="78"/>
  <c r="Q133" i="78"/>
  <c r="E200" i="88"/>
  <c r="M200" i="88" s="1"/>
  <c r="L145" i="95"/>
  <c r="M144" i="95"/>
  <c r="G132" i="110"/>
  <c r="K132" i="110" s="1"/>
  <c r="P132" i="110" s="1"/>
  <c r="H133" i="110"/>
  <c r="I133" i="110" s="1"/>
  <c r="J133" i="110" s="1"/>
  <c r="R132" i="110"/>
  <c r="F133" i="110"/>
  <c r="L132" i="110"/>
  <c r="Q132" i="77"/>
  <c r="X156" i="114"/>
  <c r="V156" i="114"/>
  <c r="W156" i="114" s="1"/>
  <c r="P132" i="77"/>
  <c r="E201" i="110"/>
  <c r="M201" i="110" s="1"/>
  <c r="N189" i="110"/>
  <c r="O188" i="110"/>
  <c r="P157" i="114"/>
  <c r="L157" i="114"/>
  <c r="M157" i="114" s="1"/>
  <c r="U157" i="114" s="1"/>
  <c r="I159" i="114"/>
  <c r="J158" i="114"/>
  <c r="Y158" i="114" s="1"/>
  <c r="K158" i="114"/>
  <c r="T133" i="77"/>
  <c r="S133" i="77"/>
  <c r="F161" i="114"/>
  <c r="G160" i="114"/>
  <c r="N163" i="88"/>
  <c r="O162" i="88"/>
  <c r="I134" i="88"/>
  <c r="R134" i="88" s="1"/>
  <c r="J133" i="88"/>
  <c r="K133" i="88" s="1"/>
  <c r="P133" i="88" s="1"/>
  <c r="R133" i="88"/>
  <c r="G134" i="88"/>
  <c r="F135" i="88"/>
  <c r="H135" i="88"/>
  <c r="S135" i="88" s="1"/>
  <c r="L137" i="77"/>
  <c r="C138" i="77"/>
  <c r="H135" i="77"/>
  <c r="K134" i="77"/>
  <c r="N134" i="77" s="1"/>
  <c r="G178" i="95"/>
  <c r="K177" i="95"/>
  <c r="J84" i="112"/>
  <c r="K84" i="112" s="1"/>
  <c r="I85" i="112" s="1"/>
  <c r="C87" i="113" s="1"/>
  <c r="H87" i="113" s="1"/>
  <c r="B87" i="113" s="1"/>
  <c r="F94" i="113"/>
  <c r="E138" i="95"/>
  <c r="O138" i="95" s="1"/>
  <c r="F137" i="95"/>
  <c r="J137" i="95" s="1"/>
  <c r="N137" i="95" s="1"/>
  <c r="L152" i="111"/>
  <c r="E153" i="111"/>
  <c r="L85" i="113"/>
  <c r="M84" i="113"/>
  <c r="P84" i="113"/>
  <c r="Q83" i="113"/>
  <c r="H185" i="112"/>
  <c r="D187" i="113" s="1"/>
  <c r="I86" i="113"/>
  <c r="J86" i="113" s="1"/>
  <c r="H153" i="95"/>
  <c r="I152" i="95"/>
  <c r="H144" i="91" l="1"/>
  <c r="I143" i="91"/>
  <c r="J143" i="91" s="1"/>
  <c r="D155" i="93"/>
  <c r="E154" i="93"/>
  <c r="B140" i="78"/>
  <c r="K139" i="78"/>
  <c r="L135" i="78"/>
  <c r="N135" i="78" s="1"/>
  <c r="I136" i="78"/>
  <c r="S134" i="78"/>
  <c r="C140" i="78"/>
  <c r="O137" i="78"/>
  <c r="P136" i="78"/>
  <c r="T136" i="78"/>
  <c r="R133" i="78"/>
  <c r="O136" i="77"/>
  <c r="P135" i="77"/>
  <c r="T135" i="77"/>
  <c r="Q135" i="77"/>
  <c r="N134" i="78"/>
  <c r="Q134" i="78"/>
  <c r="E201" i="88"/>
  <c r="M201" i="88" s="1"/>
  <c r="R132" i="77"/>
  <c r="R135" i="77"/>
  <c r="R133" i="77"/>
  <c r="L146" i="95"/>
  <c r="M145" i="95"/>
  <c r="F134" i="110"/>
  <c r="R133" i="110"/>
  <c r="L133" i="110"/>
  <c r="H134" i="110"/>
  <c r="I134" i="110" s="1"/>
  <c r="J134" i="110" s="1"/>
  <c r="G133" i="110"/>
  <c r="K133" i="110" s="1"/>
  <c r="P133" i="110" s="1"/>
  <c r="X157" i="114"/>
  <c r="V157" i="114"/>
  <c r="W157" i="114" s="1"/>
  <c r="N190" i="110"/>
  <c r="O189" i="110"/>
  <c r="E202" i="110"/>
  <c r="M202" i="110" s="1"/>
  <c r="K159" i="114"/>
  <c r="I160" i="114"/>
  <c r="J159" i="114"/>
  <c r="Y159" i="114" s="1"/>
  <c r="P158" i="114"/>
  <c r="L158" i="114"/>
  <c r="M158" i="114" s="1"/>
  <c r="U158" i="114" s="1"/>
  <c r="T134" i="77"/>
  <c r="S134" i="77"/>
  <c r="G161" i="114"/>
  <c r="F162" i="114"/>
  <c r="M85" i="113"/>
  <c r="N164" i="88"/>
  <c r="O163" i="88"/>
  <c r="F136" i="88"/>
  <c r="G135" i="88"/>
  <c r="H136" i="88"/>
  <c r="S136" i="88" s="1"/>
  <c r="L134" i="88"/>
  <c r="J134" i="88"/>
  <c r="K134" i="88" s="1"/>
  <c r="P134" i="88" s="1"/>
  <c r="I135" i="88"/>
  <c r="L138" i="77"/>
  <c r="C139" i="77"/>
  <c r="K135" i="77"/>
  <c r="N135" i="77" s="1"/>
  <c r="H136" i="77"/>
  <c r="K178" i="95"/>
  <c r="G179" i="95"/>
  <c r="I87" i="113"/>
  <c r="H154" i="95"/>
  <c r="I153" i="95"/>
  <c r="J85" i="112"/>
  <c r="Q84" i="113"/>
  <c r="H186" i="112"/>
  <c r="D188" i="113" s="1"/>
  <c r="L86" i="113"/>
  <c r="O85" i="113"/>
  <c r="L153" i="111"/>
  <c r="E154" i="111"/>
  <c r="E139" i="95"/>
  <c r="O139" i="95" s="1"/>
  <c r="F138" i="95"/>
  <c r="J138" i="95" s="1"/>
  <c r="N138" i="95" s="1"/>
  <c r="G94" i="113"/>
  <c r="H145" i="91" l="1"/>
  <c r="I145" i="91" s="1"/>
  <c r="I144" i="91"/>
  <c r="J144" i="91" s="1"/>
  <c r="D156" i="93"/>
  <c r="E155" i="93"/>
  <c r="Q135" i="78"/>
  <c r="L136" i="78"/>
  <c r="I137" i="78"/>
  <c r="S135" i="78"/>
  <c r="C141" i="78"/>
  <c r="O138" i="78"/>
  <c r="P137" i="78"/>
  <c r="T137" i="78"/>
  <c r="K140" i="78"/>
  <c r="B141" i="78"/>
  <c r="R135" i="78"/>
  <c r="R134" i="78"/>
  <c r="O137" i="77"/>
  <c r="P136" i="77"/>
  <c r="Q136" i="77"/>
  <c r="S135" i="77"/>
  <c r="N165" i="88"/>
  <c r="E202" i="88"/>
  <c r="M202" i="88" s="1"/>
  <c r="L147" i="95"/>
  <c r="M146" i="95"/>
  <c r="H135" i="110"/>
  <c r="I135" i="110" s="1"/>
  <c r="J135" i="110" s="1"/>
  <c r="R134" i="110"/>
  <c r="G134" i="110"/>
  <c r="K134" i="110" s="1"/>
  <c r="P134" i="110" s="1"/>
  <c r="L134" i="110"/>
  <c r="F135" i="110"/>
  <c r="X158" i="114"/>
  <c r="V158" i="114"/>
  <c r="W158" i="114" s="1"/>
  <c r="E203" i="110"/>
  <c r="M203" i="110" s="1"/>
  <c r="N191" i="110"/>
  <c r="O190" i="110"/>
  <c r="I161" i="114"/>
  <c r="J160" i="114"/>
  <c r="Y160" i="114" s="1"/>
  <c r="K160" i="114"/>
  <c r="P159" i="114"/>
  <c r="L159" i="114"/>
  <c r="M159" i="114" s="1"/>
  <c r="U159" i="114" s="1"/>
  <c r="F163" i="114"/>
  <c r="G162" i="114"/>
  <c r="O164" i="88"/>
  <c r="H137" i="88"/>
  <c r="S137" i="88" s="1"/>
  <c r="G136" i="88"/>
  <c r="F137" i="88"/>
  <c r="I136" i="88"/>
  <c r="R136" i="88" s="1"/>
  <c r="J135" i="88"/>
  <c r="K135" i="88" s="1"/>
  <c r="P135" i="88" s="1"/>
  <c r="L135" i="88"/>
  <c r="R135" i="88"/>
  <c r="C140" i="77"/>
  <c r="L139" i="77"/>
  <c r="H137" i="77"/>
  <c r="K136" i="77"/>
  <c r="N136" i="77" s="1"/>
  <c r="G180" i="95"/>
  <c r="K179" i="95"/>
  <c r="H187" i="112"/>
  <c r="D189" i="113" s="1"/>
  <c r="P85" i="113"/>
  <c r="L87" i="113"/>
  <c r="O87" i="113" s="1"/>
  <c r="F95" i="113"/>
  <c r="G95" i="113" s="1"/>
  <c r="E140" i="95"/>
  <c r="O140" i="95" s="1"/>
  <c r="F139" i="95"/>
  <c r="J139" i="95" s="1"/>
  <c r="N139" i="95" s="1"/>
  <c r="L154" i="111"/>
  <c r="E155" i="111"/>
  <c r="O86" i="113"/>
  <c r="M86" i="113"/>
  <c r="K85" i="112"/>
  <c r="I86" i="112" s="1"/>
  <c r="C88" i="113" s="1"/>
  <c r="H88" i="113" s="1"/>
  <c r="B88" i="113" s="1"/>
  <c r="H155" i="95"/>
  <c r="I154" i="95"/>
  <c r="J87" i="113"/>
  <c r="J145" i="91" l="1"/>
  <c r="D31" i="162" s="1"/>
  <c r="D32" i="162" s="1"/>
  <c r="G19" i="159" s="1"/>
  <c r="D157" i="93"/>
  <c r="E156" i="93"/>
  <c r="B142" i="78"/>
  <c r="K141" i="78"/>
  <c r="O139" i="78"/>
  <c r="P138" i="78"/>
  <c r="T138" i="78"/>
  <c r="I138" i="78"/>
  <c r="L137" i="78"/>
  <c r="C142" i="78"/>
  <c r="N136" i="78"/>
  <c r="Q136" i="78"/>
  <c r="R136" i="78" s="1"/>
  <c r="S136" i="78"/>
  <c r="P137" i="77"/>
  <c r="O138" i="77"/>
  <c r="E203" i="88"/>
  <c r="M203" i="88" s="1"/>
  <c r="N166" i="88"/>
  <c r="O165" i="88"/>
  <c r="R134" i="77"/>
  <c r="M147" i="95"/>
  <c r="L148" i="95"/>
  <c r="F136" i="110"/>
  <c r="H136" i="110"/>
  <c r="I136" i="110" s="1"/>
  <c r="J136" i="110" s="1"/>
  <c r="R135" i="110"/>
  <c r="G135" i="110"/>
  <c r="K135" i="110" s="1"/>
  <c r="P135" i="110" s="1"/>
  <c r="L135" i="110"/>
  <c r="V159" i="114"/>
  <c r="W159" i="114" s="1"/>
  <c r="X159" i="114"/>
  <c r="N192" i="110"/>
  <c r="O191" i="110"/>
  <c r="E204" i="110"/>
  <c r="M204" i="110" s="1"/>
  <c r="P160" i="114"/>
  <c r="L160" i="114"/>
  <c r="M160" i="114" s="1"/>
  <c r="U160" i="114" s="1"/>
  <c r="J161" i="114"/>
  <c r="Y161" i="114" s="1"/>
  <c r="K161" i="114"/>
  <c r="I162" i="114"/>
  <c r="T136" i="77"/>
  <c r="S136" i="77"/>
  <c r="F164" i="114"/>
  <c r="G163" i="114"/>
  <c r="L136" i="88"/>
  <c r="J136" i="88"/>
  <c r="K136" i="88" s="1"/>
  <c r="P136" i="88" s="1"/>
  <c r="I137" i="88"/>
  <c r="F138" i="88"/>
  <c r="H138" i="88"/>
  <c r="S138" i="88" s="1"/>
  <c r="G137" i="88"/>
  <c r="L140" i="77"/>
  <c r="C141" i="77"/>
  <c r="H138" i="77"/>
  <c r="K137" i="77"/>
  <c r="N137" i="77" s="1"/>
  <c r="G181" i="95"/>
  <c r="K180" i="95"/>
  <c r="M87" i="113"/>
  <c r="F96" i="113"/>
  <c r="I88" i="113"/>
  <c r="J88" i="113" s="1"/>
  <c r="H156" i="95"/>
  <c r="I155" i="95"/>
  <c r="J86" i="112"/>
  <c r="L155" i="111"/>
  <c r="E156" i="111"/>
  <c r="Q85" i="113"/>
  <c r="P86" i="113"/>
  <c r="H188" i="112"/>
  <c r="D190" i="113" s="1"/>
  <c r="E141" i="95"/>
  <c r="O141" i="95" s="1"/>
  <c r="F140" i="95"/>
  <c r="J140" i="95" s="1"/>
  <c r="N140" i="95" s="1"/>
  <c r="D158" i="93" l="1"/>
  <c r="E157" i="93"/>
  <c r="P139" i="78"/>
  <c r="O140" i="78"/>
  <c r="T139" i="78"/>
  <c r="I139" i="78"/>
  <c r="L138" i="78"/>
  <c r="C143" i="78"/>
  <c r="N137" i="78"/>
  <c r="Q137" i="78"/>
  <c r="R137" i="78" s="1"/>
  <c r="S137" i="78"/>
  <c r="B143" i="78"/>
  <c r="K142" i="78"/>
  <c r="P138" i="77"/>
  <c r="O139" i="77"/>
  <c r="T138" i="77"/>
  <c r="E204" i="88"/>
  <c r="M204" i="88" s="1"/>
  <c r="N167" i="88"/>
  <c r="O166" i="88"/>
  <c r="L149" i="95"/>
  <c r="M148" i="95"/>
  <c r="R136" i="77"/>
  <c r="L136" i="110"/>
  <c r="F137" i="110"/>
  <c r="R136" i="110"/>
  <c r="G136" i="110"/>
  <c r="K136" i="110" s="1"/>
  <c r="P136" i="110" s="1"/>
  <c r="H137" i="110"/>
  <c r="I137" i="110" s="1"/>
  <c r="X160" i="114"/>
  <c r="V160" i="114"/>
  <c r="W160" i="114" s="1"/>
  <c r="E205" i="110"/>
  <c r="M205" i="110" s="1"/>
  <c r="N193" i="110"/>
  <c r="O192" i="110"/>
  <c r="P161" i="114"/>
  <c r="L161" i="114"/>
  <c r="M161" i="114" s="1"/>
  <c r="U161" i="114" s="1"/>
  <c r="I163" i="114"/>
  <c r="K162" i="114"/>
  <c r="J162" i="114"/>
  <c r="Y162" i="114" s="1"/>
  <c r="T137" i="77"/>
  <c r="S137" i="77"/>
  <c r="G164" i="114"/>
  <c r="F165" i="114"/>
  <c r="R137" i="88"/>
  <c r="I138" i="88"/>
  <c r="L138" i="88" s="1"/>
  <c r="J137" i="88"/>
  <c r="K137" i="88" s="1"/>
  <c r="P137" i="88" s="1"/>
  <c r="L137" i="88"/>
  <c r="F139" i="88"/>
  <c r="H139" i="88"/>
  <c r="S139" i="88" s="1"/>
  <c r="G138" i="88"/>
  <c r="L141" i="77"/>
  <c r="C142" i="77"/>
  <c r="K138" i="77"/>
  <c r="N138" i="77" s="1"/>
  <c r="S138" i="77" s="1"/>
  <c r="H139" i="77"/>
  <c r="G182" i="95"/>
  <c r="K181" i="95"/>
  <c r="Q86" i="113"/>
  <c r="P87" i="113"/>
  <c r="H189" i="112"/>
  <c r="D191" i="113" s="1"/>
  <c r="K86" i="112"/>
  <c r="I87" i="112" s="1"/>
  <c r="C89" i="113" s="1"/>
  <c r="H89" i="113" s="1"/>
  <c r="B89" i="113" s="1"/>
  <c r="E142" i="95"/>
  <c r="O142" i="95" s="1"/>
  <c r="F141" i="95"/>
  <c r="J141" i="95" s="1"/>
  <c r="N141" i="95" s="1"/>
  <c r="E157" i="111"/>
  <c r="L156" i="111"/>
  <c r="H157" i="95"/>
  <c r="I156" i="95"/>
  <c r="L88" i="113"/>
  <c r="G96" i="113"/>
  <c r="D159" i="93" l="1"/>
  <c r="E158" i="93"/>
  <c r="K143" i="78"/>
  <c r="B144" i="78"/>
  <c r="O141" i="78"/>
  <c r="P140" i="78"/>
  <c r="T140" i="78"/>
  <c r="I140" i="78"/>
  <c r="L139" i="78"/>
  <c r="C144" i="78"/>
  <c r="N138" i="78"/>
  <c r="Q138" i="78"/>
  <c r="R138" i="78" s="1"/>
  <c r="S138" i="78"/>
  <c r="O140" i="77"/>
  <c r="P139" i="77"/>
  <c r="T139" i="77"/>
  <c r="E205" i="88"/>
  <c r="M205" i="88" s="1"/>
  <c r="N168" i="88"/>
  <c r="O167" i="88"/>
  <c r="Q137" i="77"/>
  <c r="L150" i="95"/>
  <c r="M149" i="95"/>
  <c r="R137" i="110"/>
  <c r="H138" i="110"/>
  <c r="L137" i="110"/>
  <c r="G137" i="110"/>
  <c r="F138" i="110"/>
  <c r="I138" i="110"/>
  <c r="J138" i="110" s="1"/>
  <c r="J137" i="110"/>
  <c r="V161" i="114"/>
  <c r="W161" i="114" s="1"/>
  <c r="X161" i="114"/>
  <c r="N194" i="110"/>
  <c r="O193" i="110"/>
  <c r="E206" i="110"/>
  <c r="M206" i="110" s="1"/>
  <c r="J163" i="114"/>
  <c r="Y163" i="114" s="1"/>
  <c r="I164" i="114"/>
  <c r="K163" i="114"/>
  <c r="L162" i="114"/>
  <c r="M162" i="114" s="1"/>
  <c r="U162" i="114" s="1"/>
  <c r="P162" i="114"/>
  <c r="G165" i="114"/>
  <c r="F166" i="114"/>
  <c r="F140" i="88"/>
  <c r="H140" i="88"/>
  <c r="G139" i="88"/>
  <c r="R138" i="88"/>
  <c r="I139" i="88"/>
  <c r="L139" i="88" s="1"/>
  <c r="J138" i="88"/>
  <c r="K138" i="88" s="1"/>
  <c r="P138" i="88" s="1"/>
  <c r="C143" i="77"/>
  <c r="L142" i="77"/>
  <c r="Q138" i="77"/>
  <c r="R138" i="77" s="1"/>
  <c r="H140" i="77"/>
  <c r="K139" i="77"/>
  <c r="N139" i="77" s="1"/>
  <c r="S139" i="77" s="1"/>
  <c r="G183" i="95"/>
  <c r="K182" i="95"/>
  <c r="M88" i="113"/>
  <c r="H158" i="95"/>
  <c r="I157" i="95"/>
  <c r="F97" i="113"/>
  <c r="G97" i="113" s="1"/>
  <c r="O88" i="113"/>
  <c r="P88" i="113" s="1"/>
  <c r="L157" i="111"/>
  <c r="E158" i="111"/>
  <c r="E143" i="95"/>
  <c r="O143" i="95" s="1"/>
  <c r="F142" i="95"/>
  <c r="J142" i="95" s="1"/>
  <c r="N142" i="95" s="1"/>
  <c r="J87" i="112"/>
  <c r="H190" i="112"/>
  <c r="D192" i="113" s="1"/>
  <c r="Q87" i="113"/>
  <c r="I89" i="113"/>
  <c r="J89" i="113" s="1"/>
  <c r="K137" i="110" l="1"/>
  <c r="D160" i="93"/>
  <c r="E159" i="93"/>
  <c r="C145" i="78"/>
  <c r="N139" i="78"/>
  <c r="Q139" i="78"/>
  <c r="R139" i="78" s="1"/>
  <c r="S139" i="78"/>
  <c r="O142" i="78"/>
  <c r="P141" i="78"/>
  <c r="T141" i="78"/>
  <c r="I141" i="78"/>
  <c r="L140" i="78"/>
  <c r="B145" i="78"/>
  <c r="K144" i="78"/>
  <c r="R137" i="77"/>
  <c r="O141" i="77"/>
  <c r="P140" i="77"/>
  <c r="T140" i="77"/>
  <c r="E206" i="88"/>
  <c r="M206" i="88" s="1"/>
  <c r="N169" i="88"/>
  <c r="O168" i="88"/>
  <c r="L151" i="95"/>
  <c r="M150" i="95"/>
  <c r="P137" i="110"/>
  <c r="G138" i="110"/>
  <c r="K138" i="110" s="1"/>
  <c r="P138" i="110" s="1"/>
  <c r="R138" i="110"/>
  <c r="L138" i="110"/>
  <c r="H139" i="110"/>
  <c r="I139" i="110" s="1"/>
  <c r="J139" i="110" s="1"/>
  <c r="F139" i="110"/>
  <c r="X162" i="114"/>
  <c r="V162" i="114"/>
  <c r="W162" i="114" s="1"/>
  <c r="E207" i="110"/>
  <c r="M207" i="110" s="1"/>
  <c r="N195" i="110"/>
  <c r="O194" i="110"/>
  <c r="L163" i="114"/>
  <c r="M163" i="114" s="1"/>
  <c r="U163" i="114" s="1"/>
  <c r="P163" i="114"/>
  <c r="I165" i="114"/>
  <c r="J164" i="114"/>
  <c r="Y164" i="114" s="1"/>
  <c r="D39" i="162" s="1"/>
  <c r="K164" i="114"/>
  <c r="G166" i="114"/>
  <c r="F167" i="114"/>
  <c r="S140" i="88"/>
  <c r="H141" i="88"/>
  <c r="S141" i="88" s="1"/>
  <c r="G140" i="88"/>
  <c r="F141" i="88"/>
  <c r="J139" i="88"/>
  <c r="K139" i="88" s="1"/>
  <c r="P139" i="88" s="1"/>
  <c r="I140" i="88"/>
  <c r="R139" i="88"/>
  <c r="C144" i="77"/>
  <c r="L143" i="77"/>
  <c r="Q139" i="77"/>
  <c r="R139" i="77" s="1"/>
  <c r="H141" i="77"/>
  <c r="K140" i="77"/>
  <c r="N140" i="77" s="1"/>
  <c r="S140" i="77" s="1"/>
  <c r="G184" i="95"/>
  <c r="K183" i="95"/>
  <c r="F98" i="113"/>
  <c r="K87" i="112"/>
  <c r="I88" i="112" s="1"/>
  <c r="C90" i="113" s="1"/>
  <c r="H90" i="113" s="1"/>
  <c r="B90" i="113" s="1"/>
  <c r="H191" i="112"/>
  <c r="D193" i="113" s="1"/>
  <c r="L89" i="113"/>
  <c r="O89" i="113" s="1"/>
  <c r="Q88" i="113"/>
  <c r="E144" i="95"/>
  <c r="O144" i="95" s="1"/>
  <c r="F143" i="95"/>
  <c r="J143" i="95" s="1"/>
  <c r="N143" i="95" s="1"/>
  <c r="L158" i="111"/>
  <c r="E159" i="111"/>
  <c r="H159" i="95"/>
  <c r="I158" i="95"/>
  <c r="D161" i="93" l="1"/>
  <c r="E160" i="93"/>
  <c r="I142" i="78"/>
  <c r="L141" i="78"/>
  <c r="C146" i="78"/>
  <c r="B146" i="78"/>
  <c r="K145" i="78"/>
  <c r="N140" i="78"/>
  <c r="Q140" i="78"/>
  <c r="R140" i="78" s="1"/>
  <c r="S140" i="78"/>
  <c r="O143" i="78"/>
  <c r="P142" i="78"/>
  <c r="T142" i="78"/>
  <c r="O142" i="77"/>
  <c r="P141" i="77"/>
  <c r="T141" i="77"/>
  <c r="E207" i="88"/>
  <c r="M207" i="88" s="1"/>
  <c r="N170" i="88"/>
  <c r="O169" i="88"/>
  <c r="M151" i="95"/>
  <c r="L152" i="95"/>
  <c r="R139" i="110"/>
  <c r="G139" i="110"/>
  <c r="K139" i="110" s="1"/>
  <c r="P139" i="110" s="1"/>
  <c r="L139" i="110"/>
  <c r="F140" i="110"/>
  <c r="H140" i="110"/>
  <c r="I140" i="110" s="1"/>
  <c r="J140" i="110" s="1"/>
  <c r="V163" i="114"/>
  <c r="W163" i="114" s="1"/>
  <c r="X163" i="114"/>
  <c r="N196" i="110"/>
  <c r="O195" i="110"/>
  <c r="E208" i="110"/>
  <c r="M208" i="110" s="1"/>
  <c r="K165" i="114"/>
  <c r="I166" i="114"/>
  <c r="J165" i="114"/>
  <c r="Y165" i="114" s="1"/>
  <c r="P164" i="114"/>
  <c r="L164" i="114"/>
  <c r="M164" i="114" s="1"/>
  <c r="U164" i="114" s="1"/>
  <c r="G167" i="114"/>
  <c r="F168" i="114"/>
  <c r="J140" i="88"/>
  <c r="K140" i="88" s="1"/>
  <c r="P140" i="88" s="1"/>
  <c r="I141" i="88"/>
  <c r="R141" i="88" s="1"/>
  <c r="L140" i="88"/>
  <c r="H142" i="88"/>
  <c r="S142" i="88" s="1"/>
  <c r="F142" i="88"/>
  <c r="G141" i="88"/>
  <c r="R140" i="88"/>
  <c r="C145" i="77"/>
  <c r="L144" i="77"/>
  <c r="Q140" i="77"/>
  <c r="R140" i="77" s="1"/>
  <c r="H142" i="77"/>
  <c r="K141" i="77"/>
  <c r="N141" i="77" s="1"/>
  <c r="S141" i="77" s="1"/>
  <c r="K184" i="95"/>
  <c r="G185" i="95"/>
  <c r="E145" i="95"/>
  <c r="O145" i="95" s="1"/>
  <c r="F144" i="95"/>
  <c r="J144" i="95" s="1"/>
  <c r="N144" i="95" s="1"/>
  <c r="I90" i="113"/>
  <c r="J90" i="113" s="1"/>
  <c r="H160" i="95"/>
  <c r="I159" i="95"/>
  <c r="L159" i="111"/>
  <c r="E160" i="111"/>
  <c r="H192" i="112"/>
  <c r="D194" i="113" s="1"/>
  <c r="P89" i="113"/>
  <c r="M89" i="113"/>
  <c r="J88" i="112"/>
  <c r="G98" i="113"/>
  <c r="D162" i="93" l="1"/>
  <c r="E161" i="93"/>
  <c r="C147" i="78"/>
  <c r="O144" i="78"/>
  <c r="P143" i="78"/>
  <c r="T143" i="78"/>
  <c r="N141" i="78"/>
  <c r="Q141" i="78"/>
  <c r="R141" i="78" s="1"/>
  <c r="S141" i="78"/>
  <c r="B147" i="78"/>
  <c r="K147" i="78" s="1"/>
  <c r="K146" i="78"/>
  <c r="I143" i="78"/>
  <c r="L142" i="78"/>
  <c r="L145" i="77"/>
  <c r="C146" i="77"/>
  <c r="O143" i="77"/>
  <c r="P142" i="77"/>
  <c r="T142" i="77"/>
  <c r="N171" i="88"/>
  <c r="O170" i="88"/>
  <c r="E208" i="88"/>
  <c r="M208" i="88" s="1"/>
  <c r="L153" i="95"/>
  <c r="M152" i="95"/>
  <c r="L140" i="110"/>
  <c r="R140" i="110"/>
  <c r="F141" i="110"/>
  <c r="H141" i="110"/>
  <c r="I141" i="110" s="1"/>
  <c r="J141" i="110" s="1"/>
  <c r="G140" i="110"/>
  <c r="K140" i="110" s="1"/>
  <c r="P140" i="110" s="1"/>
  <c r="X164" i="114"/>
  <c r="V164" i="114"/>
  <c r="L141" i="88"/>
  <c r="E209" i="110"/>
  <c r="M209" i="110" s="1"/>
  <c r="N197" i="110"/>
  <c r="O196" i="110"/>
  <c r="I167" i="114"/>
  <c r="K166" i="114"/>
  <c r="J166" i="114"/>
  <c r="Y166" i="114" s="1"/>
  <c r="L165" i="114"/>
  <c r="M165" i="114" s="1"/>
  <c r="U165" i="114" s="1"/>
  <c r="P165" i="114"/>
  <c r="F169" i="114"/>
  <c r="G168" i="114"/>
  <c r="H143" i="88"/>
  <c r="F143" i="88"/>
  <c r="G142" i="88"/>
  <c r="I142" i="88"/>
  <c r="J141" i="88"/>
  <c r="K141" i="88" s="1"/>
  <c r="P141" i="88" s="1"/>
  <c r="Q141" i="77"/>
  <c r="R141" i="77" s="1"/>
  <c r="H143" i="77"/>
  <c r="K142" i="77"/>
  <c r="N142" i="77" s="1"/>
  <c r="S142" i="77" s="1"/>
  <c r="K185" i="95"/>
  <c r="G186" i="95"/>
  <c r="K88" i="112"/>
  <c r="I89" i="112" s="1"/>
  <c r="C91" i="113" s="1"/>
  <c r="H91" i="113" s="1"/>
  <c r="B91" i="113" s="1"/>
  <c r="Q89" i="113"/>
  <c r="F99" i="113"/>
  <c r="H193" i="112"/>
  <c r="D195" i="113" s="1"/>
  <c r="L90" i="113"/>
  <c r="O90" i="113" s="1"/>
  <c r="E146" i="95"/>
  <c r="O146" i="95" s="1"/>
  <c r="F145" i="95"/>
  <c r="J145" i="95" s="1"/>
  <c r="N145" i="95" s="1"/>
  <c r="L160" i="111"/>
  <c r="E161" i="111"/>
  <c r="H161" i="95"/>
  <c r="I160" i="95"/>
  <c r="D163" i="93" l="1"/>
  <c r="E162" i="93"/>
  <c r="I144" i="78"/>
  <c r="L143" i="78"/>
  <c r="P144" i="78"/>
  <c r="O145" i="78"/>
  <c r="T144" i="78"/>
  <c r="N142" i="78"/>
  <c r="Q142" i="78"/>
  <c r="R142" i="78" s="1"/>
  <c r="S142" i="78"/>
  <c r="W164" i="114"/>
  <c r="D40" i="162"/>
  <c r="D41" i="162" s="1"/>
  <c r="G21" i="159" s="1"/>
  <c r="O144" i="77"/>
  <c r="P143" i="77"/>
  <c r="T143" i="77"/>
  <c r="C147" i="77"/>
  <c r="L146" i="77"/>
  <c r="N172" i="88"/>
  <c r="O171" i="88"/>
  <c r="E209" i="88"/>
  <c r="M209" i="88" s="1"/>
  <c r="L154" i="95"/>
  <c r="M153" i="95"/>
  <c r="G141" i="110"/>
  <c r="K141" i="110" s="1"/>
  <c r="P141" i="110" s="1"/>
  <c r="H142" i="110"/>
  <c r="I142" i="110" s="1"/>
  <c r="J142" i="110" s="1"/>
  <c r="R141" i="110"/>
  <c r="L141" i="110"/>
  <c r="F142" i="110"/>
  <c r="V165" i="114"/>
  <c r="W165" i="114" s="1"/>
  <c r="X165" i="114"/>
  <c r="S143" i="88"/>
  <c r="N198" i="110"/>
  <c r="O197" i="110"/>
  <c r="E210" i="110"/>
  <c r="M210" i="110" s="1"/>
  <c r="P166" i="114"/>
  <c r="L166" i="114"/>
  <c r="M166" i="114" s="1"/>
  <c r="U166" i="114" s="1"/>
  <c r="K167" i="114"/>
  <c r="J167" i="114"/>
  <c r="Y167" i="114" s="1"/>
  <c r="I168" i="114"/>
  <c r="F170" i="114"/>
  <c r="G169" i="114"/>
  <c r="L142" i="88"/>
  <c r="I143" i="88"/>
  <c r="R143" i="88" s="1"/>
  <c r="J142" i="88"/>
  <c r="K142" i="88" s="1"/>
  <c r="P142" i="88" s="1"/>
  <c r="R142" i="88"/>
  <c r="F144" i="88"/>
  <c r="G143" i="88"/>
  <c r="H144" i="88"/>
  <c r="S144" i="88" s="1"/>
  <c r="Q142" i="77"/>
  <c r="R142" i="77" s="1"/>
  <c r="K143" i="77"/>
  <c r="N143" i="77" s="1"/>
  <c r="S143" i="77" s="1"/>
  <c r="H144" i="77"/>
  <c r="K186" i="95"/>
  <c r="G187" i="95"/>
  <c r="M90" i="113"/>
  <c r="I91" i="113"/>
  <c r="L91" i="113" s="1"/>
  <c r="H162" i="95"/>
  <c r="I161" i="95"/>
  <c r="H194" i="112"/>
  <c r="D196" i="113" s="1"/>
  <c r="E147" i="95"/>
  <c r="O147" i="95" s="1"/>
  <c r="F146" i="95"/>
  <c r="J146" i="95" s="1"/>
  <c r="N146" i="95" s="1"/>
  <c r="P90" i="113"/>
  <c r="E162" i="111"/>
  <c r="L161" i="111"/>
  <c r="G99" i="113"/>
  <c r="J89" i="112"/>
  <c r="D164" i="93" l="1"/>
  <c r="E163" i="93"/>
  <c r="P145" i="78"/>
  <c r="O146" i="78"/>
  <c r="T145" i="78"/>
  <c r="N143" i="78"/>
  <c r="Q143" i="78"/>
  <c r="R143" i="78" s="1"/>
  <c r="S143" i="78"/>
  <c r="I145" i="78"/>
  <c r="L144" i="78"/>
  <c r="C148" i="77"/>
  <c r="L147" i="77"/>
  <c r="O145" i="77"/>
  <c r="P144" i="77"/>
  <c r="T144" i="77"/>
  <c r="N173" i="88"/>
  <c r="O172" i="88"/>
  <c r="E210" i="88"/>
  <c r="M210" i="88" s="1"/>
  <c r="M154" i="95"/>
  <c r="L155" i="95"/>
  <c r="F143" i="110"/>
  <c r="R142" i="110"/>
  <c r="G142" i="110"/>
  <c r="K142" i="110" s="1"/>
  <c r="P142" i="110" s="1"/>
  <c r="H143" i="110"/>
  <c r="I143" i="110" s="1"/>
  <c r="J143" i="110" s="1"/>
  <c r="L142" i="110"/>
  <c r="V166" i="114"/>
  <c r="W166" i="114" s="1"/>
  <c r="X166" i="114"/>
  <c r="J91" i="113"/>
  <c r="E211" i="110"/>
  <c r="M211" i="110" s="1"/>
  <c r="N199" i="110"/>
  <c r="O198" i="110"/>
  <c r="L167" i="114"/>
  <c r="M167" i="114" s="1"/>
  <c r="U167" i="114" s="1"/>
  <c r="P167" i="114"/>
  <c r="I169" i="114"/>
  <c r="J168" i="114"/>
  <c r="Y168" i="114" s="1"/>
  <c r="K168" i="114"/>
  <c r="M91" i="113"/>
  <c r="F171" i="114"/>
  <c r="G170" i="114"/>
  <c r="H145" i="88"/>
  <c r="S145" i="88" s="1"/>
  <c r="G144" i="88"/>
  <c r="F145" i="88"/>
  <c r="L143" i="88"/>
  <c r="J143" i="88"/>
  <c r="K143" i="88" s="1"/>
  <c r="P143" i="88" s="1"/>
  <c r="I144" i="88"/>
  <c r="K144" i="77"/>
  <c r="N144" i="77" s="1"/>
  <c r="S144" i="77" s="1"/>
  <c r="H145" i="77"/>
  <c r="Q143" i="77"/>
  <c r="R143" i="77" s="1"/>
  <c r="G188" i="95"/>
  <c r="K187" i="95"/>
  <c r="F100" i="113"/>
  <c r="K89" i="112"/>
  <c r="I90" i="112" s="1"/>
  <c r="C92" i="113" s="1"/>
  <c r="H92" i="113" s="1"/>
  <c r="B92" i="113" s="1"/>
  <c r="L162" i="111"/>
  <c r="E163" i="111"/>
  <c r="H163" i="95"/>
  <c r="I162" i="95"/>
  <c r="H195" i="112"/>
  <c r="D197" i="113" s="1"/>
  <c r="Q90" i="113"/>
  <c r="E148" i="95"/>
  <c r="O148" i="95" s="1"/>
  <c r="F147" i="95"/>
  <c r="J147" i="95" s="1"/>
  <c r="N147" i="95" s="1"/>
  <c r="O91" i="113"/>
  <c r="D165" i="93" l="1"/>
  <c r="E164" i="93"/>
  <c r="N144" i="78"/>
  <c r="Q144" i="78"/>
  <c r="R144" i="78" s="1"/>
  <c r="S144" i="78"/>
  <c r="I146" i="78"/>
  <c r="L145" i="78"/>
  <c r="O147" i="78"/>
  <c r="P146" i="78"/>
  <c r="T146" i="78"/>
  <c r="K145" i="77"/>
  <c r="N145" i="77" s="1"/>
  <c r="S145" i="77" s="1"/>
  <c r="H146" i="77"/>
  <c r="O146" i="77"/>
  <c r="P145" i="77"/>
  <c r="T145" i="77"/>
  <c r="C149" i="77"/>
  <c r="L148" i="77"/>
  <c r="E211" i="88"/>
  <c r="M211" i="88" s="1"/>
  <c r="N174" i="88"/>
  <c r="O173" i="88"/>
  <c r="L156" i="95"/>
  <c r="M155" i="95"/>
  <c r="H144" i="110"/>
  <c r="I144" i="110" s="1"/>
  <c r="J144" i="110" s="1"/>
  <c r="G143" i="110"/>
  <c r="K143" i="110" s="1"/>
  <c r="P143" i="110" s="1"/>
  <c r="F144" i="110"/>
  <c r="L143" i="110"/>
  <c r="R143" i="110"/>
  <c r="V167" i="114"/>
  <c r="W167" i="114" s="1"/>
  <c r="X167" i="114"/>
  <c r="N200" i="110"/>
  <c r="O199" i="110"/>
  <c r="E212" i="110"/>
  <c r="M212" i="110" s="1"/>
  <c r="K169" i="114"/>
  <c r="J169" i="114"/>
  <c r="Y169" i="114" s="1"/>
  <c r="I170" i="114"/>
  <c r="L168" i="114"/>
  <c r="M168" i="114" s="1"/>
  <c r="U168" i="114" s="1"/>
  <c r="P168" i="114"/>
  <c r="G171" i="114"/>
  <c r="F172" i="114"/>
  <c r="J144" i="88"/>
  <c r="K144" i="88" s="1"/>
  <c r="P144" i="88" s="1"/>
  <c r="I145" i="88"/>
  <c r="L145" i="88" s="1"/>
  <c r="L144" i="88"/>
  <c r="R144" i="88"/>
  <c r="H146" i="88"/>
  <c r="S146" i="88" s="1"/>
  <c r="G145" i="88"/>
  <c r="F146" i="88"/>
  <c r="Q144" i="77"/>
  <c r="R144" i="77" s="1"/>
  <c r="Q145" i="77"/>
  <c r="R145" i="77" s="1"/>
  <c r="K188" i="95"/>
  <c r="G189" i="95"/>
  <c r="H196" i="112"/>
  <c r="D198" i="113" s="1"/>
  <c r="E149" i="95"/>
  <c r="O149" i="95" s="1"/>
  <c r="F148" i="95"/>
  <c r="J148" i="95" s="1"/>
  <c r="N148" i="95" s="1"/>
  <c r="H164" i="95"/>
  <c r="I163" i="95"/>
  <c r="P91" i="113"/>
  <c r="E164" i="111"/>
  <c r="L163" i="111"/>
  <c r="I92" i="113"/>
  <c r="J90" i="112"/>
  <c r="G100" i="113"/>
  <c r="D166" i="93" l="1"/>
  <c r="E165" i="93"/>
  <c r="I147" i="78"/>
  <c r="L147" i="78" s="1"/>
  <c r="L146" i="78"/>
  <c r="P147" i="78"/>
  <c r="T147" i="78"/>
  <c r="D9" i="162" s="1"/>
  <c r="N145" i="78"/>
  <c r="Q145" i="78"/>
  <c r="R145" i="78" s="1"/>
  <c r="S145" i="78"/>
  <c r="C150" i="77"/>
  <c r="L149" i="77"/>
  <c r="K146" i="77"/>
  <c r="N146" i="77" s="1"/>
  <c r="S146" i="77" s="1"/>
  <c r="H147" i="77"/>
  <c r="O147" i="77"/>
  <c r="P146" i="77"/>
  <c r="T146" i="77"/>
  <c r="Q146" i="77"/>
  <c r="R146" i="77" s="1"/>
  <c r="E212" i="88"/>
  <c r="M212" i="88" s="1"/>
  <c r="N175" i="88"/>
  <c r="O174" i="88"/>
  <c r="M156" i="95"/>
  <c r="L157" i="95"/>
  <c r="F145" i="110"/>
  <c r="H145" i="110"/>
  <c r="I145" i="110" s="1"/>
  <c r="J145" i="110" s="1"/>
  <c r="R144" i="110"/>
  <c r="G144" i="110"/>
  <c r="K144" i="110" s="1"/>
  <c r="P144" i="110" s="1"/>
  <c r="L144" i="110"/>
  <c r="X168" i="114"/>
  <c r="V168" i="114"/>
  <c r="W168" i="114" s="1"/>
  <c r="R145" i="88"/>
  <c r="E213" i="110"/>
  <c r="M213" i="110" s="1"/>
  <c r="N201" i="110"/>
  <c r="O200" i="110"/>
  <c r="J170" i="114"/>
  <c r="Y170" i="114" s="1"/>
  <c r="K170" i="114"/>
  <c r="I171" i="114"/>
  <c r="P169" i="114"/>
  <c r="L169" i="114"/>
  <c r="M169" i="114" s="1"/>
  <c r="U169" i="114" s="1"/>
  <c r="F173" i="114"/>
  <c r="G172" i="114"/>
  <c r="H147" i="88"/>
  <c r="S147" i="88" s="1"/>
  <c r="F147" i="88"/>
  <c r="G146" i="88"/>
  <c r="J145" i="88"/>
  <c r="K145" i="88" s="1"/>
  <c r="P145" i="88" s="1"/>
  <c r="I146" i="88"/>
  <c r="L146" i="88" s="1"/>
  <c r="K189" i="95"/>
  <c r="G190" i="95"/>
  <c r="K90" i="112"/>
  <c r="I91" i="112" s="1"/>
  <c r="C93" i="113" s="1"/>
  <c r="H93" i="113" s="1"/>
  <c r="B93" i="113" s="1"/>
  <c r="F101" i="113"/>
  <c r="G101" i="113" s="1"/>
  <c r="L92" i="113"/>
  <c r="O92" i="113" s="1"/>
  <c r="J92" i="113"/>
  <c r="E165" i="111"/>
  <c r="L164" i="111"/>
  <c r="Q91" i="113"/>
  <c r="H165" i="95"/>
  <c r="I164" i="95"/>
  <c r="E150" i="95"/>
  <c r="O150" i="95" s="1"/>
  <c r="F149" i="95"/>
  <c r="J149" i="95" s="1"/>
  <c r="N149" i="95" s="1"/>
  <c r="H197" i="112"/>
  <c r="D199" i="113" s="1"/>
  <c r="D167" i="93" l="1"/>
  <c r="E166" i="93"/>
  <c r="N146" i="78"/>
  <c r="Q146" i="78"/>
  <c r="R146" i="78" s="1"/>
  <c r="S146" i="78"/>
  <c r="N147" i="78"/>
  <c r="Q147" i="78"/>
  <c r="S147" i="78"/>
  <c r="D10" i="162" s="1"/>
  <c r="D12" i="162" s="1"/>
  <c r="G15" i="159" s="1"/>
  <c r="O148" i="77"/>
  <c r="P147" i="77"/>
  <c r="T147" i="77"/>
  <c r="Q147" i="77"/>
  <c r="R147" i="77" s="1"/>
  <c r="H148" i="77"/>
  <c r="K147" i="77"/>
  <c r="N147" i="77" s="1"/>
  <c r="S147" i="77" s="1"/>
  <c r="C151" i="77"/>
  <c r="L150" i="77"/>
  <c r="N176" i="88"/>
  <c r="O175" i="88"/>
  <c r="E213" i="88"/>
  <c r="M213" i="88" s="1"/>
  <c r="L158" i="95"/>
  <c r="M157" i="95"/>
  <c r="H146" i="110"/>
  <c r="I146" i="110" s="1"/>
  <c r="J146" i="110" s="1"/>
  <c r="L145" i="110"/>
  <c r="R145" i="110"/>
  <c r="F146" i="110"/>
  <c r="G145" i="110"/>
  <c r="K145" i="110" s="1"/>
  <c r="P145" i="110" s="1"/>
  <c r="X169" i="114"/>
  <c r="V169" i="114"/>
  <c r="W169" i="114" s="1"/>
  <c r="N202" i="110"/>
  <c r="O201" i="110"/>
  <c r="E214" i="110"/>
  <c r="M214" i="110" s="1"/>
  <c r="J171" i="114"/>
  <c r="Y171" i="114" s="1"/>
  <c r="K171" i="114"/>
  <c r="I172" i="114"/>
  <c r="L170" i="114"/>
  <c r="M170" i="114" s="1"/>
  <c r="U170" i="114" s="1"/>
  <c r="P170" i="114"/>
  <c r="F174" i="114"/>
  <c r="G173" i="114"/>
  <c r="I147" i="88"/>
  <c r="R147" i="88" s="1"/>
  <c r="J146" i="88"/>
  <c r="K146" i="88" s="1"/>
  <c r="P146" i="88" s="1"/>
  <c r="R146" i="88"/>
  <c r="F148" i="88"/>
  <c r="H148" i="88"/>
  <c r="S148" i="88" s="1"/>
  <c r="G147" i="88"/>
  <c r="G191" i="95"/>
  <c r="K190" i="95"/>
  <c r="P92" i="113"/>
  <c r="Q92" i="113" s="1"/>
  <c r="E151" i="95"/>
  <c r="O151" i="95" s="1"/>
  <c r="F150" i="95"/>
  <c r="J150" i="95" s="1"/>
  <c r="N150" i="95" s="1"/>
  <c r="H198" i="112"/>
  <c r="D200" i="113" s="1"/>
  <c r="I93" i="113"/>
  <c r="J93" i="113" s="1"/>
  <c r="F102" i="113"/>
  <c r="G102" i="113" s="1"/>
  <c r="H166" i="95"/>
  <c r="I165" i="95"/>
  <c r="L165" i="111"/>
  <c r="E166" i="111"/>
  <c r="M92" i="113"/>
  <c r="J91" i="112"/>
  <c r="D168" i="93" l="1"/>
  <c r="E167" i="93"/>
  <c r="R147" i="78"/>
  <c r="H149" i="77"/>
  <c r="K148" i="77"/>
  <c r="N148" i="77" s="1"/>
  <c r="S148" i="77" s="1"/>
  <c r="C152" i="77"/>
  <c r="L151" i="77"/>
  <c r="O149" i="77"/>
  <c r="P148" i="77"/>
  <c r="T148" i="77"/>
  <c r="Q148" i="77"/>
  <c r="R148" i="77" s="1"/>
  <c r="E214" i="88"/>
  <c r="M214" i="88" s="1"/>
  <c r="N177" i="88"/>
  <c r="O176" i="88"/>
  <c r="M158" i="95"/>
  <c r="L159" i="95"/>
  <c r="H147" i="110"/>
  <c r="I147" i="110" s="1"/>
  <c r="J147" i="110" s="1"/>
  <c r="F147" i="110"/>
  <c r="L146" i="110"/>
  <c r="R146" i="110"/>
  <c r="G146" i="110"/>
  <c r="K146" i="110" s="1"/>
  <c r="P146" i="110" s="1"/>
  <c r="X170" i="114"/>
  <c r="V170" i="114"/>
  <c r="W170" i="114" s="1"/>
  <c r="E215" i="110"/>
  <c r="M215" i="110" s="1"/>
  <c r="N203" i="110"/>
  <c r="O202" i="110"/>
  <c r="J172" i="114"/>
  <c r="Y172" i="114" s="1"/>
  <c r="I173" i="114"/>
  <c r="K172" i="114"/>
  <c r="P171" i="114"/>
  <c r="L171" i="114"/>
  <c r="M171" i="114" s="1"/>
  <c r="U171" i="114" s="1"/>
  <c r="G174" i="114"/>
  <c r="F175" i="114"/>
  <c r="L147" i="88"/>
  <c r="F149" i="88"/>
  <c r="H149" i="88"/>
  <c r="S149" i="88" s="1"/>
  <c r="G148" i="88"/>
  <c r="J147" i="88"/>
  <c r="K147" i="88" s="1"/>
  <c r="P147" i="88" s="1"/>
  <c r="I148" i="88"/>
  <c r="L148" i="88" s="1"/>
  <c r="G192" i="95"/>
  <c r="K191" i="95"/>
  <c r="F103" i="113"/>
  <c r="K91" i="112"/>
  <c r="I92" i="112" s="1"/>
  <c r="C94" i="113" s="1"/>
  <c r="H94" i="113" s="1"/>
  <c r="B94" i="113" s="1"/>
  <c r="L166" i="111"/>
  <c r="E167" i="111"/>
  <c r="H167" i="95"/>
  <c r="I166" i="95"/>
  <c r="E152" i="95"/>
  <c r="O152" i="95" s="1"/>
  <c r="F151" i="95"/>
  <c r="J151" i="95" s="1"/>
  <c r="N151" i="95" s="1"/>
  <c r="H199" i="112"/>
  <c r="D201" i="113" s="1"/>
  <c r="L93" i="113"/>
  <c r="D169" i="93" l="1"/>
  <c r="E168" i="93"/>
  <c r="C153" i="77"/>
  <c r="L152" i="77"/>
  <c r="O150" i="77"/>
  <c r="P149" i="77"/>
  <c r="T149" i="77"/>
  <c r="Q149" i="77"/>
  <c r="R149" i="77" s="1"/>
  <c r="H150" i="77"/>
  <c r="K149" i="77"/>
  <c r="N149" i="77" s="1"/>
  <c r="S149" i="77" s="1"/>
  <c r="N178" i="88"/>
  <c r="O177" i="88"/>
  <c r="E215" i="88"/>
  <c r="M215" i="88" s="1"/>
  <c r="L160" i="95"/>
  <c r="M159" i="95"/>
  <c r="H148" i="110"/>
  <c r="I148" i="110" s="1"/>
  <c r="J148" i="110" s="1"/>
  <c r="L147" i="110"/>
  <c r="G147" i="110"/>
  <c r="K147" i="110" s="1"/>
  <c r="P147" i="110" s="1"/>
  <c r="F148" i="110"/>
  <c r="R147" i="110"/>
  <c r="V171" i="114"/>
  <c r="W171" i="114" s="1"/>
  <c r="X171" i="114"/>
  <c r="N204" i="110"/>
  <c r="O203" i="110"/>
  <c r="E216" i="110"/>
  <c r="M216" i="110" s="1"/>
  <c r="P172" i="114"/>
  <c r="L172" i="114"/>
  <c r="M172" i="114" s="1"/>
  <c r="U172" i="114" s="1"/>
  <c r="I174" i="114"/>
  <c r="J173" i="114"/>
  <c r="Y173" i="114" s="1"/>
  <c r="K173" i="114"/>
  <c r="F176" i="114"/>
  <c r="G175" i="114"/>
  <c r="R148" i="88"/>
  <c r="I149" i="88"/>
  <c r="L149" i="88" s="1"/>
  <c r="J148" i="88"/>
  <c r="K148" i="88" s="1"/>
  <c r="P148" i="88" s="1"/>
  <c r="F150" i="88"/>
  <c r="H150" i="88"/>
  <c r="S150" i="88" s="1"/>
  <c r="G149" i="88"/>
  <c r="K192" i="95"/>
  <c r="G193" i="95"/>
  <c r="J92" i="112"/>
  <c r="K92" i="112" s="1"/>
  <c r="I93" i="112" s="1"/>
  <c r="E153" i="95"/>
  <c r="O153" i="95" s="1"/>
  <c r="F152" i="95"/>
  <c r="J152" i="95" s="1"/>
  <c r="N152" i="95" s="1"/>
  <c r="H200" i="112"/>
  <c r="D202" i="113" s="1"/>
  <c r="O93" i="113"/>
  <c r="H168" i="95"/>
  <c r="I167" i="95"/>
  <c r="L167" i="111"/>
  <c r="H201" i="112" s="1"/>
  <c r="D203" i="113" s="1"/>
  <c r="E168" i="111"/>
  <c r="M93" i="113"/>
  <c r="G103" i="113"/>
  <c r="I94" i="113"/>
  <c r="D170" i="93" l="1"/>
  <c r="E169" i="93"/>
  <c r="C154" i="77"/>
  <c r="L153" i="77"/>
  <c r="H151" i="77"/>
  <c r="K150" i="77"/>
  <c r="N150" i="77" s="1"/>
  <c r="S150" i="77" s="1"/>
  <c r="O151" i="77"/>
  <c r="P150" i="77"/>
  <c r="T150" i="77"/>
  <c r="Q150" i="77"/>
  <c r="R150" i="77" s="1"/>
  <c r="N179" i="88"/>
  <c r="O178" i="88"/>
  <c r="E216" i="88"/>
  <c r="M216" i="88" s="1"/>
  <c r="L161" i="95"/>
  <c r="M160" i="95"/>
  <c r="R148" i="110"/>
  <c r="F149" i="110"/>
  <c r="H149" i="110"/>
  <c r="I149" i="110" s="1"/>
  <c r="J149" i="110" s="1"/>
  <c r="L148" i="110"/>
  <c r="G148" i="110"/>
  <c r="K148" i="110" s="1"/>
  <c r="P148" i="110" s="1"/>
  <c r="X172" i="114"/>
  <c r="V172" i="114"/>
  <c r="W172" i="114" s="1"/>
  <c r="E217" i="110"/>
  <c r="M217" i="110" s="1"/>
  <c r="N205" i="110"/>
  <c r="O204" i="110"/>
  <c r="K174" i="114"/>
  <c r="J174" i="114"/>
  <c r="Y174" i="114" s="1"/>
  <c r="I175" i="114"/>
  <c r="P173" i="114"/>
  <c r="L173" i="114"/>
  <c r="M173" i="114" s="1"/>
  <c r="U173" i="114" s="1"/>
  <c r="G176" i="114"/>
  <c r="F177" i="114"/>
  <c r="F151" i="88"/>
  <c r="H151" i="88"/>
  <c r="S151" i="88" s="1"/>
  <c r="G150" i="88"/>
  <c r="R149" i="88"/>
  <c r="J149" i="88"/>
  <c r="K149" i="88" s="1"/>
  <c r="P149" i="88" s="1"/>
  <c r="I150" i="88"/>
  <c r="G194" i="95"/>
  <c r="K193" i="95"/>
  <c r="C95" i="113"/>
  <c r="H95" i="113" s="1"/>
  <c r="B95" i="113" s="1"/>
  <c r="J93" i="112"/>
  <c r="K93" i="112" s="1"/>
  <c r="I94" i="112" s="1"/>
  <c r="C96" i="113" s="1"/>
  <c r="H96" i="113" s="1"/>
  <c r="B96" i="113" s="1"/>
  <c r="L94" i="113"/>
  <c r="O94" i="113" s="1"/>
  <c r="J94" i="113"/>
  <c r="E154" i="95"/>
  <c r="O154" i="95" s="1"/>
  <c r="F153" i="95"/>
  <c r="J153" i="95" s="1"/>
  <c r="N153" i="95" s="1"/>
  <c r="F104" i="113"/>
  <c r="G104" i="113" s="1"/>
  <c r="L168" i="111"/>
  <c r="H202" i="112" s="1"/>
  <c r="D204" i="113" s="1"/>
  <c r="E169" i="111"/>
  <c r="H169" i="95"/>
  <c r="I168" i="95"/>
  <c r="P93" i="113"/>
  <c r="D171" i="93" l="1"/>
  <c r="E170" i="93"/>
  <c r="O152" i="77"/>
  <c r="K151" i="77"/>
  <c r="N151" i="77" s="1"/>
  <c r="H152" i="77"/>
  <c r="C155" i="77"/>
  <c r="L154" i="77"/>
  <c r="P151" i="77"/>
  <c r="T151" i="77"/>
  <c r="Q151" i="77"/>
  <c r="N180" i="88"/>
  <c r="O179" i="88"/>
  <c r="E217" i="88"/>
  <c r="M217" i="88" s="1"/>
  <c r="M161" i="95"/>
  <c r="D20" i="162" s="1"/>
  <c r="L162" i="95"/>
  <c r="F150" i="110"/>
  <c r="G149" i="110"/>
  <c r="K149" i="110" s="1"/>
  <c r="P149" i="110" s="1"/>
  <c r="R149" i="110"/>
  <c r="L149" i="110"/>
  <c r="H150" i="110"/>
  <c r="I150" i="110" s="1"/>
  <c r="J150" i="110" s="1"/>
  <c r="X173" i="114"/>
  <c r="V173" i="114"/>
  <c r="W173" i="114" s="1"/>
  <c r="N206" i="110"/>
  <c r="O205" i="110"/>
  <c r="E218" i="110"/>
  <c r="M218" i="110" s="1"/>
  <c r="J175" i="114"/>
  <c r="Y175" i="114" s="1"/>
  <c r="K175" i="114"/>
  <c r="I176" i="114"/>
  <c r="P174" i="114"/>
  <c r="L174" i="114"/>
  <c r="M174" i="114" s="1"/>
  <c r="U174" i="114" s="1"/>
  <c r="G177" i="114"/>
  <c r="F178" i="114"/>
  <c r="I151" i="88"/>
  <c r="L151" i="88" s="1"/>
  <c r="J150" i="88"/>
  <c r="K150" i="88" s="1"/>
  <c r="P150" i="88" s="1"/>
  <c r="R150" i="88"/>
  <c r="F152" i="88"/>
  <c r="H152" i="88"/>
  <c r="G151" i="88"/>
  <c r="L150" i="88"/>
  <c r="K194" i="95"/>
  <c r="G195" i="95"/>
  <c r="M94" i="113"/>
  <c r="H170" i="95"/>
  <c r="I169" i="95"/>
  <c r="F105" i="113"/>
  <c r="G105" i="113" s="1"/>
  <c r="Q93" i="113"/>
  <c r="P94" i="113"/>
  <c r="E170" i="111"/>
  <c r="L169" i="111"/>
  <c r="H203" i="112" s="1"/>
  <c r="D205" i="113" s="1"/>
  <c r="E155" i="95"/>
  <c r="O155" i="95" s="1"/>
  <c r="F154" i="95"/>
  <c r="J154" i="95" s="1"/>
  <c r="N154" i="95" s="1"/>
  <c r="J94" i="112"/>
  <c r="I95" i="113"/>
  <c r="J95" i="113" s="1"/>
  <c r="D172" i="93" l="1"/>
  <c r="E171" i="93"/>
  <c r="R151" i="77"/>
  <c r="C156" i="77"/>
  <c r="L155" i="77"/>
  <c r="K152" i="77"/>
  <c r="N152" i="77" s="1"/>
  <c r="S152" i="77" s="1"/>
  <c r="H153" i="77"/>
  <c r="S151" i="77"/>
  <c r="O153" i="77"/>
  <c r="P152" i="77"/>
  <c r="T152" i="77"/>
  <c r="Q152" i="77"/>
  <c r="R152" i="77" s="1"/>
  <c r="E218" i="88"/>
  <c r="M218" i="88" s="1"/>
  <c r="N181" i="88"/>
  <c r="O180" i="88"/>
  <c r="M162" i="95"/>
  <c r="L163" i="95"/>
  <c r="F151" i="110"/>
  <c r="H151" i="110"/>
  <c r="I151" i="110" s="1"/>
  <c r="J151" i="110" s="1"/>
  <c r="L150" i="110"/>
  <c r="G150" i="110"/>
  <c r="K150" i="110" s="1"/>
  <c r="P150" i="110" s="1"/>
  <c r="V174" i="114"/>
  <c r="W174" i="114" s="1"/>
  <c r="X174" i="114"/>
  <c r="E219" i="110"/>
  <c r="M219" i="110" s="1"/>
  <c r="N207" i="110"/>
  <c r="O206" i="110"/>
  <c r="J176" i="114"/>
  <c r="Y176" i="114" s="1"/>
  <c r="K176" i="114"/>
  <c r="I177" i="114"/>
  <c r="P175" i="114"/>
  <c r="L175" i="114"/>
  <c r="M175" i="114" s="1"/>
  <c r="U175" i="114" s="1"/>
  <c r="G178" i="114"/>
  <c r="F179" i="114"/>
  <c r="S152" i="88"/>
  <c r="I152" i="88"/>
  <c r="L152" i="88" s="1"/>
  <c r="J151" i="88"/>
  <c r="K151" i="88" s="1"/>
  <c r="P151" i="88" s="1"/>
  <c r="R151" i="88"/>
  <c r="F153" i="88"/>
  <c r="H153" i="88"/>
  <c r="S153" i="88" s="1"/>
  <c r="G152" i="88"/>
  <c r="K195" i="95"/>
  <c r="G196" i="95"/>
  <c r="F106" i="113"/>
  <c r="G106" i="113" s="1"/>
  <c r="Q94" i="113"/>
  <c r="I96" i="113"/>
  <c r="J96" i="113" s="1"/>
  <c r="L95" i="113"/>
  <c r="O95" i="113" s="1"/>
  <c r="K94" i="112"/>
  <c r="I95" i="112" s="1"/>
  <c r="C97" i="113" s="1"/>
  <c r="H97" i="113" s="1"/>
  <c r="B97" i="113" s="1"/>
  <c r="E156" i="95"/>
  <c r="O156" i="95" s="1"/>
  <c r="F155" i="95"/>
  <c r="J155" i="95" s="1"/>
  <c r="N155" i="95" s="1"/>
  <c r="E171" i="111"/>
  <c r="L170" i="111"/>
  <c r="H204" i="112" s="1"/>
  <c r="D206" i="113" s="1"/>
  <c r="H171" i="95"/>
  <c r="I170" i="95"/>
  <c r="D173" i="93" l="1"/>
  <c r="E172" i="93"/>
  <c r="H154" i="77"/>
  <c r="K153" i="77"/>
  <c r="N153" i="77" s="1"/>
  <c r="S153" i="77" s="1"/>
  <c r="O154" i="77"/>
  <c r="P153" i="77"/>
  <c r="T153" i="77"/>
  <c r="Q153" i="77"/>
  <c r="R153" i="77" s="1"/>
  <c r="C157" i="77"/>
  <c r="L156" i="77"/>
  <c r="E219" i="88"/>
  <c r="M219" i="88" s="1"/>
  <c r="N182" i="88"/>
  <c r="O181" i="88"/>
  <c r="M163" i="95"/>
  <c r="L164" i="95"/>
  <c r="L151" i="110"/>
  <c r="F152" i="110"/>
  <c r="G151" i="110"/>
  <c r="K151" i="110" s="1"/>
  <c r="P151" i="110" s="1"/>
  <c r="H152" i="110"/>
  <c r="I152" i="110" s="1"/>
  <c r="J152" i="110" s="1"/>
  <c r="X175" i="114"/>
  <c r="V175" i="114"/>
  <c r="W175" i="114" s="1"/>
  <c r="N208" i="110"/>
  <c r="O207" i="110"/>
  <c r="E220" i="110"/>
  <c r="M220" i="110" s="1"/>
  <c r="I178" i="114"/>
  <c r="J177" i="114"/>
  <c r="Y177" i="114" s="1"/>
  <c r="K177" i="114"/>
  <c r="P176" i="114"/>
  <c r="L176" i="114"/>
  <c r="M176" i="114" s="1"/>
  <c r="U176" i="114" s="1"/>
  <c r="G179" i="114"/>
  <c r="F180" i="114"/>
  <c r="F154" i="88"/>
  <c r="H154" i="88"/>
  <c r="G153" i="88"/>
  <c r="I153" i="88"/>
  <c r="J152" i="88"/>
  <c r="K152" i="88" s="1"/>
  <c r="P152" i="88" s="1"/>
  <c r="R152" i="88"/>
  <c r="G197" i="95"/>
  <c r="K196" i="95"/>
  <c r="F107" i="113"/>
  <c r="L171" i="111"/>
  <c r="H205" i="112" s="1"/>
  <c r="D207" i="113" s="1"/>
  <c r="E172" i="111"/>
  <c r="L96" i="113"/>
  <c r="P95" i="113"/>
  <c r="H172" i="95"/>
  <c r="I171" i="95"/>
  <c r="E157" i="95"/>
  <c r="O157" i="95" s="1"/>
  <c r="F156" i="95"/>
  <c r="J156" i="95" s="1"/>
  <c r="N156" i="95" s="1"/>
  <c r="J95" i="112"/>
  <c r="M95" i="113"/>
  <c r="I97" i="113"/>
  <c r="J97" i="113" s="1"/>
  <c r="D174" i="93" l="1"/>
  <c r="E173" i="93"/>
  <c r="C158" i="77"/>
  <c r="L157" i="77"/>
  <c r="O155" i="77"/>
  <c r="P154" i="77"/>
  <c r="T154" i="77"/>
  <c r="Q154" i="77"/>
  <c r="R154" i="77" s="1"/>
  <c r="H155" i="77"/>
  <c r="K154" i="77"/>
  <c r="N154" i="77" s="1"/>
  <c r="S154" i="77" s="1"/>
  <c r="L153" i="88"/>
  <c r="E220" i="88"/>
  <c r="M220" i="88" s="1"/>
  <c r="N183" i="88"/>
  <c r="O182" i="88"/>
  <c r="L165" i="95"/>
  <c r="M164" i="95"/>
  <c r="L152" i="110"/>
  <c r="H153" i="110"/>
  <c r="I153" i="110" s="1"/>
  <c r="J153" i="110" s="1"/>
  <c r="G152" i="110"/>
  <c r="K152" i="110" s="1"/>
  <c r="P152" i="110" s="1"/>
  <c r="F153" i="110"/>
  <c r="X176" i="114"/>
  <c r="V176" i="114"/>
  <c r="W176" i="114" s="1"/>
  <c r="S154" i="88"/>
  <c r="E221" i="110"/>
  <c r="M221" i="110" s="1"/>
  <c r="N209" i="110"/>
  <c r="O208" i="110"/>
  <c r="L177" i="114"/>
  <c r="M177" i="114" s="1"/>
  <c r="U177" i="114" s="1"/>
  <c r="P177" i="114"/>
  <c r="K178" i="114"/>
  <c r="I179" i="114"/>
  <c r="J178" i="114"/>
  <c r="Y178" i="114" s="1"/>
  <c r="F181" i="114"/>
  <c r="G180" i="114"/>
  <c r="F155" i="88"/>
  <c r="H155" i="88"/>
  <c r="S155" i="88" s="1"/>
  <c r="G154" i="88"/>
  <c r="J153" i="88"/>
  <c r="K153" i="88" s="1"/>
  <c r="P153" i="88" s="1"/>
  <c r="I154" i="88"/>
  <c r="R153" i="88"/>
  <c r="G198" i="95"/>
  <c r="K197" i="95"/>
  <c r="M96" i="113"/>
  <c r="L97" i="113"/>
  <c r="O97" i="113" s="1"/>
  <c r="E158" i="95"/>
  <c r="O158" i="95" s="1"/>
  <c r="F157" i="95"/>
  <c r="J157" i="95" s="1"/>
  <c r="N157" i="95" s="1"/>
  <c r="Q95" i="113"/>
  <c r="K95" i="112"/>
  <c r="I96" i="112" s="1"/>
  <c r="C98" i="113" s="1"/>
  <c r="H98" i="113" s="1"/>
  <c r="B98" i="113" s="1"/>
  <c r="H173" i="95"/>
  <c r="I172" i="95"/>
  <c r="O96" i="113"/>
  <c r="L172" i="111"/>
  <c r="H206" i="112" s="1"/>
  <c r="D208" i="113" s="1"/>
  <c r="E173" i="111"/>
  <c r="G107" i="113"/>
  <c r="D175" i="93" l="1"/>
  <c r="E174" i="93"/>
  <c r="C159" i="77"/>
  <c r="L158" i="77"/>
  <c r="H156" i="77"/>
  <c r="K155" i="77"/>
  <c r="N155" i="77" s="1"/>
  <c r="S155" i="77" s="1"/>
  <c r="P155" i="77"/>
  <c r="O156" i="77"/>
  <c r="T155" i="77"/>
  <c r="Q155" i="77"/>
  <c r="R155" i="77" s="1"/>
  <c r="N184" i="88"/>
  <c r="O183" i="88"/>
  <c r="E221" i="88"/>
  <c r="M221" i="88" s="1"/>
  <c r="L166" i="95"/>
  <c r="M165" i="95"/>
  <c r="F154" i="110"/>
  <c r="L153" i="110"/>
  <c r="H154" i="110"/>
  <c r="I154" i="110" s="1"/>
  <c r="J154" i="110" s="1"/>
  <c r="G153" i="110"/>
  <c r="K153" i="110" s="1"/>
  <c r="P153" i="110" s="1"/>
  <c r="V177" i="114"/>
  <c r="W177" i="114" s="1"/>
  <c r="X177" i="114"/>
  <c r="N210" i="110"/>
  <c r="O209" i="110"/>
  <c r="E222" i="110"/>
  <c r="M222" i="110" s="1"/>
  <c r="I180" i="114"/>
  <c r="J179" i="114"/>
  <c r="Y179" i="114" s="1"/>
  <c r="K179" i="114"/>
  <c r="P178" i="114"/>
  <c r="L178" i="114"/>
  <c r="M178" i="114" s="1"/>
  <c r="U178" i="114" s="1"/>
  <c r="G181" i="114"/>
  <c r="F182" i="114"/>
  <c r="F156" i="88"/>
  <c r="G155" i="88"/>
  <c r="H156" i="88"/>
  <c r="S156" i="88" s="1"/>
  <c r="J154" i="88"/>
  <c r="K154" i="88" s="1"/>
  <c r="P154" i="88" s="1"/>
  <c r="I155" i="88"/>
  <c r="R154" i="88"/>
  <c r="L154" i="88"/>
  <c r="K198" i="95"/>
  <c r="G199" i="95"/>
  <c r="L173" i="111"/>
  <c r="H207" i="112" s="1"/>
  <c r="D209" i="113" s="1"/>
  <c r="E174" i="111"/>
  <c r="H174" i="95"/>
  <c r="I173" i="95"/>
  <c r="J96" i="112"/>
  <c r="E159" i="95"/>
  <c r="O159" i="95" s="1"/>
  <c r="F158" i="95"/>
  <c r="J158" i="95" s="1"/>
  <c r="N158" i="95" s="1"/>
  <c r="F108" i="113"/>
  <c r="G108" i="113" s="1"/>
  <c r="I98" i="113"/>
  <c r="P96" i="113"/>
  <c r="P97" i="113" s="1"/>
  <c r="M97" i="113"/>
  <c r="D176" i="93" l="1"/>
  <c r="E175" i="93"/>
  <c r="O157" i="77"/>
  <c r="P156" i="77"/>
  <c r="T156" i="77"/>
  <c r="Q156" i="77"/>
  <c r="R156" i="77" s="1"/>
  <c r="C160" i="77"/>
  <c r="L159" i="77"/>
  <c r="H157" i="77"/>
  <c r="K156" i="77"/>
  <c r="N156" i="77" s="1"/>
  <c r="S156" i="77" s="1"/>
  <c r="E222" i="88"/>
  <c r="M222" i="88" s="1"/>
  <c r="R155" i="88"/>
  <c r="N185" i="88"/>
  <c r="O184" i="88"/>
  <c r="L167" i="95"/>
  <c r="M166" i="95"/>
  <c r="G154" i="110"/>
  <c r="K154" i="110" s="1"/>
  <c r="P154" i="110" s="1"/>
  <c r="H155" i="110"/>
  <c r="I155" i="110" s="1"/>
  <c r="J155" i="110" s="1"/>
  <c r="F155" i="110"/>
  <c r="L154" i="110"/>
  <c r="X178" i="114"/>
  <c r="V178" i="114"/>
  <c r="W178" i="114" s="1"/>
  <c r="E223" i="110"/>
  <c r="M223" i="110" s="1"/>
  <c r="N211" i="110"/>
  <c r="O210" i="110"/>
  <c r="P179" i="114"/>
  <c r="L179" i="114"/>
  <c r="M179" i="114" s="1"/>
  <c r="U179" i="114" s="1"/>
  <c r="I181" i="114"/>
  <c r="J180" i="114"/>
  <c r="Y180" i="114" s="1"/>
  <c r="K180" i="114"/>
  <c r="F183" i="114"/>
  <c r="G182" i="114"/>
  <c r="J155" i="88"/>
  <c r="K155" i="88" s="1"/>
  <c r="P155" i="88" s="1"/>
  <c r="I156" i="88"/>
  <c r="R156" i="88" s="1"/>
  <c r="L155" i="88"/>
  <c r="F157" i="88"/>
  <c r="G156" i="88"/>
  <c r="H157" i="88"/>
  <c r="S157" i="88" s="1"/>
  <c r="G200" i="95"/>
  <c r="K199" i="95"/>
  <c r="F109" i="113"/>
  <c r="G109" i="113" s="1"/>
  <c r="L98" i="113"/>
  <c r="O98" i="113" s="1"/>
  <c r="E160" i="95"/>
  <c r="O160" i="95" s="1"/>
  <c r="F159" i="95"/>
  <c r="J159" i="95" s="1"/>
  <c r="N159" i="95" s="1"/>
  <c r="K96" i="112"/>
  <c r="H175" i="95"/>
  <c r="I174" i="95"/>
  <c r="L174" i="111"/>
  <c r="H208" i="112" s="1"/>
  <c r="D210" i="113" s="1"/>
  <c r="E175" i="111"/>
  <c r="Q96" i="113"/>
  <c r="J98" i="113"/>
  <c r="D177" i="93" l="1"/>
  <c r="E176" i="93"/>
  <c r="C161" i="77"/>
  <c r="L160" i="77"/>
  <c r="H158" i="77"/>
  <c r="K157" i="77"/>
  <c r="N157" i="77" s="1"/>
  <c r="S157" i="77" s="1"/>
  <c r="P157" i="77"/>
  <c r="O158" i="77"/>
  <c r="T157" i="77"/>
  <c r="Q157" i="77"/>
  <c r="R157" i="77" s="1"/>
  <c r="N186" i="88"/>
  <c r="O185" i="88"/>
  <c r="E223" i="88"/>
  <c r="M223" i="88" s="1"/>
  <c r="L156" i="88"/>
  <c r="M167" i="95"/>
  <c r="L168" i="95"/>
  <c r="L155" i="110"/>
  <c r="G155" i="110"/>
  <c r="K155" i="110" s="1"/>
  <c r="P155" i="110" s="1"/>
  <c r="H156" i="110"/>
  <c r="I156" i="110" s="1"/>
  <c r="J156" i="110" s="1"/>
  <c r="F156" i="110"/>
  <c r="X179" i="114"/>
  <c r="V179" i="114"/>
  <c r="W179" i="114" s="1"/>
  <c r="I97" i="112"/>
  <c r="C99" i="113" s="1"/>
  <c r="H99" i="113" s="1"/>
  <c r="N212" i="110"/>
  <c r="O211" i="110"/>
  <c r="E224" i="110"/>
  <c r="M224" i="110" s="1"/>
  <c r="J181" i="114"/>
  <c r="Y181" i="114" s="1"/>
  <c r="K181" i="114"/>
  <c r="I182" i="114"/>
  <c r="P180" i="114"/>
  <c r="L180" i="114"/>
  <c r="M180" i="114" s="1"/>
  <c r="U180" i="114" s="1"/>
  <c r="G183" i="114"/>
  <c r="F184" i="114"/>
  <c r="F158" i="88"/>
  <c r="H158" i="88"/>
  <c r="S158" i="88" s="1"/>
  <c r="G157" i="88"/>
  <c r="J156" i="88"/>
  <c r="K156" i="88" s="1"/>
  <c r="P156" i="88" s="1"/>
  <c r="I157" i="88"/>
  <c r="K200" i="95"/>
  <c r="G201" i="95"/>
  <c r="L175" i="111"/>
  <c r="H209" i="112" s="1"/>
  <c r="D211" i="113" s="1"/>
  <c r="E176" i="111"/>
  <c r="H176" i="95"/>
  <c r="I175" i="95"/>
  <c r="Q97" i="113"/>
  <c r="P98" i="113"/>
  <c r="E161" i="95"/>
  <c r="O161" i="95" s="1"/>
  <c r="F160" i="95"/>
  <c r="J160" i="95" s="1"/>
  <c r="N160" i="95" s="1"/>
  <c r="M98" i="113"/>
  <c r="F110" i="113"/>
  <c r="G110" i="113" s="1"/>
  <c r="D178" i="93" l="1"/>
  <c r="E177" i="93"/>
  <c r="P158" i="77"/>
  <c r="O159" i="77"/>
  <c r="T158" i="77"/>
  <c r="Q158" i="77"/>
  <c r="R158" i="77" s="1"/>
  <c r="C162" i="77"/>
  <c r="L161" i="77"/>
  <c r="H159" i="77"/>
  <c r="K158" i="77"/>
  <c r="N158" i="77" s="1"/>
  <c r="S158" i="77" s="1"/>
  <c r="E224" i="88"/>
  <c r="M224" i="88" s="1"/>
  <c r="N187" i="88"/>
  <c r="O186" i="88"/>
  <c r="M168" i="95"/>
  <c r="L169" i="95"/>
  <c r="L156" i="110"/>
  <c r="H157" i="110"/>
  <c r="I157" i="110" s="1"/>
  <c r="J157" i="110" s="1"/>
  <c r="F157" i="110"/>
  <c r="G156" i="110"/>
  <c r="K156" i="110" s="1"/>
  <c r="P156" i="110" s="1"/>
  <c r="V180" i="114"/>
  <c r="W180" i="114" s="1"/>
  <c r="X180" i="114"/>
  <c r="J97" i="112"/>
  <c r="K97" i="112" s="1"/>
  <c r="I98" i="112" s="1"/>
  <c r="C100" i="113" s="1"/>
  <c r="H100" i="113" s="1"/>
  <c r="B100" i="113" s="1"/>
  <c r="B99" i="113"/>
  <c r="I99" i="113"/>
  <c r="J99" i="113" s="1"/>
  <c r="E225" i="110"/>
  <c r="M225" i="110" s="1"/>
  <c r="N213" i="110"/>
  <c r="O212" i="110"/>
  <c r="J182" i="114"/>
  <c r="Y182" i="114" s="1"/>
  <c r="K182" i="114"/>
  <c r="I183" i="114"/>
  <c r="L181" i="114"/>
  <c r="M181" i="114" s="1"/>
  <c r="U181" i="114" s="1"/>
  <c r="P181" i="114"/>
  <c r="F185" i="114"/>
  <c r="G184" i="114"/>
  <c r="H159" i="88"/>
  <c r="S159" i="88" s="1"/>
  <c r="F159" i="88"/>
  <c r="G158" i="88"/>
  <c r="R157" i="88"/>
  <c r="J157" i="88"/>
  <c r="K157" i="88" s="1"/>
  <c r="P157" i="88" s="1"/>
  <c r="I158" i="88"/>
  <c r="L157" i="88"/>
  <c r="G202" i="95"/>
  <c r="K201" i="95"/>
  <c r="F111" i="113"/>
  <c r="G111" i="113" s="1"/>
  <c r="H177" i="95"/>
  <c r="I176" i="95"/>
  <c r="E162" i="95"/>
  <c r="O162" i="95" s="1"/>
  <c r="F161" i="95"/>
  <c r="J161" i="95" s="1"/>
  <c r="Q98" i="113"/>
  <c r="L176" i="111"/>
  <c r="H210" i="112" s="1"/>
  <c r="D212" i="113" s="1"/>
  <c r="E177" i="111"/>
  <c r="D179" i="93" l="1"/>
  <c r="E178" i="93"/>
  <c r="P159" i="77"/>
  <c r="O160" i="77"/>
  <c r="T159" i="77"/>
  <c r="Q159" i="77"/>
  <c r="R159" i="77" s="1"/>
  <c r="C163" i="77"/>
  <c r="L163" i="77" s="1"/>
  <c r="L162" i="77"/>
  <c r="H160" i="77"/>
  <c r="K159" i="77"/>
  <c r="N159" i="77" s="1"/>
  <c r="S159" i="77" s="1"/>
  <c r="N161" i="95"/>
  <c r="D17" i="162"/>
  <c r="D21" i="162" s="1"/>
  <c r="N188" i="88"/>
  <c r="O187" i="88"/>
  <c r="R158" i="88"/>
  <c r="E225" i="88"/>
  <c r="M225" i="88" s="1"/>
  <c r="M169" i="95"/>
  <c r="L170" i="95"/>
  <c r="L157" i="110"/>
  <c r="G157" i="110"/>
  <c r="K157" i="110" s="1"/>
  <c r="P157" i="110" s="1"/>
  <c r="H158" i="110"/>
  <c r="I158" i="110" s="1"/>
  <c r="J158" i="110" s="1"/>
  <c r="F158" i="110"/>
  <c r="V181" i="114"/>
  <c r="W181" i="114" s="1"/>
  <c r="X181" i="114"/>
  <c r="L99" i="113"/>
  <c r="M99" i="113" s="1"/>
  <c r="N214" i="110"/>
  <c r="O213" i="110"/>
  <c r="E226" i="110"/>
  <c r="M226" i="110" s="1"/>
  <c r="J183" i="114"/>
  <c r="Y183" i="114" s="1"/>
  <c r="K183" i="114"/>
  <c r="I184" i="114"/>
  <c r="L182" i="114"/>
  <c r="M182" i="114" s="1"/>
  <c r="U182" i="114" s="1"/>
  <c r="P182" i="114"/>
  <c r="F186" i="114"/>
  <c r="G185" i="114"/>
  <c r="L158" i="88"/>
  <c r="F160" i="88"/>
  <c r="H160" i="88"/>
  <c r="S160" i="88" s="1"/>
  <c r="G159" i="88"/>
  <c r="J158" i="88"/>
  <c r="K158" i="88" s="1"/>
  <c r="P158" i="88" s="1"/>
  <c r="I159" i="88"/>
  <c r="K202" i="95"/>
  <c r="G203" i="95"/>
  <c r="F112" i="113"/>
  <c r="E178" i="111"/>
  <c r="L177" i="111"/>
  <c r="H211" i="112" s="1"/>
  <c r="D213" i="113" s="1"/>
  <c r="H178" i="95"/>
  <c r="I177" i="95"/>
  <c r="J98" i="112"/>
  <c r="I100" i="113"/>
  <c r="J100" i="113" s="1"/>
  <c r="E163" i="95"/>
  <c r="O163" i="95" s="1"/>
  <c r="F162" i="95"/>
  <c r="J162" i="95" s="1"/>
  <c r="N162" i="95" s="1"/>
  <c r="D180" i="93" l="1"/>
  <c r="E179" i="93"/>
  <c r="P160" i="77"/>
  <c r="O161" i="77"/>
  <c r="T160" i="77"/>
  <c r="Q160" i="77"/>
  <c r="R160" i="77" s="1"/>
  <c r="H161" i="77"/>
  <c r="K160" i="77"/>
  <c r="N160" i="77" s="1"/>
  <c r="S160" i="77" s="1"/>
  <c r="G16" i="159"/>
  <c r="R159" i="88"/>
  <c r="E226" i="88"/>
  <c r="M226" i="88" s="1"/>
  <c r="N189" i="88"/>
  <c r="O188" i="88"/>
  <c r="L171" i="95"/>
  <c r="M170" i="95"/>
  <c r="G158" i="110"/>
  <c r="K158" i="110" s="1"/>
  <c r="P158" i="110" s="1"/>
  <c r="H159" i="110"/>
  <c r="I159" i="110" s="1"/>
  <c r="J159" i="110" s="1"/>
  <c r="L158" i="110"/>
  <c r="F159" i="110"/>
  <c r="V182" i="114"/>
  <c r="W182" i="114" s="1"/>
  <c r="X182" i="114"/>
  <c r="O99" i="113"/>
  <c r="E227" i="110"/>
  <c r="M227" i="110" s="1"/>
  <c r="N215" i="110"/>
  <c r="O214" i="110"/>
  <c r="K184" i="114"/>
  <c r="I185" i="114"/>
  <c r="J184" i="114"/>
  <c r="Y184" i="114" s="1"/>
  <c r="L183" i="114"/>
  <c r="M183" i="114" s="1"/>
  <c r="U183" i="114" s="1"/>
  <c r="P183" i="114"/>
  <c r="F187" i="114"/>
  <c r="G186" i="114"/>
  <c r="I160" i="88"/>
  <c r="J159" i="88"/>
  <c r="K159" i="88" s="1"/>
  <c r="P159" i="88" s="1"/>
  <c r="L159" i="88"/>
  <c r="H161" i="88"/>
  <c r="S161" i="88" s="1"/>
  <c r="F161" i="88"/>
  <c r="G160" i="88"/>
  <c r="G204" i="95"/>
  <c r="K203" i="95"/>
  <c r="L100" i="113"/>
  <c r="E179" i="111"/>
  <c r="L178" i="111"/>
  <c r="H212" i="112" s="1"/>
  <c r="D214" i="113" s="1"/>
  <c r="E164" i="95"/>
  <c r="O164" i="95" s="1"/>
  <c r="F163" i="95"/>
  <c r="J163" i="95" s="1"/>
  <c r="N163" i="95" s="1"/>
  <c r="K98" i="112"/>
  <c r="I99" i="112" s="1"/>
  <c r="C101" i="113" s="1"/>
  <c r="H101" i="113" s="1"/>
  <c r="B101" i="113" s="1"/>
  <c r="H179" i="95"/>
  <c r="I178" i="95"/>
  <c r="G112" i="113"/>
  <c r="D181" i="93" l="1"/>
  <c r="E180" i="93"/>
  <c r="O162" i="77"/>
  <c r="P161" i="77"/>
  <c r="T161" i="77"/>
  <c r="Q161" i="77"/>
  <c r="R161" i="77" s="1"/>
  <c r="H162" i="77"/>
  <c r="K161" i="77"/>
  <c r="N161" i="77" s="1"/>
  <c r="S161" i="77" s="1"/>
  <c r="N190" i="88"/>
  <c r="O189" i="88"/>
  <c r="R160" i="88"/>
  <c r="E227" i="88"/>
  <c r="M227" i="88" s="1"/>
  <c r="L172" i="95"/>
  <c r="M171" i="95"/>
  <c r="H160" i="110"/>
  <c r="I160" i="110" s="1"/>
  <c r="J160" i="110" s="1"/>
  <c r="F160" i="110"/>
  <c r="G159" i="110"/>
  <c r="K159" i="110" s="1"/>
  <c r="P159" i="110" s="1"/>
  <c r="L159" i="110"/>
  <c r="X183" i="114"/>
  <c r="V183" i="114"/>
  <c r="W183" i="114" s="1"/>
  <c r="P99" i="113"/>
  <c r="Q99" i="113" s="1"/>
  <c r="N216" i="110"/>
  <c r="O215" i="110"/>
  <c r="E228" i="110"/>
  <c r="M228" i="110" s="1"/>
  <c r="I186" i="114"/>
  <c r="J185" i="114"/>
  <c r="Y185" i="114" s="1"/>
  <c r="K185" i="114"/>
  <c r="L184" i="114"/>
  <c r="M184" i="114" s="1"/>
  <c r="U184" i="114" s="1"/>
  <c r="P184" i="114"/>
  <c r="F188" i="114"/>
  <c r="G187" i="114"/>
  <c r="I161" i="88"/>
  <c r="J160" i="88"/>
  <c r="K160" i="88" s="1"/>
  <c r="P160" i="88" s="1"/>
  <c r="L160" i="88"/>
  <c r="F162" i="88"/>
  <c r="H162" i="88"/>
  <c r="S162" i="88" s="1"/>
  <c r="G161" i="88"/>
  <c r="G205" i="95"/>
  <c r="K204" i="95"/>
  <c r="F113" i="113"/>
  <c r="G113" i="113" s="1"/>
  <c r="J99" i="112"/>
  <c r="M100" i="113"/>
  <c r="I101" i="113"/>
  <c r="J101" i="113" s="1"/>
  <c r="H180" i="95"/>
  <c r="I179" i="95"/>
  <c r="E165" i="95"/>
  <c r="O165" i="95" s="1"/>
  <c r="F164" i="95"/>
  <c r="J164" i="95" s="1"/>
  <c r="N164" i="95" s="1"/>
  <c r="L179" i="111"/>
  <c r="H213" i="112" s="1"/>
  <c r="D215" i="113" s="1"/>
  <c r="E180" i="111"/>
  <c r="O100" i="113"/>
  <c r="D182" i="93" l="1"/>
  <c r="E181" i="93"/>
  <c r="H163" i="77"/>
  <c r="K163" i="77" s="1"/>
  <c r="N163" i="77" s="1"/>
  <c r="K162" i="77"/>
  <c r="N162" i="77" s="1"/>
  <c r="S162" i="77" s="1"/>
  <c r="O163" i="77"/>
  <c r="P162" i="77"/>
  <c r="T162" i="77"/>
  <c r="Q162" i="77"/>
  <c r="R162" i="77" s="1"/>
  <c r="R161" i="88"/>
  <c r="E228" i="88"/>
  <c r="M228" i="88" s="1"/>
  <c r="N191" i="88"/>
  <c r="O190" i="88"/>
  <c r="L173" i="95"/>
  <c r="M172" i="95"/>
  <c r="G160" i="110"/>
  <c r="K160" i="110" s="1"/>
  <c r="P160" i="110" s="1"/>
  <c r="L160" i="110"/>
  <c r="H161" i="110"/>
  <c r="I161" i="110" s="1"/>
  <c r="J161" i="110" s="1"/>
  <c r="F161" i="110"/>
  <c r="X184" i="114"/>
  <c r="L161" i="88"/>
  <c r="V184" i="114"/>
  <c r="W184" i="114" s="1"/>
  <c r="P100" i="113"/>
  <c r="Q100" i="113" s="1"/>
  <c r="E229" i="110"/>
  <c r="M229" i="110" s="1"/>
  <c r="N217" i="110"/>
  <c r="O216" i="110"/>
  <c r="L185" i="114"/>
  <c r="M185" i="114" s="1"/>
  <c r="U185" i="114" s="1"/>
  <c r="P185" i="114"/>
  <c r="K186" i="114"/>
  <c r="I187" i="114"/>
  <c r="J186" i="114"/>
  <c r="Y186" i="114" s="1"/>
  <c r="F189" i="114"/>
  <c r="G188" i="114"/>
  <c r="F163" i="88"/>
  <c r="H163" i="88"/>
  <c r="S163" i="88" s="1"/>
  <c r="G162" i="88"/>
  <c r="J161" i="88"/>
  <c r="K161" i="88" s="1"/>
  <c r="P161" i="88" s="1"/>
  <c r="I162" i="88"/>
  <c r="G206" i="95"/>
  <c r="K205" i="95"/>
  <c r="F114" i="113"/>
  <c r="G114" i="113" s="1"/>
  <c r="L101" i="113"/>
  <c r="O101" i="113" s="1"/>
  <c r="L180" i="111"/>
  <c r="H214" i="112" s="1"/>
  <c r="D216" i="113" s="1"/>
  <c r="E181" i="111"/>
  <c r="E166" i="95"/>
  <c r="O166" i="95" s="1"/>
  <c r="F165" i="95"/>
  <c r="J165" i="95" s="1"/>
  <c r="N165" i="95" s="1"/>
  <c r="H181" i="95"/>
  <c r="I180" i="95"/>
  <c r="K99" i="112"/>
  <c r="D183" i="93" l="1"/>
  <c r="E182" i="93"/>
  <c r="P163" i="77"/>
  <c r="T163" i="77"/>
  <c r="D6" i="162" s="1"/>
  <c r="Q163" i="77"/>
  <c r="R163" i="77" s="1"/>
  <c r="S163" i="77"/>
  <c r="D5" i="162" s="1"/>
  <c r="D7" i="162" s="1"/>
  <c r="N192" i="88"/>
  <c r="D24" i="162" s="1"/>
  <c r="O191" i="88"/>
  <c r="E229" i="88"/>
  <c r="M229" i="88" s="1"/>
  <c r="R162" i="88"/>
  <c r="L174" i="95"/>
  <c r="M173" i="95"/>
  <c r="L161" i="110"/>
  <c r="G161" i="110"/>
  <c r="K161" i="110" s="1"/>
  <c r="P161" i="110" s="1"/>
  <c r="H162" i="110"/>
  <c r="I162" i="110" s="1"/>
  <c r="J162" i="110" s="1"/>
  <c r="F162" i="110"/>
  <c r="X185" i="114"/>
  <c r="V185" i="114"/>
  <c r="W185" i="114" s="1"/>
  <c r="N218" i="110"/>
  <c r="O217" i="110"/>
  <c r="E230" i="110"/>
  <c r="M230" i="110" s="1"/>
  <c r="L186" i="114"/>
  <c r="M186" i="114" s="1"/>
  <c r="U186" i="114" s="1"/>
  <c r="V186" i="114" s="1"/>
  <c r="W186" i="114" s="1"/>
  <c r="P186" i="114"/>
  <c r="I100" i="112"/>
  <c r="J100" i="112" s="1"/>
  <c r="K100" i="112" s="1"/>
  <c r="I101" i="112" s="1"/>
  <c r="C103" i="113" s="1"/>
  <c r="H103" i="113" s="1"/>
  <c r="B103" i="113" s="1"/>
  <c r="J187" i="114"/>
  <c r="Y187" i="114" s="1"/>
  <c r="K187" i="114"/>
  <c r="I188" i="114"/>
  <c r="M101" i="113"/>
  <c r="F190" i="114"/>
  <c r="G189" i="114"/>
  <c r="J162" i="88"/>
  <c r="K162" i="88" s="1"/>
  <c r="P162" i="88" s="1"/>
  <c r="I163" i="88"/>
  <c r="L162" i="88"/>
  <c r="H164" i="88"/>
  <c r="S164" i="88" s="1"/>
  <c r="G163" i="88"/>
  <c r="F164" i="88"/>
  <c r="K206" i="95"/>
  <c r="G207" i="95"/>
  <c r="F115" i="113"/>
  <c r="G115" i="113" s="1"/>
  <c r="H182" i="95"/>
  <c r="I181" i="95"/>
  <c r="L181" i="111"/>
  <c r="H215" i="112" s="1"/>
  <c r="D217" i="113" s="1"/>
  <c r="E182" i="111"/>
  <c r="P101" i="113"/>
  <c r="E167" i="95"/>
  <c r="O167" i="95" s="1"/>
  <c r="F166" i="95"/>
  <c r="J166" i="95" s="1"/>
  <c r="N166" i="95" s="1"/>
  <c r="D184" i="93" l="1"/>
  <c r="E183" i="93"/>
  <c r="G14" i="159"/>
  <c r="R163" i="88"/>
  <c r="E230" i="88"/>
  <c r="M230" i="88" s="1"/>
  <c r="F165" i="88"/>
  <c r="H165" i="88"/>
  <c r="N193" i="88"/>
  <c r="O192" i="88"/>
  <c r="L175" i="95"/>
  <c r="M174" i="95"/>
  <c r="H163" i="110"/>
  <c r="I163" i="110" s="1"/>
  <c r="J163" i="110" s="1"/>
  <c r="F163" i="110"/>
  <c r="L162" i="110"/>
  <c r="G162" i="110"/>
  <c r="K162" i="110" s="1"/>
  <c r="P162" i="110" s="1"/>
  <c r="X186" i="114"/>
  <c r="L163" i="88"/>
  <c r="E231" i="110"/>
  <c r="M231" i="110" s="1"/>
  <c r="N219" i="110"/>
  <c r="O218" i="110"/>
  <c r="K188" i="114"/>
  <c r="I189" i="114"/>
  <c r="J188" i="114"/>
  <c r="Y188" i="114" s="1"/>
  <c r="C102" i="113"/>
  <c r="H102" i="113" s="1"/>
  <c r="P187" i="114"/>
  <c r="L187" i="114"/>
  <c r="M187" i="114" s="1"/>
  <c r="U187" i="114" s="1"/>
  <c r="G190" i="114"/>
  <c r="F191" i="114"/>
  <c r="S165" i="88"/>
  <c r="G164" i="88"/>
  <c r="J163" i="88"/>
  <c r="K163" i="88" s="1"/>
  <c r="P163" i="88" s="1"/>
  <c r="I164" i="88"/>
  <c r="K207" i="95"/>
  <c r="J101" i="112"/>
  <c r="K101" i="112" s="1"/>
  <c r="I102" i="112" s="1"/>
  <c r="C104" i="113" s="1"/>
  <c r="H104" i="113" s="1"/>
  <c r="B104" i="113" s="1"/>
  <c r="F116" i="113"/>
  <c r="E168" i="95"/>
  <c r="O168" i="95" s="1"/>
  <c r="F167" i="95"/>
  <c r="J167" i="95" s="1"/>
  <c r="N167" i="95" s="1"/>
  <c r="Q101" i="113"/>
  <c r="H183" i="95"/>
  <c r="I182" i="95"/>
  <c r="E183" i="111"/>
  <c r="L182" i="111"/>
  <c r="H216" i="112" s="1"/>
  <c r="D218" i="113" s="1"/>
  <c r="D185" i="93" l="1"/>
  <c r="E184" i="93"/>
  <c r="L164" i="88"/>
  <c r="I165" i="88"/>
  <c r="E231" i="88"/>
  <c r="M231" i="88" s="1"/>
  <c r="N194" i="88"/>
  <c r="O193" i="88"/>
  <c r="L165" i="88"/>
  <c r="H166" i="88"/>
  <c r="I166" i="88" s="1"/>
  <c r="F166" i="88"/>
  <c r="G165" i="88"/>
  <c r="L176" i="95"/>
  <c r="M175" i="95"/>
  <c r="H164" i="110"/>
  <c r="I164" i="110" s="1"/>
  <c r="J164" i="110" s="1"/>
  <c r="F164" i="110"/>
  <c r="L163" i="110"/>
  <c r="G163" i="110"/>
  <c r="K163" i="110" s="1"/>
  <c r="P163" i="110" s="1"/>
  <c r="X187" i="114"/>
  <c r="V187" i="114"/>
  <c r="W187" i="114" s="1"/>
  <c r="N220" i="110"/>
  <c r="O219" i="110"/>
  <c r="E232" i="110"/>
  <c r="M232" i="110" s="1"/>
  <c r="B102" i="113"/>
  <c r="I102" i="113"/>
  <c r="I190" i="114"/>
  <c r="K189" i="114"/>
  <c r="J189" i="114"/>
  <c r="Y189" i="114" s="1"/>
  <c r="L188" i="114"/>
  <c r="M188" i="114" s="1"/>
  <c r="U188" i="114" s="1"/>
  <c r="P188" i="114"/>
  <c r="F192" i="114"/>
  <c r="G191" i="114"/>
  <c r="R165" i="88"/>
  <c r="J164" i="88"/>
  <c r="K164" i="88" s="1"/>
  <c r="P164" i="88" s="1"/>
  <c r="R164" i="88"/>
  <c r="E184" i="111"/>
  <c r="L183" i="111"/>
  <c r="H217" i="112" s="1"/>
  <c r="D219" i="113" s="1"/>
  <c r="H184" i="95"/>
  <c r="I183" i="95"/>
  <c r="J102" i="112"/>
  <c r="E169" i="95"/>
  <c r="O169" i="95" s="1"/>
  <c r="F168" i="95"/>
  <c r="J168" i="95" s="1"/>
  <c r="N168" i="95" s="1"/>
  <c r="G116" i="113"/>
  <c r="D186" i="93" l="1"/>
  <c r="E185" i="93"/>
  <c r="S166" i="88"/>
  <c r="J166" i="88"/>
  <c r="J165" i="88"/>
  <c r="K165" i="88" s="1"/>
  <c r="P165" i="88" s="1"/>
  <c r="E232" i="88"/>
  <c r="M232" i="88" s="1"/>
  <c r="H167" i="88"/>
  <c r="I167" i="88" s="1"/>
  <c r="F167" i="88"/>
  <c r="L166" i="88"/>
  <c r="G166" i="88"/>
  <c r="N195" i="88"/>
  <c r="O194" i="88"/>
  <c r="M176" i="95"/>
  <c r="L177" i="95"/>
  <c r="G164" i="110"/>
  <c r="K164" i="110" s="1"/>
  <c r="L164" i="110"/>
  <c r="F165" i="110"/>
  <c r="H165" i="110"/>
  <c r="I165" i="110" s="1"/>
  <c r="J165" i="110" s="1"/>
  <c r="X188" i="114"/>
  <c r="V188" i="114"/>
  <c r="W188" i="114" s="1"/>
  <c r="E233" i="110"/>
  <c r="M233" i="110" s="1"/>
  <c r="N221" i="110"/>
  <c r="O220" i="110"/>
  <c r="P189" i="114"/>
  <c r="L189" i="114"/>
  <c r="M189" i="114" s="1"/>
  <c r="U189" i="114" s="1"/>
  <c r="I191" i="114"/>
  <c r="J190" i="114"/>
  <c r="Y190" i="114" s="1"/>
  <c r="K190" i="114"/>
  <c r="J102" i="113"/>
  <c r="L102" i="113"/>
  <c r="G192" i="114"/>
  <c r="F193" i="114"/>
  <c r="S167" i="88"/>
  <c r="R166" i="88"/>
  <c r="F117" i="113"/>
  <c r="E170" i="95"/>
  <c r="O170" i="95" s="1"/>
  <c r="F169" i="95"/>
  <c r="J169" i="95" s="1"/>
  <c r="N169" i="95" s="1"/>
  <c r="K102" i="112"/>
  <c r="I103" i="112" s="1"/>
  <c r="C105" i="113" s="1"/>
  <c r="H105" i="113" s="1"/>
  <c r="B105" i="113" s="1"/>
  <c r="E185" i="111"/>
  <c r="L184" i="111"/>
  <c r="H218" i="112" s="1"/>
  <c r="D220" i="113" s="1"/>
  <c r="H185" i="95"/>
  <c r="I184" i="95"/>
  <c r="D187" i="93" l="1"/>
  <c r="E186" i="93"/>
  <c r="E233" i="88"/>
  <c r="M233" i="88" s="1"/>
  <c r="F168" i="88"/>
  <c r="L167" i="88"/>
  <c r="H168" i="88"/>
  <c r="I168" i="88" s="1"/>
  <c r="G167" i="88"/>
  <c r="N196" i="88"/>
  <c r="O195" i="88"/>
  <c r="K166" i="88"/>
  <c r="P166" i="88" s="1"/>
  <c r="J167" i="88"/>
  <c r="M177" i="95"/>
  <c r="L178" i="95"/>
  <c r="L165" i="110"/>
  <c r="H166" i="110"/>
  <c r="I166" i="110" s="1"/>
  <c r="J166" i="110" s="1"/>
  <c r="F166" i="110"/>
  <c r="G165" i="110"/>
  <c r="K165" i="110" s="1"/>
  <c r="P165" i="110" s="1"/>
  <c r="P164" i="110"/>
  <c r="V189" i="114"/>
  <c r="W189" i="114" s="1"/>
  <c r="X189" i="114"/>
  <c r="N222" i="110"/>
  <c r="O221" i="110"/>
  <c r="E234" i="110"/>
  <c r="M234" i="110" s="1"/>
  <c r="O102" i="113"/>
  <c r="M102" i="113"/>
  <c r="I192" i="114"/>
  <c r="J191" i="114"/>
  <c r="Y191" i="114" s="1"/>
  <c r="K191" i="114"/>
  <c r="I103" i="113"/>
  <c r="L103" i="113" s="1"/>
  <c r="P190" i="114"/>
  <c r="L190" i="114"/>
  <c r="M190" i="114" s="1"/>
  <c r="U190" i="114" s="1"/>
  <c r="G193" i="114"/>
  <c r="F194" i="114"/>
  <c r="R167" i="88"/>
  <c r="H186" i="95"/>
  <c r="I185" i="95"/>
  <c r="L185" i="111"/>
  <c r="H219" i="112" s="1"/>
  <c r="D221" i="113" s="1"/>
  <c r="E186" i="111"/>
  <c r="J103" i="112"/>
  <c r="E171" i="95"/>
  <c r="O171" i="95" s="1"/>
  <c r="F170" i="95"/>
  <c r="J170" i="95" s="1"/>
  <c r="N170" i="95" s="1"/>
  <c r="G117" i="113"/>
  <c r="D188" i="93" l="1"/>
  <c r="E187" i="93"/>
  <c r="E234" i="88"/>
  <c r="M234" i="88" s="1"/>
  <c r="N197" i="88"/>
  <c r="O196" i="88"/>
  <c r="J168" i="88"/>
  <c r="S168" i="88"/>
  <c r="K167" i="88"/>
  <c r="P167" i="88" s="1"/>
  <c r="L168" i="88"/>
  <c r="H169" i="88"/>
  <c r="I169" i="88" s="1"/>
  <c r="F169" i="88"/>
  <c r="G168" i="88"/>
  <c r="M178" i="95"/>
  <c r="L179" i="95"/>
  <c r="G166" i="110"/>
  <c r="K166" i="110" s="1"/>
  <c r="P166" i="110" s="1"/>
  <c r="F167" i="110"/>
  <c r="L166" i="110"/>
  <c r="H167" i="110"/>
  <c r="I167" i="110" s="1"/>
  <c r="J167" i="110" s="1"/>
  <c r="V190" i="114"/>
  <c r="W190" i="114" s="1"/>
  <c r="X190" i="114"/>
  <c r="E235" i="110"/>
  <c r="M235" i="110" s="1"/>
  <c r="N223" i="110"/>
  <c r="O222" i="110"/>
  <c r="J103" i="113"/>
  <c r="I104" i="113" s="1"/>
  <c r="I193" i="114"/>
  <c r="J192" i="114"/>
  <c r="Y192" i="114" s="1"/>
  <c r="K192" i="114"/>
  <c r="O103" i="113"/>
  <c r="M103" i="113"/>
  <c r="P191" i="114"/>
  <c r="L191" i="114"/>
  <c r="M191" i="114" s="1"/>
  <c r="U191" i="114" s="1"/>
  <c r="P102" i="113"/>
  <c r="F195" i="114"/>
  <c r="G194" i="114"/>
  <c r="S169" i="88"/>
  <c r="F118" i="113"/>
  <c r="G118" i="113" s="1"/>
  <c r="E172" i="95"/>
  <c r="O172" i="95" s="1"/>
  <c r="F171" i="95"/>
  <c r="J171" i="95" s="1"/>
  <c r="N171" i="95" s="1"/>
  <c r="K103" i="112"/>
  <c r="I104" i="112" s="1"/>
  <c r="C106" i="113" s="1"/>
  <c r="H106" i="113" s="1"/>
  <c r="B106" i="113" s="1"/>
  <c r="E187" i="111"/>
  <c r="L186" i="111"/>
  <c r="H220" i="112" s="1"/>
  <c r="D222" i="113" s="1"/>
  <c r="H187" i="95"/>
  <c r="I186" i="95"/>
  <c r="D189" i="93" l="1"/>
  <c r="E188" i="93"/>
  <c r="K168" i="88"/>
  <c r="P168" i="88" s="1"/>
  <c r="F170" i="88"/>
  <c r="L169" i="88"/>
  <c r="H170" i="88"/>
  <c r="G169" i="88"/>
  <c r="N198" i="88"/>
  <c r="O197" i="88"/>
  <c r="I170" i="88"/>
  <c r="J169" i="88"/>
  <c r="E235" i="88"/>
  <c r="M235" i="88" s="1"/>
  <c r="M179" i="95"/>
  <c r="L180" i="95"/>
  <c r="F168" i="110"/>
  <c r="L167" i="110"/>
  <c r="G167" i="110"/>
  <c r="K167" i="110" s="1"/>
  <c r="P167" i="110" s="1"/>
  <c r="H168" i="110"/>
  <c r="I168" i="110" s="1"/>
  <c r="J168" i="110" s="1"/>
  <c r="X191" i="114"/>
  <c r="V191" i="114"/>
  <c r="W191" i="114" s="1"/>
  <c r="N224" i="110"/>
  <c r="O223" i="110"/>
  <c r="E236" i="110"/>
  <c r="M236" i="110" s="1"/>
  <c r="L192" i="114"/>
  <c r="M192" i="114" s="1"/>
  <c r="U192" i="114" s="1"/>
  <c r="P192" i="114"/>
  <c r="Q102" i="113"/>
  <c r="P103" i="113"/>
  <c r="K193" i="114"/>
  <c r="I194" i="114"/>
  <c r="J193" i="114"/>
  <c r="Y193" i="114" s="1"/>
  <c r="J104" i="113"/>
  <c r="L104" i="113"/>
  <c r="G195" i="114"/>
  <c r="F196" i="114"/>
  <c r="R169" i="88"/>
  <c r="R168" i="88"/>
  <c r="S170" i="88"/>
  <c r="F119" i="113"/>
  <c r="L187" i="111"/>
  <c r="H221" i="112" s="1"/>
  <c r="D223" i="113" s="1"/>
  <c r="E188" i="111"/>
  <c r="J104" i="112"/>
  <c r="E173" i="95"/>
  <c r="O173" i="95" s="1"/>
  <c r="F172" i="95"/>
  <c r="J172" i="95" s="1"/>
  <c r="N172" i="95" s="1"/>
  <c r="H188" i="95"/>
  <c r="I187" i="95"/>
  <c r="D190" i="93" l="1"/>
  <c r="E189" i="93"/>
  <c r="K169" i="88"/>
  <c r="P169" i="88" s="1"/>
  <c r="N199" i="88"/>
  <c r="O198" i="88"/>
  <c r="E236" i="88"/>
  <c r="M236" i="88" s="1"/>
  <c r="J170" i="88"/>
  <c r="F171" i="88"/>
  <c r="L170" i="88"/>
  <c r="H171" i="88"/>
  <c r="I171" i="88" s="1"/>
  <c r="G170" i="88"/>
  <c r="L181" i="95"/>
  <c r="M180" i="95"/>
  <c r="G168" i="110"/>
  <c r="K168" i="110" s="1"/>
  <c r="P168" i="110" s="1"/>
  <c r="F169" i="110"/>
  <c r="L168" i="110"/>
  <c r="H169" i="110"/>
  <c r="I169" i="110" s="1"/>
  <c r="J169" i="110" s="1"/>
  <c r="V192" i="114"/>
  <c r="W192" i="114" s="1"/>
  <c r="X192" i="114"/>
  <c r="E237" i="110"/>
  <c r="M237" i="110" s="1"/>
  <c r="N225" i="110"/>
  <c r="O224" i="110"/>
  <c r="I195" i="114"/>
  <c r="J194" i="114"/>
  <c r="Y194" i="114" s="1"/>
  <c r="K194" i="114"/>
  <c r="O104" i="113"/>
  <c r="M104" i="113"/>
  <c r="P193" i="114"/>
  <c r="L193" i="114"/>
  <c r="M193" i="114" s="1"/>
  <c r="U193" i="114" s="1"/>
  <c r="I105" i="113"/>
  <c r="L105" i="113" s="1"/>
  <c r="Q103" i="113"/>
  <c r="G196" i="114"/>
  <c r="F197" i="114"/>
  <c r="S171" i="88"/>
  <c r="E189" i="111"/>
  <c r="L188" i="111"/>
  <c r="H222" i="112" s="1"/>
  <c r="D224" i="113" s="1"/>
  <c r="H189" i="95"/>
  <c r="I188" i="95"/>
  <c r="E174" i="95"/>
  <c r="O174" i="95" s="1"/>
  <c r="F173" i="95"/>
  <c r="J173" i="95" s="1"/>
  <c r="N173" i="95" s="1"/>
  <c r="K104" i="112"/>
  <c r="G119" i="113"/>
  <c r="D191" i="93" l="1"/>
  <c r="E190" i="93"/>
  <c r="J171" i="88"/>
  <c r="N200" i="88"/>
  <c r="O199" i="88"/>
  <c r="K170" i="88"/>
  <c r="P170" i="88" s="1"/>
  <c r="L171" i="88"/>
  <c r="H172" i="88"/>
  <c r="I172" i="88" s="1"/>
  <c r="F172" i="88"/>
  <c r="G171" i="88"/>
  <c r="E237" i="88"/>
  <c r="M237" i="88" s="1"/>
  <c r="L182" i="95"/>
  <c r="M181" i="95"/>
  <c r="H170" i="110"/>
  <c r="I170" i="110" s="1"/>
  <c r="J170" i="110" s="1"/>
  <c r="F170" i="110"/>
  <c r="L169" i="110"/>
  <c r="G169" i="110"/>
  <c r="K169" i="110" s="1"/>
  <c r="P169" i="110" s="1"/>
  <c r="V193" i="114"/>
  <c r="W193" i="114" s="1"/>
  <c r="X193" i="114"/>
  <c r="N226" i="110"/>
  <c r="O225" i="110"/>
  <c r="E238" i="110"/>
  <c r="M238" i="110" s="1"/>
  <c r="O105" i="113"/>
  <c r="P104" i="113"/>
  <c r="L194" i="114"/>
  <c r="M194" i="114" s="1"/>
  <c r="U194" i="114" s="1"/>
  <c r="P194" i="114"/>
  <c r="I105" i="112"/>
  <c r="C107" i="113" s="1"/>
  <c r="H107" i="113" s="1"/>
  <c r="B107" i="113" s="1"/>
  <c r="J105" i="113"/>
  <c r="I106" i="113" s="1"/>
  <c r="M105" i="113"/>
  <c r="I196" i="114"/>
  <c r="J195" i="114"/>
  <c r="Y195" i="114" s="1"/>
  <c r="K195" i="114"/>
  <c r="G197" i="114"/>
  <c r="F198" i="114"/>
  <c r="R170" i="88"/>
  <c r="E175" i="95"/>
  <c r="O175" i="95" s="1"/>
  <c r="F174" i="95"/>
  <c r="J174" i="95" s="1"/>
  <c r="N174" i="95" s="1"/>
  <c r="F120" i="113"/>
  <c r="G120" i="113" s="1"/>
  <c r="H190" i="95"/>
  <c r="I189" i="95"/>
  <c r="E190" i="111"/>
  <c r="L189" i="111"/>
  <c r="H223" i="112" s="1"/>
  <c r="D225" i="113" s="1"/>
  <c r="D192" i="93" l="1"/>
  <c r="E191" i="93"/>
  <c r="S172" i="88"/>
  <c r="E238" i="88"/>
  <c r="M238" i="88" s="1"/>
  <c r="N201" i="88"/>
  <c r="O200" i="88"/>
  <c r="F173" i="88"/>
  <c r="L172" i="88"/>
  <c r="H173" i="88"/>
  <c r="I173" i="88" s="1"/>
  <c r="G172" i="88"/>
  <c r="J172" i="88"/>
  <c r="K171" i="88"/>
  <c r="P171" i="88" s="1"/>
  <c r="M182" i="95"/>
  <c r="L183" i="95"/>
  <c r="G170" i="110"/>
  <c r="K170" i="110" s="1"/>
  <c r="P170" i="110" s="1"/>
  <c r="H171" i="110"/>
  <c r="I171" i="110" s="1"/>
  <c r="J171" i="110" s="1"/>
  <c r="L170" i="110"/>
  <c r="F171" i="110"/>
  <c r="X194" i="114"/>
  <c r="V194" i="114"/>
  <c r="W194" i="114" s="1"/>
  <c r="J105" i="112"/>
  <c r="K105" i="112" s="1"/>
  <c r="I106" i="112" s="1"/>
  <c r="C108" i="113" s="1"/>
  <c r="H108" i="113" s="1"/>
  <c r="B108" i="113" s="1"/>
  <c r="E239" i="110"/>
  <c r="M239" i="110" s="1"/>
  <c r="N227" i="110"/>
  <c r="O226" i="110"/>
  <c r="J196" i="114"/>
  <c r="Y196" i="114" s="1"/>
  <c r="K196" i="114"/>
  <c r="I197" i="114"/>
  <c r="P105" i="113"/>
  <c r="Q104" i="113"/>
  <c r="L195" i="114"/>
  <c r="M195" i="114" s="1"/>
  <c r="U195" i="114" s="1"/>
  <c r="P195" i="114"/>
  <c r="J106" i="113"/>
  <c r="I107" i="113" s="1"/>
  <c r="J107" i="113" s="1"/>
  <c r="L106" i="113"/>
  <c r="G198" i="114"/>
  <c r="F199" i="114"/>
  <c r="R171" i="88"/>
  <c r="F121" i="113"/>
  <c r="E191" i="111"/>
  <c r="L190" i="111"/>
  <c r="H224" i="112" s="1"/>
  <c r="D226" i="113" s="1"/>
  <c r="H191" i="95"/>
  <c r="I190" i="95"/>
  <c r="E176" i="95"/>
  <c r="O176" i="95" s="1"/>
  <c r="F175" i="95"/>
  <c r="J175" i="95" s="1"/>
  <c r="N175" i="95" s="1"/>
  <c r="D193" i="93" l="1"/>
  <c r="E192" i="93"/>
  <c r="K172" i="88"/>
  <c r="P172" i="88" s="1"/>
  <c r="S173" i="88"/>
  <c r="F174" i="88"/>
  <c r="L173" i="88"/>
  <c r="H174" i="88"/>
  <c r="I174" i="88" s="1"/>
  <c r="G173" i="88"/>
  <c r="N202" i="88"/>
  <c r="O201" i="88"/>
  <c r="E239" i="88"/>
  <c r="M239" i="88" s="1"/>
  <c r="J173" i="88"/>
  <c r="M183" i="95"/>
  <c r="L184" i="95"/>
  <c r="G171" i="110"/>
  <c r="K171" i="110" s="1"/>
  <c r="P171" i="110" s="1"/>
  <c r="H172" i="110"/>
  <c r="I172" i="110" s="1"/>
  <c r="J172" i="110" s="1"/>
  <c r="F172" i="110"/>
  <c r="L171" i="110"/>
  <c r="X195" i="114"/>
  <c r="V195" i="114"/>
  <c r="W195" i="114" s="1"/>
  <c r="L107" i="113"/>
  <c r="O107" i="113" s="1"/>
  <c r="N228" i="110"/>
  <c r="O227" i="110"/>
  <c r="E240" i="110"/>
  <c r="M240" i="110" s="1"/>
  <c r="I198" i="114"/>
  <c r="J197" i="114"/>
  <c r="Y197" i="114" s="1"/>
  <c r="K197" i="114"/>
  <c r="O106" i="113"/>
  <c r="M106" i="113"/>
  <c r="P196" i="114"/>
  <c r="L196" i="114"/>
  <c r="M196" i="114" s="1"/>
  <c r="U196" i="114" s="1"/>
  <c r="Q105" i="113"/>
  <c r="G199" i="114"/>
  <c r="F200" i="114"/>
  <c r="R172" i="88"/>
  <c r="J106" i="112"/>
  <c r="L191" i="111"/>
  <c r="H225" i="112" s="1"/>
  <c r="D227" i="113" s="1"/>
  <c r="E192" i="111"/>
  <c r="E177" i="95"/>
  <c r="O177" i="95" s="1"/>
  <c r="F176" i="95"/>
  <c r="J176" i="95" s="1"/>
  <c r="N176" i="95" s="1"/>
  <c r="I108" i="113"/>
  <c r="H192" i="95"/>
  <c r="I191" i="95"/>
  <c r="G121" i="113"/>
  <c r="D194" i="93" l="1"/>
  <c r="E193" i="93"/>
  <c r="S174" i="88"/>
  <c r="N203" i="88"/>
  <c r="O202" i="88"/>
  <c r="J174" i="88"/>
  <c r="E240" i="88"/>
  <c r="M240" i="88" s="1"/>
  <c r="K173" i="88"/>
  <c r="P173" i="88" s="1"/>
  <c r="F175" i="88"/>
  <c r="L174" i="88"/>
  <c r="H175" i="88"/>
  <c r="S175" i="88" s="1"/>
  <c r="G174" i="88"/>
  <c r="L185" i="95"/>
  <c r="M184" i="95"/>
  <c r="L172" i="110"/>
  <c r="H173" i="110"/>
  <c r="I173" i="110" s="1"/>
  <c r="J173" i="110" s="1"/>
  <c r="F173" i="110"/>
  <c r="G172" i="110"/>
  <c r="K172" i="110" s="1"/>
  <c r="P172" i="110" s="1"/>
  <c r="M107" i="113"/>
  <c r="R173" i="88"/>
  <c r="E241" i="110"/>
  <c r="M241" i="110" s="1"/>
  <c r="N229" i="110"/>
  <c r="O228" i="110"/>
  <c r="X196" i="114"/>
  <c r="V196" i="114"/>
  <c r="W196" i="114" s="1"/>
  <c r="P106" i="113"/>
  <c r="L197" i="114"/>
  <c r="M197" i="114" s="1"/>
  <c r="U197" i="114" s="1"/>
  <c r="P197" i="114"/>
  <c r="J198" i="114"/>
  <c r="Y198" i="114" s="1"/>
  <c r="K198" i="114"/>
  <c r="I199" i="114"/>
  <c r="G200" i="114"/>
  <c r="F201" i="114"/>
  <c r="F122" i="113"/>
  <c r="G122" i="113" s="1"/>
  <c r="E178" i="95"/>
  <c r="O178" i="95" s="1"/>
  <c r="F177" i="95"/>
  <c r="J177" i="95" s="1"/>
  <c r="N177" i="95" s="1"/>
  <c r="L192" i="111"/>
  <c r="H226" i="112" s="1"/>
  <c r="D228" i="113" s="1"/>
  <c r="E193" i="111"/>
  <c r="K106" i="112"/>
  <c r="I107" i="112" s="1"/>
  <c r="C109" i="113" s="1"/>
  <c r="H109" i="113" s="1"/>
  <c r="B109" i="113" s="1"/>
  <c r="H193" i="95"/>
  <c r="I192" i="95"/>
  <c r="L108" i="113"/>
  <c r="O108" i="113" s="1"/>
  <c r="J108" i="113"/>
  <c r="K174" i="88" l="1"/>
  <c r="P174" i="88" s="1"/>
  <c r="D195" i="93"/>
  <c r="E194" i="93"/>
  <c r="I175" i="88"/>
  <c r="E241" i="88"/>
  <c r="M241" i="88" s="1"/>
  <c r="N204" i="88"/>
  <c r="O203" i="88"/>
  <c r="L175" i="88"/>
  <c r="H176" i="88"/>
  <c r="F176" i="88"/>
  <c r="G175" i="88"/>
  <c r="J175" i="88"/>
  <c r="M185" i="95"/>
  <c r="L186" i="95"/>
  <c r="L173" i="110"/>
  <c r="G173" i="110"/>
  <c r="K173" i="110" s="1"/>
  <c r="P173" i="110" s="1"/>
  <c r="F174" i="110"/>
  <c r="H174" i="110"/>
  <c r="I174" i="110" s="1"/>
  <c r="J174" i="110" s="1"/>
  <c r="X197" i="114"/>
  <c r="V197" i="114"/>
  <c r="W197" i="114" s="1"/>
  <c r="N230" i="110"/>
  <c r="O229" i="110"/>
  <c r="E242" i="110"/>
  <c r="M242" i="110" s="1"/>
  <c r="J199" i="114"/>
  <c r="Y199" i="114" s="1"/>
  <c r="K199" i="114"/>
  <c r="I200" i="114"/>
  <c r="P198" i="114"/>
  <c r="L198" i="114"/>
  <c r="M198" i="114" s="1"/>
  <c r="U198" i="114" s="1"/>
  <c r="Q106" i="113"/>
  <c r="P107" i="113"/>
  <c r="G201" i="114"/>
  <c r="F202" i="114"/>
  <c r="S176" i="88"/>
  <c r="R174" i="88"/>
  <c r="F123" i="113"/>
  <c r="I109" i="113"/>
  <c r="H194" i="95"/>
  <c r="I193" i="95"/>
  <c r="J107" i="112"/>
  <c r="L193" i="111"/>
  <c r="H227" i="112" s="1"/>
  <c r="D229" i="113" s="1"/>
  <c r="E194" i="111"/>
  <c r="E179" i="95"/>
  <c r="O179" i="95" s="1"/>
  <c r="F178" i="95"/>
  <c r="J178" i="95" s="1"/>
  <c r="N178" i="95" s="1"/>
  <c r="M108" i="113"/>
  <c r="I176" i="88" l="1"/>
  <c r="R176" i="88" s="1"/>
  <c r="D196" i="93"/>
  <c r="E195" i="93"/>
  <c r="K175" i="88"/>
  <c r="P175" i="88" s="1"/>
  <c r="N205" i="88"/>
  <c r="O204" i="88"/>
  <c r="E242" i="88"/>
  <c r="M242" i="88" s="1"/>
  <c r="H177" i="88"/>
  <c r="F177" i="88"/>
  <c r="G176" i="88"/>
  <c r="L187" i="95"/>
  <c r="M186" i="95"/>
  <c r="L174" i="110"/>
  <c r="H175" i="110"/>
  <c r="I175" i="110" s="1"/>
  <c r="J175" i="110" s="1"/>
  <c r="F175" i="110"/>
  <c r="G174" i="110"/>
  <c r="K174" i="110" s="1"/>
  <c r="P174" i="110" s="1"/>
  <c r="V198" i="114"/>
  <c r="W198" i="114" s="1"/>
  <c r="X198" i="114"/>
  <c r="P108" i="113"/>
  <c r="E243" i="110"/>
  <c r="M243" i="110" s="1"/>
  <c r="N231" i="110"/>
  <c r="O230" i="110"/>
  <c r="Q107" i="113"/>
  <c r="J200" i="114"/>
  <c r="Y200" i="114" s="1"/>
  <c r="K200" i="114"/>
  <c r="I201" i="114"/>
  <c r="P199" i="114"/>
  <c r="L199" i="114"/>
  <c r="M199" i="114" s="1"/>
  <c r="U199" i="114" s="1"/>
  <c r="G202" i="114"/>
  <c r="F203" i="114"/>
  <c r="R175" i="88"/>
  <c r="E180" i="95"/>
  <c r="O180" i="95" s="1"/>
  <c r="F179" i="95"/>
  <c r="J179" i="95" s="1"/>
  <c r="N179" i="95" s="1"/>
  <c r="K107" i="112"/>
  <c r="I108" i="112" s="1"/>
  <c r="C110" i="113" s="1"/>
  <c r="H110" i="113" s="1"/>
  <c r="B110" i="113" s="1"/>
  <c r="L109" i="113"/>
  <c r="M109" i="113" s="1"/>
  <c r="L194" i="111"/>
  <c r="H228" i="112" s="1"/>
  <c r="D230" i="113" s="1"/>
  <c r="E195" i="111"/>
  <c r="H195" i="95"/>
  <c r="I194" i="95"/>
  <c r="J109" i="113"/>
  <c r="G123" i="113"/>
  <c r="I177" i="88" l="1"/>
  <c r="L177" i="88" s="1"/>
  <c r="L176" i="88"/>
  <c r="J176" i="88"/>
  <c r="D197" i="93"/>
  <c r="E196" i="93"/>
  <c r="K176" i="88"/>
  <c r="P176" i="88" s="1"/>
  <c r="H178" i="88"/>
  <c r="I178" i="88" s="1"/>
  <c r="F178" i="88"/>
  <c r="G177" i="88"/>
  <c r="E243" i="88"/>
  <c r="M243" i="88" s="1"/>
  <c r="S177" i="88"/>
  <c r="N206" i="88"/>
  <c r="O205" i="88"/>
  <c r="L188" i="95"/>
  <c r="M187" i="95"/>
  <c r="H176" i="110"/>
  <c r="I176" i="110" s="1"/>
  <c r="J176" i="110" s="1"/>
  <c r="F176" i="110"/>
  <c r="L175" i="110"/>
  <c r="G175" i="110"/>
  <c r="K175" i="110" s="1"/>
  <c r="P175" i="110" s="1"/>
  <c r="Q108" i="113"/>
  <c r="N232" i="110"/>
  <c r="O231" i="110"/>
  <c r="E244" i="110"/>
  <c r="M244" i="110" s="1"/>
  <c r="X199" i="114"/>
  <c r="V199" i="114"/>
  <c r="W199" i="114" s="1"/>
  <c r="L200" i="114"/>
  <c r="M200" i="114" s="1"/>
  <c r="U200" i="114" s="1"/>
  <c r="P200" i="114"/>
  <c r="I202" i="114"/>
  <c r="J201" i="114"/>
  <c r="Y201" i="114" s="1"/>
  <c r="K201" i="114"/>
  <c r="G203" i="114"/>
  <c r="F204" i="114"/>
  <c r="F124" i="113"/>
  <c r="H196" i="95"/>
  <c r="I195" i="95"/>
  <c r="E196" i="111"/>
  <c r="L195" i="111"/>
  <c r="H229" i="112" s="1"/>
  <c r="D231" i="113" s="1"/>
  <c r="I110" i="113"/>
  <c r="O109" i="113"/>
  <c r="J108" i="112"/>
  <c r="K108" i="112" s="1"/>
  <c r="E181" i="95"/>
  <c r="O181" i="95" s="1"/>
  <c r="F180" i="95"/>
  <c r="J180" i="95" s="1"/>
  <c r="N180" i="95" s="1"/>
  <c r="J177" i="88" l="1"/>
  <c r="D198" i="93"/>
  <c r="E197" i="93"/>
  <c r="S178" i="88"/>
  <c r="J178" i="88"/>
  <c r="K177" i="88"/>
  <c r="P177" i="88" s="1"/>
  <c r="N207" i="88"/>
  <c r="O206" i="88"/>
  <c r="E244" i="88"/>
  <c r="M244" i="88" s="1"/>
  <c r="L178" i="88"/>
  <c r="H179" i="88"/>
  <c r="I179" i="88" s="1"/>
  <c r="F179" i="88"/>
  <c r="G178" i="88"/>
  <c r="K178" i="88" s="1"/>
  <c r="P178" i="88" s="1"/>
  <c r="L189" i="95"/>
  <c r="M188" i="95"/>
  <c r="G176" i="110"/>
  <c r="K176" i="110" s="1"/>
  <c r="P176" i="110" s="1"/>
  <c r="L176" i="110"/>
  <c r="H177" i="110"/>
  <c r="I177" i="110" s="1"/>
  <c r="J177" i="110" s="1"/>
  <c r="F177" i="110"/>
  <c r="V200" i="114"/>
  <c r="W200" i="114" s="1"/>
  <c r="X200" i="114"/>
  <c r="E245" i="110"/>
  <c r="M245" i="110" s="1"/>
  <c r="N233" i="110"/>
  <c r="O232" i="110"/>
  <c r="J202" i="114"/>
  <c r="Y202" i="114" s="1"/>
  <c r="K202" i="114"/>
  <c r="I203" i="114"/>
  <c r="L201" i="114"/>
  <c r="M201" i="114" s="1"/>
  <c r="U201" i="114" s="1"/>
  <c r="P201" i="114"/>
  <c r="F205" i="114"/>
  <c r="G204" i="114"/>
  <c r="R177" i="88"/>
  <c r="S179" i="88"/>
  <c r="I109" i="112"/>
  <c r="C111" i="113" s="1"/>
  <c r="H111" i="113" s="1"/>
  <c r="B111" i="113" s="1"/>
  <c r="L110" i="113"/>
  <c r="O110" i="113" s="1"/>
  <c r="E197" i="111"/>
  <c r="L196" i="111"/>
  <c r="H230" i="112" s="1"/>
  <c r="D232" i="113" s="1"/>
  <c r="E182" i="95"/>
  <c r="O182" i="95" s="1"/>
  <c r="F181" i="95"/>
  <c r="J181" i="95" s="1"/>
  <c r="N181" i="95" s="1"/>
  <c r="P109" i="113"/>
  <c r="J110" i="113"/>
  <c r="H197" i="95"/>
  <c r="I196" i="95"/>
  <c r="G124" i="113"/>
  <c r="D199" i="93" l="1"/>
  <c r="E198" i="93"/>
  <c r="J179" i="88"/>
  <c r="L179" i="88"/>
  <c r="H180" i="88"/>
  <c r="I180" i="88" s="1"/>
  <c r="F180" i="88"/>
  <c r="G179" i="88"/>
  <c r="E245" i="88"/>
  <c r="M245" i="88" s="1"/>
  <c r="N208" i="88"/>
  <c r="O207" i="88"/>
  <c r="M189" i="95"/>
  <c r="L190" i="95"/>
  <c r="L177" i="110"/>
  <c r="H178" i="110"/>
  <c r="I178" i="110" s="1"/>
  <c r="J178" i="110" s="1"/>
  <c r="F178" i="110"/>
  <c r="G177" i="110"/>
  <c r="K177" i="110" s="1"/>
  <c r="P177" i="110" s="1"/>
  <c r="V201" i="114"/>
  <c r="W201" i="114" s="1"/>
  <c r="X201" i="114"/>
  <c r="N234" i="110"/>
  <c r="O233" i="110"/>
  <c r="E246" i="110"/>
  <c r="M246" i="110" s="1"/>
  <c r="I204" i="114"/>
  <c r="K203" i="114"/>
  <c r="J203" i="114"/>
  <c r="Y203" i="114" s="1"/>
  <c r="P202" i="114"/>
  <c r="L202" i="114"/>
  <c r="M202" i="114" s="1"/>
  <c r="U202" i="114" s="1"/>
  <c r="G205" i="114"/>
  <c r="F206" i="114"/>
  <c r="R178" i="88"/>
  <c r="R179" i="88"/>
  <c r="F125" i="113"/>
  <c r="G125" i="113" s="1"/>
  <c r="E198" i="111"/>
  <c r="L197" i="111"/>
  <c r="H231" i="112" s="1"/>
  <c r="D233" i="113" s="1"/>
  <c r="H198" i="95"/>
  <c r="I197" i="95"/>
  <c r="I111" i="113"/>
  <c r="J111" i="113" s="1"/>
  <c r="P110" i="113"/>
  <c r="Q109" i="113"/>
  <c r="E183" i="95"/>
  <c r="O183" i="95" s="1"/>
  <c r="F182" i="95"/>
  <c r="J182" i="95" s="1"/>
  <c r="N182" i="95" s="1"/>
  <c r="M110" i="113"/>
  <c r="J109" i="112"/>
  <c r="D200" i="93" l="1"/>
  <c r="E199" i="93"/>
  <c r="K179" i="88"/>
  <c r="P179" i="88" s="1"/>
  <c r="S180" i="88"/>
  <c r="J180" i="88"/>
  <c r="N209" i="88"/>
  <c r="O208" i="88"/>
  <c r="L180" i="88"/>
  <c r="H181" i="88"/>
  <c r="I181" i="88" s="1"/>
  <c r="F181" i="88"/>
  <c r="G180" i="88"/>
  <c r="E246" i="88"/>
  <c r="M246" i="88" s="1"/>
  <c r="L191" i="95"/>
  <c r="M190" i="95"/>
  <c r="H179" i="110"/>
  <c r="I179" i="110" s="1"/>
  <c r="J179" i="110" s="1"/>
  <c r="F179" i="110"/>
  <c r="G178" i="110"/>
  <c r="K178" i="110" s="1"/>
  <c r="P178" i="110" s="1"/>
  <c r="L178" i="110"/>
  <c r="V202" i="114"/>
  <c r="W202" i="114" s="1"/>
  <c r="X202" i="114"/>
  <c r="E247" i="110"/>
  <c r="M247" i="110" s="1"/>
  <c r="N235" i="110"/>
  <c r="O234" i="110"/>
  <c r="L203" i="114"/>
  <c r="M203" i="114" s="1"/>
  <c r="U203" i="114" s="1"/>
  <c r="P203" i="114"/>
  <c r="J204" i="114"/>
  <c r="Y204" i="114" s="1"/>
  <c r="K204" i="114"/>
  <c r="I205" i="114"/>
  <c r="G206" i="114"/>
  <c r="F207" i="114"/>
  <c r="R180" i="88"/>
  <c r="F126" i="113"/>
  <c r="K109" i="112"/>
  <c r="I110" i="112" s="1"/>
  <c r="C112" i="113" s="1"/>
  <c r="H112" i="113" s="1"/>
  <c r="B112" i="113" s="1"/>
  <c r="E184" i="95"/>
  <c r="O184" i="95" s="1"/>
  <c r="F183" i="95"/>
  <c r="J183" i="95" s="1"/>
  <c r="N183" i="95" s="1"/>
  <c r="Q110" i="113"/>
  <c r="L111" i="113"/>
  <c r="H199" i="95"/>
  <c r="I198" i="95"/>
  <c r="E199" i="111"/>
  <c r="L198" i="111"/>
  <c r="H232" i="112" s="1"/>
  <c r="D234" i="113" s="1"/>
  <c r="D201" i="93" l="1"/>
  <c r="E200" i="93"/>
  <c r="K180" i="88"/>
  <c r="P180" i="88" s="1"/>
  <c r="S181" i="88"/>
  <c r="L181" i="88"/>
  <c r="H182" i="88"/>
  <c r="I182" i="88" s="1"/>
  <c r="F182" i="88"/>
  <c r="G181" i="88"/>
  <c r="N210" i="88"/>
  <c r="O209" i="88"/>
  <c r="E247" i="88"/>
  <c r="M247" i="88" s="1"/>
  <c r="J181" i="88"/>
  <c r="M191" i="95"/>
  <c r="L192" i="95"/>
  <c r="F180" i="110"/>
  <c r="G179" i="110"/>
  <c r="K179" i="110" s="1"/>
  <c r="P179" i="110" s="1"/>
  <c r="L179" i="110"/>
  <c r="H180" i="110"/>
  <c r="I180" i="110" s="1"/>
  <c r="J180" i="110" s="1"/>
  <c r="X203" i="114"/>
  <c r="V203" i="114"/>
  <c r="W203" i="114" s="1"/>
  <c r="N236" i="110"/>
  <c r="O235" i="110"/>
  <c r="E248" i="110"/>
  <c r="M248" i="110" s="1"/>
  <c r="L204" i="114"/>
  <c r="M204" i="114" s="1"/>
  <c r="U204" i="114" s="1"/>
  <c r="P204" i="114"/>
  <c r="I206" i="114"/>
  <c r="J205" i="114"/>
  <c r="Y205" i="114" s="1"/>
  <c r="K205" i="114"/>
  <c r="G207" i="114"/>
  <c r="F208" i="114"/>
  <c r="R181" i="88"/>
  <c r="I112" i="113"/>
  <c r="J112" i="113" s="1"/>
  <c r="L199" i="111"/>
  <c r="H233" i="112" s="1"/>
  <c r="D235" i="113" s="1"/>
  <c r="E200" i="111"/>
  <c r="M111" i="113"/>
  <c r="J110" i="112"/>
  <c r="H200" i="95"/>
  <c r="I199" i="95"/>
  <c r="O111" i="113"/>
  <c r="E185" i="95"/>
  <c r="O185" i="95" s="1"/>
  <c r="F184" i="95"/>
  <c r="J184" i="95" s="1"/>
  <c r="N184" i="95" s="1"/>
  <c r="G126" i="113"/>
  <c r="D202" i="93" l="1"/>
  <c r="E201" i="93"/>
  <c r="S182" i="88"/>
  <c r="J182" i="88"/>
  <c r="E248" i="88"/>
  <c r="M248" i="88" s="1"/>
  <c r="N211" i="88"/>
  <c r="O210" i="88"/>
  <c r="L182" i="88"/>
  <c r="H183" i="88"/>
  <c r="I183" i="88" s="1"/>
  <c r="F183" i="88"/>
  <c r="G182" i="88"/>
  <c r="K181" i="88"/>
  <c r="P181" i="88" s="1"/>
  <c r="M192" i="95"/>
  <c r="L193" i="95"/>
  <c r="L180" i="110"/>
  <c r="H181" i="110"/>
  <c r="I181" i="110" s="1"/>
  <c r="J181" i="110" s="1"/>
  <c r="F181" i="110"/>
  <c r="G180" i="110"/>
  <c r="K180" i="110" s="1"/>
  <c r="P180" i="110" s="1"/>
  <c r="X204" i="114"/>
  <c r="V204" i="114"/>
  <c r="W204" i="114" s="1"/>
  <c r="E249" i="110"/>
  <c r="M249" i="110" s="1"/>
  <c r="N237" i="110"/>
  <c r="O236" i="110"/>
  <c r="K206" i="114"/>
  <c r="I207" i="114"/>
  <c r="J206" i="114"/>
  <c r="Y206" i="114" s="1"/>
  <c r="P205" i="114"/>
  <c r="L205" i="114"/>
  <c r="M205" i="114" s="1"/>
  <c r="U205" i="114" s="1"/>
  <c r="L112" i="113"/>
  <c r="O112" i="113" s="1"/>
  <c r="G208" i="114"/>
  <c r="F209" i="114"/>
  <c r="P111" i="113"/>
  <c r="F127" i="113"/>
  <c r="G127" i="113" s="1"/>
  <c r="E186" i="95"/>
  <c r="O186" i="95" s="1"/>
  <c r="F185" i="95"/>
  <c r="J185" i="95" s="1"/>
  <c r="N185" i="95" s="1"/>
  <c r="E201" i="111"/>
  <c r="L200" i="111"/>
  <c r="H234" i="112" s="1"/>
  <c r="D236" i="113" s="1"/>
  <c r="H201" i="95"/>
  <c r="I200" i="95"/>
  <c r="K110" i="112"/>
  <c r="I111" i="112" s="1"/>
  <c r="C113" i="113" s="1"/>
  <c r="H113" i="113" s="1"/>
  <c r="D203" i="93" l="1"/>
  <c r="E202" i="93"/>
  <c r="S183" i="88"/>
  <c r="E249" i="88"/>
  <c r="M249" i="88" s="1"/>
  <c r="K182" i="88"/>
  <c r="P182" i="88" s="1"/>
  <c r="F184" i="88"/>
  <c r="L183" i="88"/>
  <c r="H184" i="88"/>
  <c r="I184" i="88" s="1"/>
  <c r="G183" i="88"/>
  <c r="N212" i="88"/>
  <c r="O211" i="88"/>
  <c r="J183" i="88"/>
  <c r="L194" i="95"/>
  <c r="M193" i="95"/>
  <c r="L181" i="110"/>
  <c r="H182" i="110"/>
  <c r="I182" i="110" s="1"/>
  <c r="J182" i="110" s="1"/>
  <c r="F182" i="110"/>
  <c r="G181" i="110"/>
  <c r="K181" i="110" s="1"/>
  <c r="P181" i="110" s="1"/>
  <c r="V205" i="114"/>
  <c r="W205" i="114" s="1"/>
  <c r="X205" i="114"/>
  <c r="M112" i="113"/>
  <c r="N238" i="110"/>
  <c r="O237" i="110"/>
  <c r="E250" i="110"/>
  <c r="M250" i="110" s="1"/>
  <c r="K207" i="114"/>
  <c r="I208" i="114"/>
  <c r="J207" i="114"/>
  <c r="Y207" i="114" s="1"/>
  <c r="P206" i="114"/>
  <c r="L206" i="114"/>
  <c r="M206" i="114" s="1"/>
  <c r="U206" i="114" s="1"/>
  <c r="F210" i="114"/>
  <c r="G209" i="114"/>
  <c r="R182" i="88"/>
  <c r="J111" i="112"/>
  <c r="K111" i="112" s="1"/>
  <c r="I112" i="112" s="1"/>
  <c r="C114" i="113" s="1"/>
  <c r="H114" i="113" s="1"/>
  <c r="B114" i="113" s="1"/>
  <c r="F128" i="113"/>
  <c r="G128" i="113" s="1"/>
  <c r="B113" i="113"/>
  <c r="I113" i="113"/>
  <c r="J113" i="113" s="1"/>
  <c r="L201" i="111"/>
  <c r="H235" i="112" s="1"/>
  <c r="D237" i="113" s="1"/>
  <c r="E202" i="111"/>
  <c r="E187" i="95"/>
  <c r="O187" i="95" s="1"/>
  <c r="F186" i="95"/>
  <c r="J186" i="95" s="1"/>
  <c r="N186" i="95" s="1"/>
  <c r="Q111" i="113"/>
  <c r="P112" i="113"/>
  <c r="H202" i="95"/>
  <c r="I201" i="95"/>
  <c r="D204" i="93" l="1"/>
  <c r="E203" i="93"/>
  <c r="J184" i="88"/>
  <c r="K183" i="88"/>
  <c r="P183" i="88" s="1"/>
  <c r="E250" i="88"/>
  <c r="M250" i="88" s="1"/>
  <c r="N213" i="88"/>
  <c r="O212" i="88"/>
  <c r="S184" i="88"/>
  <c r="F185" i="88"/>
  <c r="L184" i="88"/>
  <c r="H185" i="88"/>
  <c r="I185" i="88" s="1"/>
  <c r="G184" i="88"/>
  <c r="K184" i="88" s="1"/>
  <c r="P184" i="88" s="1"/>
  <c r="L195" i="95"/>
  <c r="M194" i="95"/>
  <c r="L182" i="110"/>
  <c r="G182" i="110"/>
  <c r="K182" i="110" s="1"/>
  <c r="P182" i="110" s="1"/>
  <c r="H183" i="110"/>
  <c r="I183" i="110" s="1"/>
  <c r="J183" i="110" s="1"/>
  <c r="F183" i="110"/>
  <c r="X206" i="114"/>
  <c r="V206" i="114"/>
  <c r="W206" i="114" s="1"/>
  <c r="R183" i="88"/>
  <c r="E251" i="110"/>
  <c r="M251" i="110" s="1"/>
  <c r="N239" i="110"/>
  <c r="O238" i="110"/>
  <c r="J208" i="114"/>
  <c r="Y208" i="114" s="1"/>
  <c r="K208" i="114"/>
  <c r="I209" i="114"/>
  <c r="L207" i="114"/>
  <c r="M207" i="114" s="1"/>
  <c r="U207" i="114" s="1"/>
  <c r="P207" i="114"/>
  <c r="F211" i="114"/>
  <c r="G210" i="114"/>
  <c r="S185" i="88"/>
  <c r="I114" i="113"/>
  <c r="J114" i="113" s="1"/>
  <c r="F129" i="113"/>
  <c r="G129" i="113" s="1"/>
  <c r="Q112" i="113"/>
  <c r="H203" i="95"/>
  <c r="I202" i="95"/>
  <c r="J112" i="112"/>
  <c r="E188" i="95"/>
  <c r="O188" i="95" s="1"/>
  <c r="F187" i="95"/>
  <c r="J187" i="95" s="1"/>
  <c r="N187" i="95" s="1"/>
  <c r="L202" i="111"/>
  <c r="H236" i="112" s="1"/>
  <c r="D238" i="113" s="1"/>
  <c r="E203" i="111"/>
  <c r="L113" i="113"/>
  <c r="O113" i="113" s="1"/>
  <c r="D205" i="93" l="1"/>
  <c r="E204" i="93"/>
  <c r="N214" i="88"/>
  <c r="O213" i="88"/>
  <c r="J185" i="88"/>
  <c r="E251" i="88"/>
  <c r="M251" i="88" s="1"/>
  <c r="L185" i="88"/>
  <c r="H186" i="88"/>
  <c r="I186" i="88" s="1"/>
  <c r="F186" i="88"/>
  <c r="G185" i="88"/>
  <c r="M195" i="95"/>
  <c r="L196" i="95"/>
  <c r="G183" i="110"/>
  <c r="K183" i="110" s="1"/>
  <c r="P183" i="110" s="1"/>
  <c r="F184" i="110"/>
  <c r="H184" i="110"/>
  <c r="I184" i="110" s="1"/>
  <c r="J184" i="110" s="1"/>
  <c r="L183" i="110"/>
  <c r="V207" i="114"/>
  <c r="W207" i="114" s="1"/>
  <c r="N240" i="110"/>
  <c r="O239" i="110"/>
  <c r="E252" i="110"/>
  <c r="M252" i="110" s="1"/>
  <c r="X207" i="114"/>
  <c r="K209" i="114"/>
  <c r="I210" i="114"/>
  <c r="J209" i="114"/>
  <c r="Y209" i="114" s="1"/>
  <c r="L208" i="114"/>
  <c r="M208" i="114" s="1"/>
  <c r="U208" i="114" s="1"/>
  <c r="P208" i="114"/>
  <c r="G211" i="114"/>
  <c r="F212" i="114"/>
  <c r="R184" i="88"/>
  <c r="S186" i="88"/>
  <c r="P113" i="113"/>
  <c r="K112" i="112"/>
  <c r="I113" i="112" s="1"/>
  <c r="C115" i="113" s="1"/>
  <c r="H115" i="113" s="1"/>
  <c r="B115" i="113" s="1"/>
  <c r="F130" i="113"/>
  <c r="G130" i="113" s="1"/>
  <c r="M113" i="113"/>
  <c r="L203" i="111"/>
  <c r="H237" i="112" s="1"/>
  <c r="D239" i="113" s="1"/>
  <c r="E204" i="111"/>
  <c r="E189" i="95"/>
  <c r="O189" i="95" s="1"/>
  <c r="F188" i="95"/>
  <c r="J188" i="95" s="1"/>
  <c r="N188" i="95" s="1"/>
  <c r="H204" i="95"/>
  <c r="I203" i="95"/>
  <c r="L114" i="113"/>
  <c r="D206" i="93" l="1"/>
  <c r="E205" i="93"/>
  <c r="K185" i="88"/>
  <c r="P185" i="88" s="1"/>
  <c r="E252" i="88"/>
  <c r="M252" i="88" s="1"/>
  <c r="J186" i="88"/>
  <c r="N215" i="88"/>
  <c r="O214" i="88"/>
  <c r="L186" i="88"/>
  <c r="H187" i="88"/>
  <c r="I187" i="88" s="1"/>
  <c r="F187" i="88"/>
  <c r="G186" i="88"/>
  <c r="M196" i="95"/>
  <c r="L197" i="95"/>
  <c r="L184" i="110"/>
  <c r="G184" i="110"/>
  <c r="K184" i="110" s="1"/>
  <c r="P184" i="110" s="1"/>
  <c r="H185" i="110"/>
  <c r="I185" i="110" s="1"/>
  <c r="J185" i="110" s="1"/>
  <c r="F185" i="110"/>
  <c r="X208" i="114"/>
  <c r="V208" i="114"/>
  <c r="W208" i="114" s="1"/>
  <c r="E253" i="110"/>
  <c r="M253" i="110" s="1"/>
  <c r="N241" i="110"/>
  <c r="O240" i="110"/>
  <c r="I211" i="114"/>
  <c r="J210" i="114"/>
  <c r="Y210" i="114" s="1"/>
  <c r="K210" i="114"/>
  <c r="P209" i="114"/>
  <c r="L209" i="114"/>
  <c r="M209" i="114" s="1"/>
  <c r="U209" i="114" s="1"/>
  <c r="V209" i="114" s="1"/>
  <c r="W209" i="114" s="1"/>
  <c r="F213" i="114"/>
  <c r="G212" i="114"/>
  <c r="R185" i="88"/>
  <c r="I115" i="113"/>
  <c r="J115" i="113" s="1"/>
  <c r="P114" i="113"/>
  <c r="L204" i="111"/>
  <c r="H238" i="112" s="1"/>
  <c r="D240" i="113" s="1"/>
  <c r="E205" i="111"/>
  <c r="M114" i="113"/>
  <c r="J113" i="112"/>
  <c r="Q113" i="113"/>
  <c r="H205" i="95"/>
  <c r="I204" i="95"/>
  <c r="E190" i="95"/>
  <c r="O190" i="95" s="1"/>
  <c r="F189" i="95"/>
  <c r="J189" i="95" s="1"/>
  <c r="N189" i="95" s="1"/>
  <c r="F131" i="113"/>
  <c r="D207" i="93" l="1"/>
  <c r="E206" i="93"/>
  <c r="S187" i="88"/>
  <c r="K186" i="88"/>
  <c r="P186" i="88" s="1"/>
  <c r="F188" i="88"/>
  <c r="L187" i="88"/>
  <c r="H188" i="88"/>
  <c r="I188" i="88" s="1"/>
  <c r="G187" i="88"/>
  <c r="N216" i="88"/>
  <c r="O215" i="88"/>
  <c r="J187" i="88"/>
  <c r="E253" i="88"/>
  <c r="M253" i="88" s="1"/>
  <c r="L198" i="95"/>
  <c r="M197" i="95"/>
  <c r="G185" i="110"/>
  <c r="K185" i="110" s="1"/>
  <c r="P185" i="110" s="1"/>
  <c r="H186" i="110"/>
  <c r="I186" i="110" s="1"/>
  <c r="J186" i="110" s="1"/>
  <c r="F186" i="110"/>
  <c r="L185" i="110"/>
  <c r="X209" i="114"/>
  <c r="L115" i="113"/>
  <c r="N242" i="110"/>
  <c r="O241" i="110"/>
  <c r="E254" i="110"/>
  <c r="M254" i="110" s="1"/>
  <c r="P210" i="114"/>
  <c r="L210" i="114"/>
  <c r="M210" i="114" s="1"/>
  <c r="U210" i="114" s="1"/>
  <c r="K211" i="114"/>
  <c r="J211" i="114"/>
  <c r="Y211" i="114" s="1"/>
  <c r="I212" i="114"/>
  <c r="F214" i="114"/>
  <c r="G213" i="114"/>
  <c r="R186" i="88"/>
  <c r="R187" i="88"/>
  <c r="K113" i="112"/>
  <c r="I114" i="112" s="1"/>
  <c r="C116" i="113" s="1"/>
  <c r="H116" i="113" s="1"/>
  <c r="E206" i="111"/>
  <c r="L205" i="111"/>
  <c r="H239" i="112" s="1"/>
  <c r="D241" i="113" s="1"/>
  <c r="G131" i="113"/>
  <c r="E191" i="95"/>
  <c r="O191" i="95" s="1"/>
  <c r="F190" i="95"/>
  <c r="J190" i="95" s="1"/>
  <c r="N190" i="95" s="1"/>
  <c r="H206" i="95"/>
  <c r="I205" i="95"/>
  <c r="Q114" i="113"/>
  <c r="D208" i="93" l="1"/>
  <c r="E207" i="93"/>
  <c r="S188" i="88"/>
  <c r="N217" i="88"/>
  <c r="O216" i="88"/>
  <c r="F189" i="88"/>
  <c r="L188" i="88"/>
  <c r="H189" i="88"/>
  <c r="I189" i="88" s="1"/>
  <c r="G188" i="88"/>
  <c r="J188" i="88"/>
  <c r="K187" i="88"/>
  <c r="P187" i="88" s="1"/>
  <c r="E254" i="88"/>
  <c r="M254" i="88" s="1"/>
  <c r="M198" i="95"/>
  <c r="L199" i="95"/>
  <c r="F187" i="110"/>
  <c r="G186" i="110"/>
  <c r="K186" i="110" s="1"/>
  <c r="P186" i="110" s="1"/>
  <c r="H187" i="110"/>
  <c r="I187" i="110" s="1"/>
  <c r="J187" i="110" s="1"/>
  <c r="L186" i="110"/>
  <c r="X210" i="114"/>
  <c r="V210" i="114"/>
  <c r="W210" i="114" s="1"/>
  <c r="P115" i="113"/>
  <c r="Q115" i="113" s="1"/>
  <c r="M115" i="113"/>
  <c r="E255" i="110"/>
  <c r="M255" i="110" s="1"/>
  <c r="N243" i="110"/>
  <c r="O242" i="110"/>
  <c r="P211" i="114"/>
  <c r="L211" i="114"/>
  <c r="M211" i="114" s="1"/>
  <c r="U211" i="114" s="1"/>
  <c r="X211" i="114" s="1"/>
  <c r="K212" i="114"/>
  <c r="I213" i="114"/>
  <c r="J212" i="114"/>
  <c r="Y212" i="114" s="1"/>
  <c r="G214" i="114"/>
  <c r="F215" i="114"/>
  <c r="J114" i="112"/>
  <c r="K114" i="112" s="1"/>
  <c r="I115" i="112" s="1"/>
  <c r="C117" i="113" s="1"/>
  <c r="H117" i="113" s="1"/>
  <c r="B117" i="113" s="1"/>
  <c r="E192" i="95"/>
  <c r="O192" i="95" s="1"/>
  <c r="F191" i="95"/>
  <c r="J191" i="95" s="1"/>
  <c r="N191" i="95" s="1"/>
  <c r="H207" i="95"/>
  <c r="I206" i="95"/>
  <c r="F132" i="113"/>
  <c r="G132" i="113" s="1"/>
  <c r="E207" i="111"/>
  <c r="L206" i="111"/>
  <c r="H240" i="112" s="1"/>
  <c r="D242" i="113" s="1"/>
  <c r="B116" i="113"/>
  <c r="I116" i="113"/>
  <c r="J116" i="113" s="1"/>
  <c r="D209" i="93" l="1"/>
  <c r="E208" i="93"/>
  <c r="S189" i="88"/>
  <c r="J189" i="88"/>
  <c r="E255" i="88"/>
  <c r="M255" i="88" s="1"/>
  <c r="K188" i="88"/>
  <c r="P188" i="88" s="1"/>
  <c r="L189" i="88"/>
  <c r="H190" i="88"/>
  <c r="I190" i="88" s="1"/>
  <c r="F190" i="88"/>
  <c r="G189" i="88"/>
  <c r="N218" i="88"/>
  <c r="O217" i="88"/>
  <c r="L200" i="95"/>
  <c r="M199" i="95"/>
  <c r="L187" i="110"/>
  <c r="F188" i="110"/>
  <c r="G187" i="110"/>
  <c r="K187" i="110" s="1"/>
  <c r="P187" i="110" s="1"/>
  <c r="H188" i="110"/>
  <c r="I188" i="110" s="1"/>
  <c r="J188" i="110" s="1"/>
  <c r="V211" i="114"/>
  <c r="W211" i="114" s="1"/>
  <c r="N244" i="110"/>
  <c r="O243" i="110"/>
  <c r="E256" i="110"/>
  <c r="M256" i="110" s="1"/>
  <c r="K213" i="114"/>
  <c r="I214" i="114"/>
  <c r="J213" i="114"/>
  <c r="Y213" i="114" s="1"/>
  <c r="L212" i="114"/>
  <c r="M212" i="114" s="1"/>
  <c r="U212" i="114" s="1"/>
  <c r="X212" i="114" s="1"/>
  <c r="P212" i="114"/>
  <c r="F216" i="114"/>
  <c r="G215" i="114"/>
  <c r="R188" i="88"/>
  <c r="S190" i="88"/>
  <c r="I117" i="113"/>
  <c r="F133" i="113"/>
  <c r="G133" i="113" s="1"/>
  <c r="E193" i="95"/>
  <c r="O193" i="95" s="1"/>
  <c r="F192" i="95"/>
  <c r="J192" i="95" s="1"/>
  <c r="N192" i="95" s="1"/>
  <c r="L116" i="113"/>
  <c r="O116" i="113" s="1"/>
  <c r="E208" i="111"/>
  <c r="L207" i="111"/>
  <c r="H241" i="112" s="1"/>
  <c r="D243" i="113" s="1"/>
  <c r="I207" i="95"/>
  <c r="J115" i="112"/>
  <c r="K189" i="88" l="1"/>
  <c r="P189" i="88" s="1"/>
  <c r="D210" i="93"/>
  <c r="E209" i="93"/>
  <c r="E256" i="88"/>
  <c r="M256" i="88" s="1"/>
  <c r="L190" i="88"/>
  <c r="H191" i="88"/>
  <c r="I191" i="88" s="1"/>
  <c r="F191" i="88"/>
  <c r="G190" i="88"/>
  <c r="N219" i="88"/>
  <c r="O218" i="88"/>
  <c r="J190" i="88"/>
  <c r="L201" i="95"/>
  <c r="M200" i="95"/>
  <c r="G188" i="110"/>
  <c r="K188" i="110" s="1"/>
  <c r="P188" i="110" s="1"/>
  <c r="F189" i="110"/>
  <c r="H189" i="110"/>
  <c r="I189" i="110" s="1"/>
  <c r="J189" i="110" s="1"/>
  <c r="L188" i="110"/>
  <c r="V212" i="114"/>
  <c r="W212" i="114" s="1"/>
  <c r="E257" i="110"/>
  <c r="M257" i="110" s="1"/>
  <c r="N245" i="110"/>
  <c r="O244" i="110"/>
  <c r="I215" i="114"/>
  <c r="J214" i="114"/>
  <c r="Y214" i="114" s="1"/>
  <c r="K214" i="114"/>
  <c r="P213" i="114"/>
  <c r="L213" i="114"/>
  <c r="M213" i="114" s="1"/>
  <c r="U213" i="114" s="1"/>
  <c r="X213" i="114" s="1"/>
  <c r="G216" i="114"/>
  <c r="F217" i="114"/>
  <c r="R189" i="88"/>
  <c r="R190" i="88"/>
  <c r="S191" i="88"/>
  <c r="P116" i="113"/>
  <c r="F134" i="113"/>
  <c r="K115" i="112"/>
  <c r="I116" i="112" s="1"/>
  <c r="C118" i="113" s="1"/>
  <c r="H118" i="113" s="1"/>
  <c r="B118" i="113" s="1"/>
  <c r="E209" i="111"/>
  <c r="L208" i="111"/>
  <c r="H242" i="112" s="1"/>
  <c r="D244" i="113" s="1"/>
  <c r="L117" i="113"/>
  <c r="O117" i="113" s="1"/>
  <c r="M116" i="113"/>
  <c r="E194" i="95"/>
  <c r="O194" i="95" s="1"/>
  <c r="F193" i="95"/>
  <c r="J193" i="95" s="1"/>
  <c r="N193" i="95" s="1"/>
  <c r="J117" i="113"/>
  <c r="D211" i="93" l="1"/>
  <c r="E210" i="93"/>
  <c r="N220" i="88"/>
  <c r="O219" i="88"/>
  <c r="J191" i="88"/>
  <c r="K190" i="88"/>
  <c r="P190" i="88" s="1"/>
  <c r="E257" i="88"/>
  <c r="M257" i="88" s="1"/>
  <c r="L191" i="88"/>
  <c r="H192" i="88"/>
  <c r="I192" i="88" s="1"/>
  <c r="F192" i="88"/>
  <c r="G191" i="88"/>
  <c r="L202" i="95"/>
  <c r="M201" i="95"/>
  <c r="F190" i="110"/>
  <c r="G189" i="110"/>
  <c r="K189" i="110" s="1"/>
  <c r="P189" i="110" s="1"/>
  <c r="L189" i="110"/>
  <c r="H190" i="110"/>
  <c r="I190" i="110" s="1"/>
  <c r="J190" i="110" s="1"/>
  <c r="V213" i="114"/>
  <c r="W213" i="114" s="1"/>
  <c r="N246" i="110"/>
  <c r="O245" i="110"/>
  <c r="E258" i="110"/>
  <c r="M258" i="110" s="1"/>
  <c r="P214" i="114"/>
  <c r="L214" i="114"/>
  <c r="M214" i="114" s="1"/>
  <c r="U214" i="114" s="1"/>
  <c r="X214" i="114" s="1"/>
  <c r="I216" i="114"/>
  <c r="J215" i="114"/>
  <c r="Y215" i="114" s="1"/>
  <c r="K215" i="114"/>
  <c r="G217" i="114"/>
  <c r="F218" i="114"/>
  <c r="R191" i="88"/>
  <c r="M117" i="113"/>
  <c r="E195" i="95"/>
  <c r="O195" i="95" s="1"/>
  <c r="F194" i="95"/>
  <c r="J194" i="95" s="1"/>
  <c r="N194" i="95" s="1"/>
  <c r="P117" i="113"/>
  <c r="Q116" i="113"/>
  <c r="I118" i="113"/>
  <c r="J118" i="113" s="1"/>
  <c r="L209" i="111"/>
  <c r="H243" i="112" s="1"/>
  <c r="D245" i="113" s="1"/>
  <c r="E210" i="111"/>
  <c r="J116" i="112"/>
  <c r="G134" i="113"/>
  <c r="D212" i="93" l="1"/>
  <c r="E211" i="93"/>
  <c r="S192" i="88"/>
  <c r="K191" i="88"/>
  <c r="P191" i="88" s="1"/>
  <c r="L192" i="88"/>
  <c r="H193" i="88"/>
  <c r="I193" i="88" s="1"/>
  <c r="F193" i="88"/>
  <c r="G192" i="88"/>
  <c r="E258" i="88"/>
  <c r="M258" i="88" s="1"/>
  <c r="J192" i="88"/>
  <c r="N221" i="88"/>
  <c r="O220" i="88"/>
  <c r="M202" i="95"/>
  <c r="L203" i="95"/>
  <c r="G190" i="110"/>
  <c r="K190" i="110" s="1"/>
  <c r="P190" i="110" s="1"/>
  <c r="F191" i="110"/>
  <c r="L190" i="110"/>
  <c r="H191" i="110"/>
  <c r="I191" i="110" s="1"/>
  <c r="J191" i="110" s="1"/>
  <c r="V214" i="114"/>
  <c r="W214" i="114" s="1"/>
  <c r="E259" i="110"/>
  <c r="M259" i="110" s="1"/>
  <c r="N247" i="110"/>
  <c r="O246" i="110"/>
  <c r="K216" i="114"/>
  <c r="I217" i="114"/>
  <c r="J216" i="114"/>
  <c r="Y216" i="114" s="1"/>
  <c r="L215" i="114"/>
  <c r="M215" i="114" s="1"/>
  <c r="U215" i="114" s="1"/>
  <c r="X215" i="114" s="1"/>
  <c r="P215" i="114"/>
  <c r="G218" i="114"/>
  <c r="F219" i="114"/>
  <c r="S193" i="88"/>
  <c r="F135" i="113"/>
  <c r="G135" i="113" s="1"/>
  <c r="E196" i="95"/>
  <c r="O196" i="95" s="1"/>
  <c r="F195" i="95"/>
  <c r="J195" i="95" s="1"/>
  <c r="N195" i="95" s="1"/>
  <c r="K116" i="112"/>
  <c r="I117" i="112" s="1"/>
  <c r="C119" i="113" s="1"/>
  <c r="H119" i="113" s="1"/>
  <c r="B119" i="113" s="1"/>
  <c r="E211" i="111"/>
  <c r="L210" i="111"/>
  <c r="H244" i="112" s="1"/>
  <c r="D246" i="113" s="1"/>
  <c r="L118" i="113"/>
  <c r="Q117" i="113"/>
  <c r="D213" i="93" l="1"/>
  <c r="E212" i="93"/>
  <c r="N222" i="88"/>
  <c r="O221" i="88"/>
  <c r="E259" i="88"/>
  <c r="M259" i="88" s="1"/>
  <c r="H194" i="88"/>
  <c r="I194" i="88" s="1"/>
  <c r="F194" i="88"/>
  <c r="L193" i="88"/>
  <c r="G193" i="88"/>
  <c r="J193" i="88"/>
  <c r="K192" i="88"/>
  <c r="L204" i="95"/>
  <c r="M203" i="95"/>
  <c r="G191" i="110"/>
  <c r="K191" i="110" s="1"/>
  <c r="P191" i="110" s="1"/>
  <c r="L191" i="110"/>
  <c r="H192" i="110"/>
  <c r="I192" i="110" s="1"/>
  <c r="J192" i="110" s="1"/>
  <c r="F192" i="110"/>
  <c r="N248" i="110"/>
  <c r="O247" i="110"/>
  <c r="E260" i="110"/>
  <c r="M260" i="110" s="1"/>
  <c r="V215" i="114"/>
  <c r="W215" i="114" s="1"/>
  <c r="I218" i="114"/>
  <c r="J217" i="114"/>
  <c r="Y217" i="114" s="1"/>
  <c r="K217" i="114"/>
  <c r="L216" i="114"/>
  <c r="M216" i="114" s="1"/>
  <c r="U216" i="114" s="1"/>
  <c r="X216" i="114" s="1"/>
  <c r="P216" i="114"/>
  <c r="G219" i="114"/>
  <c r="F220" i="114"/>
  <c r="S194" i="88"/>
  <c r="R192" i="88"/>
  <c r="M118" i="113"/>
  <c r="J117" i="112"/>
  <c r="I119" i="113"/>
  <c r="J119" i="113" s="1"/>
  <c r="F136" i="113"/>
  <c r="O118" i="113"/>
  <c r="E212" i="111"/>
  <c r="L211" i="111"/>
  <c r="H245" i="112" s="1"/>
  <c r="D247" i="113" s="1"/>
  <c r="E197" i="95"/>
  <c r="O197" i="95" s="1"/>
  <c r="F196" i="95"/>
  <c r="J196" i="95" s="1"/>
  <c r="N196" i="95" s="1"/>
  <c r="D214" i="93" l="1"/>
  <c r="E213" i="93"/>
  <c r="K193" i="88"/>
  <c r="P193" i="88" s="1"/>
  <c r="P192" i="88"/>
  <c r="D23" i="162"/>
  <c r="D25" i="162" s="1"/>
  <c r="E260" i="88"/>
  <c r="M260" i="88" s="1"/>
  <c r="F195" i="88"/>
  <c r="L194" i="88"/>
  <c r="H195" i="88"/>
  <c r="I195" i="88" s="1"/>
  <c r="G194" i="88"/>
  <c r="J194" i="88"/>
  <c r="N223" i="88"/>
  <c r="O222" i="88"/>
  <c r="M204" i="95"/>
  <c r="L205" i="95"/>
  <c r="H193" i="110"/>
  <c r="I193" i="110" s="1"/>
  <c r="J193" i="110" s="1"/>
  <c r="L192" i="110"/>
  <c r="G192" i="110"/>
  <c r="K192" i="110" s="1"/>
  <c r="P192" i="110" s="1"/>
  <c r="F193" i="110"/>
  <c r="E261" i="110"/>
  <c r="M261" i="110" s="1"/>
  <c r="N249" i="110"/>
  <c r="O248" i="110"/>
  <c r="V216" i="114"/>
  <c r="W216" i="114" s="1"/>
  <c r="L217" i="114"/>
  <c r="M217" i="114" s="1"/>
  <c r="U217" i="114" s="1"/>
  <c r="X217" i="114" s="1"/>
  <c r="P217" i="114"/>
  <c r="J218" i="114"/>
  <c r="Y218" i="114" s="1"/>
  <c r="K218" i="114"/>
  <c r="I219" i="114"/>
  <c r="F221" i="114"/>
  <c r="G220" i="114"/>
  <c r="R194" i="88"/>
  <c r="R193" i="88"/>
  <c r="K117" i="112"/>
  <c r="I118" i="112" s="1"/>
  <c r="C120" i="113" s="1"/>
  <c r="H120" i="113" s="1"/>
  <c r="B120" i="113" s="1"/>
  <c r="E198" i="95"/>
  <c r="O198" i="95" s="1"/>
  <c r="F197" i="95"/>
  <c r="J197" i="95" s="1"/>
  <c r="N197" i="95" s="1"/>
  <c r="E213" i="111"/>
  <c r="L212" i="111"/>
  <c r="H246" i="112" s="1"/>
  <c r="D248" i="113" s="1"/>
  <c r="P118" i="113"/>
  <c r="G136" i="113"/>
  <c r="L119" i="113"/>
  <c r="M119" i="113" s="1"/>
  <c r="D215" i="93" l="1"/>
  <c r="E214" i="93"/>
  <c r="G17" i="159"/>
  <c r="S195" i="88"/>
  <c r="K194" i="88"/>
  <c r="P194" i="88" s="1"/>
  <c r="F196" i="88"/>
  <c r="H196" i="88"/>
  <c r="S196" i="88" s="1"/>
  <c r="L195" i="88"/>
  <c r="G195" i="88"/>
  <c r="E261" i="88"/>
  <c r="M261" i="88" s="1"/>
  <c r="N224" i="88"/>
  <c r="O223" i="88"/>
  <c r="J195" i="88"/>
  <c r="L206" i="95"/>
  <c r="M205" i="95"/>
  <c r="G193" i="110"/>
  <c r="K193" i="110" s="1"/>
  <c r="P193" i="110" s="1"/>
  <c r="H194" i="110"/>
  <c r="I194" i="110" s="1"/>
  <c r="J194" i="110" s="1"/>
  <c r="F194" i="110"/>
  <c r="L193" i="110"/>
  <c r="N250" i="110"/>
  <c r="O249" i="110"/>
  <c r="E262" i="110"/>
  <c r="M262" i="110" s="1"/>
  <c r="V217" i="114"/>
  <c r="W217" i="114" s="1"/>
  <c r="I220" i="114"/>
  <c r="J219" i="114"/>
  <c r="Y219" i="114" s="1"/>
  <c r="K219" i="114"/>
  <c r="P218" i="114"/>
  <c r="L218" i="114"/>
  <c r="M218" i="114" s="1"/>
  <c r="U218" i="114" s="1"/>
  <c r="X218" i="114" s="1"/>
  <c r="G221" i="114"/>
  <c r="F222" i="114"/>
  <c r="I120" i="113"/>
  <c r="J120" i="113" s="1"/>
  <c r="Q118" i="113"/>
  <c r="E214" i="111"/>
  <c r="L213" i="111"/>
  <c r="H247" i="112" s="1"/>
  <c r="D249" i="113" s="1"/>
  <c r="E199" i="95"/>
  <c r="O199" i="95" s="1"/>
  <c r="F198" i="95"/>
  <c r="J198" i="95" s="1"/>
  <c r="N198" i="95" s="1"/>
  <c r="O119" i="113"/>
  <c r="P119" i="113" s="1"/>
  <c r="F137" i="113"/>
  <c r="J118" i="112"/>
  <c r="D216" i="93" l="1"/>
  <c r="E215" i="93"/>
  <c r="N225" i="88"/>
  <c r="O224" i="88"/>
  <c r="I196" i="88"/>
  <c r="R196" i="88" s="1"/>
  <c r="E262" i="88"/>
  <c r="M262" i="88" s="1"/>
  <c r="K195" i="88"/>
  <c r="P195" i="88" s="1"/>
  <c r="F197" i="88"/>
  <c r="H197" i="88"/>
  <c r="G196" i="88"/>
  <c r="M206" i="95"/>
  <c r="L207" i="95"/>
  <c r="M207" i="95" s="1"/>
  <c r="H195" i="110"/>
  <c r="I195" i="110" s="1"/>
  <c r="J195" i="110" s="1"/>
  <c r="F195" i="110"/>
  <c r="G194" i="110"/>
  <c r="K194" i="110" s="1"/>
  <c r="P194" i="110" s="1"/>
  <c r="L194" i="110"/>
  <c r="E263" i="110"/>
  <c r="M263" i="110" s="1"/>
  <c r="N251" i="110"/>
  <c r="O250" i="110"/>
  <c r="V218" i="114"/>
  <c r="W218" i="114" s="1"/>
  <c r="I221" i="114"/>
  <c r="J220" i="114"/>
  <c r="Y220" i="114" s="1"/>
  <c r="K220" i="114"/>
  <c r="L219" i="114"/>
  <c r="M219" i="114" s="1"/>
  <c r="U219" i="114" s="1"/>
  <c r="X219" i="114" s="1"/>
  <c r="P219" i="114"/>
  <c r="L120" i="113"/>
  <c r="M120" i="113" s="1"/>
  <c r="G222" i="114"/>
  <c r="F223" i="114"/>
  <c r="R195" i="88"/>
  <c r="S197" i="88"/>
  <c r="Q119" i="113"/>
  <c r="E200" i="95"/>
  <c r="O200" i="95" s="1"/>
  <c r="F199" i="95"/>
  <c r="J199" i="95" s="1"/>
  <c r="N199" i="95" s="1"/>
  <c r="K118" i="112"/>
  <c r="I119" i="112" s="1"/>
  <c r="C121" i="113" s="1"/>
  <c r="H121" i="113" s="1"/>
  <c r="B121" i="113" s="1"/>
  <c r="G137" i="113"/>
  <c r="L214" i="111"/>
  <c r="H248" i="112" s="1"/>
  <c r="D250" i="113" s="1"/>
  <c r="E215" i="111"/>
  <c r="L196" i="88" l="1"/>
  <c r="D217" i="93"/>
  <c r="E216" i="93"/>
  <c r="E263" i="88"/>
  <c r="M263" i="88" s="1"/>
  <c r="H198" i="88"/>
  <c r="S198" i="88" s="1"/>
  <c r="F198" i="88"/>
  <c r="G197" i="88"/>
  <c r="N226" i="88"/>
  <c r="O225" i="88"/>
  <c r="I197" i="88"/>
  <c r="L197" i="88" s="1"/>
  <c r="J196" i="88"/>
  <c r="K196" i="88" s="1"/>
  <c r="P196" i="88" s="1"/>
  <c r="H196" i="110"/>
  <c r="I196" i="110" s="1"/>
  <c r="J196" i="110" s="1"/>
  <c r="F196" i="110"/>
  <c r="G195" i="110"/>
  <c r="K195" i="110" s="1"/>
  <c r="P195" i="110" s="1"/>
  <c r="L195" i="110"/>
  <c r="P120" i="113"/>
  <c r="N252" i="110"/>
  <c r="O251" i="110"/>
  <c r="E264" i="110"/>
  <c r="M264" i="110" s="1"/>
  <c r="V219" i="114"/>
  <c r="W219" i="114" s="1"/>
  <c r="K221" i="114"/>
  <c r="I222" i="114"/>
  <c r="J221" i="114"/>
  <c r="Y221" i="114" s="1"/>
  <c r="P220" i="114"/>
  <c r="L220" i="114"/>
  <c r="M220" i="114" s="1"/>
  <c r="U220" i="114" s="1"/>
  <c r="X220" i="114" s="1"/>
  <c r="G223" i="114"/>
  <c r="F224" i="114"/>
  <c r="I121" i="113"/>
  <c r="L121" i="113" s="1"/>
  <c r="O121" i="113" s="1"/>
  <c r="L215" i="111"/>
  <c r="H249" i="112" s="1"/>
  <c r="D251" i="113" s="1"/>
  <c r="E216" i="111"/>
  <c r="E201" i="95"/>
  <c r="O201" i="95" s="1"/>
  <c r="F200" i="95"/>
  <c r="J200" i="95" s="1"/>
  <c r="N200" i="95" s="1"/>
  <c r="F138" i="113"/>
  <c r="G138" i="113" s="1"/>
  <c r="J119" i="112"/>
  <c r="D218" i="93" l="1"/>
  <c r="E217" i="93"/>
  <c r="R197" i="88"/>
  <c r="N227" i="88"/>
  <c r="O226" i="88"/>
  <c r="H199" i="88"/>
  <c r="S199" i="88" s="1"/>
  <c r="F199" i="88"/>
  <c r="G198" i="88"/>
  <c r="I198" i="88"/>
  <c r="L198" i="88" s="1"/>
  <c r="J197" i="88"/>
  <c r="K197" i="88" s="1"/>
  <c r="P197" i="88" s="1"/>
  <c r="E264" i="88"/>
  <c r="M264" i="88" s="1"/>
  <c r="G196" i="110"/>
  <c r="K196" i="110" s="1"/>
  <c r="P196" i="110" s="1"/>
  <c r="H197" i="110"/>
  <c r="I197" i="110" s="1"/>
  <c r="J197" i="110" s="1"/>
  <c r="F197" i="110"/>
  <c r="L196" i="110"/>
  <c r="E265" i="110"/>
  <c r="M265" i="110" s="1"/>
  <c r="N253" i="110"/>
  <c r="O252" i="110"/>
  <c r="V220" i="114"/>
  <c r="W220" i="114" s="1"/>
  <c r="P221" i="114"/>
  <c r="L221" i="114"/>
  <c r="M221" i="114" s="1"/>
  <c r="U221" i="114" s="1"/>
  <c r="X221" i="114" s="1"/>
  <c r="I223" i="114"/>
  <c r="J222" i="114"/>
  <c r="Y222" i="114" s="1"/>
  <c r="K222" i="114"/>
  <c r="G224" i="114"/>
  <c r="F225" i="114"/>
  <c r="J121" i="113"/>
  <c r="K119" i="112"/>
  <c r="I120" i="112" s="1"/>
  <c r="C122" i="113" s="1"/>
  <c r="H122" i="113" s="1"/>
  <c r="B122" i="113" s="1"/>
  <c r="F139" i="113"/>
  <c r="G139" i="113" s="1"/>
  <c r="E202" i="95"/>
  <c r="O202" i="95" s="1"/>
  <c r="F201" i="95"/>
  <c r="J201" i="95" s="1"/>
  <c r="N201" i="95" s="1"/>
  <c r="E217" i="111"/>
  <c r="L216" i="111"/>
  <c r="H250" i="112" s="1"/>
  <c r="D252" i="113" s="1"/>
  <c r="Q120" i="113"/>
  <c r="P121" i="113"/>
  <c r="M121" i="113"/>
  <c r="D219" i="93" l="1"/>
  <c r="E218" i="93"/>
  <c r="E265" i="88"/>
  <c r="M265" i="88" s="1"/>
  <c r="H200" i="88"/>
  <c r="S200" i="88" s="1"/>
  <c r="F200" i="88"/>
  <c r="G199" i="88"/>
  <c r="N228" i="88"/>
  <c r="O227" i="88"/>
  <c r="J198" i="88"/>
  <c r="K198" i="88" s="1"/>
  <c r="P198" i="88" s="1"/>
  <c r="I199" i="88"/>
  <c r="F198" i="110"/>
  <c r="G197" i="110"/>
  <c r="K197" i="110" s="1"/>
  <c r="P197" i="110" s="1"/>
  <c r="L197" i="110"/>
  <c r="H198" i="110"/>
  <c r="I198" i="110" s="1"/>
  <c r="J198" i="110" s="1"/>
  <c r="V221" i="114"/>
  <c r="W221" i="114" s="1"/>
  <c r="N254" i="110"/>
  <c r="O253" i="110"/>
  <c r="E266" i="110"/>
  <c r="M266" i="110" s="1"/>
  <c r="L222" i="114"/>
  <c r="M222" i="114" s="1"/>
  <c r="U222" i="114" s="1"/>
  <c r="X222" i="114" s="1"/>
  <c r="P222" i="114"/>
  <c r="K223" i="114"/>
  <c r="I224" i="114"/>
  <c r="J223" i="114"/>
  <c r="Y223" i="114" s="1"/>
  <c r="F226" i="114"/>
  <c r="G225" i="114"/>
  <c r="R198" i="88"/>
  <c r="I122" i="113"/>
  <c r="J122" i="113" s="1"/>
  <c r="J120" i="112"/>
  <c r="Q121" i="113"/>
  <c r="L217" i="111"/>
  <c r="H251" i="112" s="1"/>
  <c r="D253" i="113" s="1"/>
  <c r="E218" i="111"/>
  <c r="E203" i="95"/>
  <c r="O203" i="95" s="1"/>
  <c r="F202" i="95"/>
  <c r="J202" i="95" s="1"/>
  <c r="N202" i="95" s="1"/>
  <c r="F140" i="113"/>
  <c r="G140" i="113" s="1"/>
  <c r="D220" i="93" l="1"/>
  <c r="E219" i="93"/>
  <c r="J199" i="88"/>
  <c r="K199" i="88" s="1"/>
  <c r="P199" i="88" s="1"/>
  <c r="N229" i="88"/>
  <c r="O228" i="88"/>
  <c r="F201" i="88"/>
  <c r="H201" i="88"/>
  <c r="G200" i="88"/>
  <c r="L199" i="88"/>
  <c r="I200" i="88"/>
  <c r="L200" i="88" s="1"/>
  <c r="E266" i="88"/>
  <c r="M266" i="88" s="1"/>
  <c r="F199" i="110"/>
  <c r="G198" i="110"/>
  <c r="K198" i="110" s="1"/>
  <c r="P198" i="110" s="1"/>
  <c r="L198" i="110"/>
  <c r="H199" i="110"/>
  <c r="I199" i="110" s="1"/>
  <c r="J199" i="110" s="1"/>
  <c r="V222" i="114"/>
  <c r="W222" i="114" s="1"/>
  <c r="E267" i="110"/>
  <c r="M267" i="110" s="1"/>
  <c r="N255" i="110"/>
  <c r="O254" i="110"/>
  <c r="J224" i="114"/>
  <c r="Y224" i="114" s="1"/>
  <c r="K224" i="114"/>
  <c r="I225" i="114"/>
  <c r="L223" i="114"/>
  <c r="M223" i="114" s="1"/>
  <c r="U223" i="114" s="1"/>
  <c r="X223" i="114" s="1"/>
  <c r="P223" i="114"/>
  <c r="F227" i="114"/>
  <c r="G226" i="114"/>
  <c r="L122" i="113"/>
  <c r="O122" i="113" s="1"/>
  <c r="R200" i="88"/>
  <c r="R199" i="88"/>
  <c r="S201" i="88"/>
  <c r="E219" i="111"/>
  <c r="L218" i="111"/>
  <c r="H252" i="112" s="1"/>
  <c r="D254" i="113" s="1"/>
  <c r="K120" i="112"/>
  <c r="I121" i="112" s="1"/>
  <c r="C123" i="113" s="1"/>
  <c r="H123" i="113" s="1"/>
  <c r="F141" i="113"/>
  <c r="G141" i="113" s="1"/>
  <c r="E204" i="95"/>
  <c r="O204" i="95" s="1"/>
  <c r="F203" i="95"/>
  <c r="J203" i="95" s="1"/>
  <c r="N203" i="95" s="1"/>
  <c r="D221" i="93" l="1"/>
  <c r="E220" i="93"/>
  <c r="I201" i="88"/>
  <c r="J201" i="88" s="1"/>
  <c r="H202" i="88"/>
  <c r="L201" i="88"/>
  <c r="F202" i="88"/>
  <c r="G201" i="88"/>
  <c r="N230" i="88"/>
  <c r="O229" i="88"/>
  <c r="E267" i="88"/>
  <c r="M267" i="88" s="1"/>
  <c r="J200" i="88"/>
  <c r="K200" i="88" s="1"/>
  <c r="P200" i="88" s="1"/>
  <c r="G199" i="110"/>
  <c r="K199" i="110" s="1"/>
  <c r="P199" i="110" s="1"/>
  <c r="L199" i="110"/>
  <c r="H200" i="110"/>
  <c r="I200" i="110" s="1"/>
  <c r="J200" i="110" s="1"/>
  <c r="F200" i="110"/>
  <c r="N256" i="110"/>
  <c r="O255" i="110"/>
  <c r="E268" i="110"/>
  <c r="M268" i="110" s="1"/>
  <c r="V223" i="114"/>
  <c r="W223" i="114" s="1"/>
  <c r="I226" i="114"/>
  <c r="J225" i="114"/>
  <c r="Y225" i="114" s="1"/>
  <c r="K225" i="114"/>
  <c r="L224" i="114"/>
  <c r="M224" i="114" s="1"/>
  <c r="U224" i="114" s="1"/>
  <c r="X224" i="114" s="1"/>
  <c r="P224" i="114"/>
  <c r="F228" i="114"/>
  <c r="G227" i="114"/>
  <c r="M122" i="113"/>
  <c r="S202" i="88"/>
  <c r="R201" i="88"/>
  <c r="J121" i="112"/>
  <c r="K121" i="112" s="1"/>
  <c r="I122" i="112" s="1"/>
  <c r="C124" i="113" s="1"/>
  <c r="H124" i="113" s="1"/>
  <c r="B124" i="113" s="1"/>
  <c r="E205" i="95"/>
  <c r="O205" i="95" s="1"/>
  <c r="F204" i="95"/>
  <c r="J204" i="95" s="1"/>
  <c r="N204" i="95" s="1"/>
  <c r="F142" i="113"/>
  <c r="G142" i="113" s="1"/>
  <c r="B123" i="113"/>
  <c r="I123" i="113"/>
  <c r="J123" i="113" s="1"/>
  <c r="L219" i="111"/>
  <c r="H253" i="112" s="1"/>
  <c r="D255" i="113" s="1"/>
  <c r="E220" i="111"/>
  <c r="P122" i="113"/>
  <c r="D222" i="93" l="1"/>
  <c r="E221" i="93"/>
  <c r="I202" i="88"/>
  <c r="J202" i="88" s="1"/>
  <c r="F203" i="88"/>
  <c r="H203" i="88"/>
  <c r="S203" i="88" s="1"/>
  <c r="G202" i="88"/>
  <c r="E268" i="88"/>
  <c r="M268" i="88" s="1"/>
  <c r="N231" i="88"/>
  <c r="O230" i="88"/>
  <c r="K201" i="88"/>
  <c r="P201" i="88" s="1"/>
  <c r="F201" i="110"/>
  <c r="H201" i="110"/>
  <c r="I201" i="110" s="1"/>
  <c r="J201" i="110" s="1"/>
  <c r="L200" i="110"/>
  <c r="G200" i="110"/>
  <c r="K200" i="110" s="1"/>
  <c r="P200" i="110" s="1"/>
  <c r="V224" i="114"/>
  <c r="W224" i="114" s="1"/>
  <c r="E269" i="110"/>
  <c r="M269" i="110" s="1"/>
  <c r="N257" i="110"/>
  <c r="O256" i="110"/>
  <c r="L225" i="114"/>
  <c r="M225" i="114" s="1"/>
  <c r="U225" i="114" s="1"/>
  <c r="X225" i="114" s="1"/>
  <c r="P225" i="114"/>
  <c r="J226" i="114"/>
  <c r="Y226" i="114" s="1"/>
  <c r="K226" i="114"/>
  <c r="I227" i="114"/>
  <c r="F229" i="114"/>
  <c r="G228" i="114"/>
  <c r="I124" i="113"/>
  <c r="J122" i="112"/>
  <c r="Q122" i="113"/>
  <c r="F143" i="113"/>
  <c r="L220" i="111"/>
  <c r="H254" i="112" s="1"/>
  <c r="D256" i="113" s="1"/>
  <c r="E221" i="111"/>
  <c r="L123" i="113"/>
  <c r="E206" i="95"/>
  <c r="O206" i="95" s="1"/>
  <c r="F205" i="95"/>
  <c r="J205" i="95" s="1"/>
  <c r="N205" i="95" s="1"/>
  <c r="D223" i="93" l="1"/>
  <c r="E222" i="93"/>
  <c r="L202" i="88"/>
  <c r="I203" i="88"/>
  <c r="J203" i="88" s="1"/>
  <c r="R202" i="88"/>
  <c r="E269" i="88"/>
  <c r="M269" i="88" s="1"/>
  <c r="N232" i="88"/>
  <c r="O231" i="88"/>
  <c r="K202" i="88"/>
  <c r="P202" i="88" s="1"/>
  <c r="F204" i="88"/>
  <c r="H204" i="88"/>
  <c r="L203" i="88"/>
  <c r="G203" i="88"/>
  <c r="H202" i="110"/>
  <c r="I202" i="110" s="1"/>
  <c r="J202" i="110" s="1"/>
  <c r="F202" i="110"/>
  <c r="G201" i="110"/>
  <c r="K201" i="110" s="1"/>
  <c r="P201" i="110" s="1"/>
  <c r="L201" i="110"/>
  <c r="V225" i="114"/>
  <c r="W225" i="114" s="1"/>
  <c r="N258" i="110"/>
  <c r="O257" i="110"/>
  <c r="E270" i="110"/>
  <c r="M270" i="110" s="1"/>
  <c r="L226" i="114"/>
  <c r="M226" i="114" s="1"/>
  <c r="U226" i="114" s="1"/>
  <c r="X226" i="114" s="1"/>
  <c r="P226" i="114"/>
  <c r="I228" i="114"/>
  <c r="K227" i="114"/>
  <c r="J227" i="114"/>
  <c r="Y227" i="114" s="1"/>
  <c r="F230" i="114"/>
  <c r="G229" i="114"/>
  <c r="K122" i="112"/>
  <c r="I123" i="112" s="1"/>
  <c r="C125" i="113" s="1"/>
  <c r="H125" i="113" s="1"/>
  <c r="B125" i="113" s="1"/>
  <c r="L124" i="113"/>
  <c r="O124" i="113" s="1"/>
  <c r="M123" i="113"/>
  <c r="E222" i="111"/>
  <c r="L221" i="111"/>
  <c r="H255" i="112" s="1"/>
  <c r="D257" i="113" s="1"/>
  <c r="E207" i="95"/>
  <c r="O207" i="95" s="1"/>
  <c r="F206" i="95"/>
  <c r="J206" i="95" s="1"/>
  <c r="N206" i="95" s="1"/>
  <c r="O123" i="113"/>
  <c r="G143" i="113"/>
  <c r="J124" i="113"/>
  <c r="I204" i="88" l="1"/>
  <c r="D224" i="93"/>
  <c r="E223" i="93"/>
  <c r="K203" i="88"/>
  <c r="P203" i="88" s="1"/>
  <c r="S204" i="88"/>
  <c r="H205" i="88"/>
  <c r="S205" i="88" s="1"/>
  <c r="L204" i="88"/>
  <c r="F205" i="88"/>
  <c r="G204" i="88"/>
  <c r="J204" i="88"/>
  <c r="N233" i="88"/>
  <c r="O232" i="88"/>
  <c r="E270" i="88"/>
  <c r="M270" i="88" s="1"/>
  <c r="H203" i="110"/>
  <c r="I203" i="110" s="1"/>
  <c r="J203" i="110" s="1"/>
  <c r="F203" i="110"/>
  <c r="G202" i="110"/>
  <c r="K202" i="110" s="1"/>
  <c r="P202" i="110" s="1"/>
  <c r="L202" i="110"/>
  <c r="V226" i="114"/>
  <c r="W226" i="114" s="1"/>
  <c r="E271" i="110"/>
  <c r="M271" i="110" s="1"/>
  <c r="N259" i="110"/>
  <c r="O258" i="110"/>
  <c r="L227" i="114"/>
  <c r="M227" i="114" s="1"/>
  <c r="U227" i="114" s="1"/>
  <c r="X227" i="114" s="1"/>
  <c r="P227" i="114"/>
  <c r="K228" i="114"/>
  <c r="I229" i="114"/>
  <c r="J228" i="114"/>
  <c r="Y228" i="114" s="1"/>
  <c r="P123" i="113"/>
  <c r="P124" i="113" s="1"/>
  <c r="G230" i="114"/>
  <c r="F231" i="114"/>
  <c r="R204" i="88"/>
  <c r="R203" i="88"/>
  <c r="M124" i="113"/>
  <c r="I125" i="113"/>
  <c r="J125" i="113" s="1"/>
  <c r="E208" i="95"/>
  <c r="F207" i="95"/>
  <c r="J207" i="95" s="1"/>
  <c r="N207" i="95" s="1"/>
  <c r="L222" i="111"/>
  <c r="H256" i="112" s="1"/>
  <c r="D258" i="113" s="1"/>
  <c r="E223" i="111"/>
  <c r="J123" i="112"/>
  <c r="F144" i="113"/>
  <c r="G144" i="113" s="1"/>
  <c r="I205" i="88" l="1"/>
  <c r="D225" i="93"/>
  <c r="E224" i="93"/>
  <c r="N234" i="88"/>
  <c r="O233" i="88"/>
  <c r="H206" i="88"/>
  <c r="I206" i="88" s="1"/>
  <c r="L205" i="88"/>
  <c r="F206" i="88"/>
  <c r="G205" i="88"/>
  <c r="E271" i="88"/>
  <c r="M271" i="88" s="1"/>
  <c r="J205" i="88"/>
  <c r="K204" i="88"/>
  <c r="P204" i="88" s="1"/>
  <c r="G203" i="110"/>
  <c r="K203" i="110" s="1"/>
  <c r="P203" i="110" s="1"/>
  <c r="L203" i="110"/>
  <c r="H204" i="110"/>
  <c r="I204" i="110" s="1"/>
  <c r="J204" i="110" s="1"/>
  <c r="F204" i="110"/>
  <c r="V227" i="114"/>
  <c r="W227" i="114" s="1"/>
  <c r="Q123" i="113"/>
  <c r="N260" i="110"/>
  <c r="O259" i="110"/>
  <c r="E272" i="110"/>
  <c r="M272" i="110" s="1"/>
  <c r="I230" i="114"/>
  <c r="J229" i="114"/>
  <c r="Y229" i="114" s="1"/>
  <c r="K229" i="114"/>
  <c r="L228" i="114"/>
  <c r="M228" i="114" s="1"/>
  <c r="U228" i="114" s="1"/>
  <c r="X228" i="114" s="1"/>
  <c r="P228" i="114"/>
  <c r="F232" i="114"/>
  <c r="G231" i="114"/>
  <c r="S206" i="88"/>
  <c r="F145" i="113"/>
  <c r="Q124" i="113"/>
  <c r="E224" i="111"/>
  <c r="L223" i="111"/>
  <c r="H257" i="112" s="1"/>
  <c r="D259" i="113" s="1"/>
  <c r="K123" i="112"/>
  <c r="I124" i="112" s="1"/>
  <c r="C126" i="113" s="1"/>
  <c r="H126" i="113" s="1"/>
  <c r="B126" i="113" s="1"/>
  <c r="E209" i="95"/>
  <c r="F208" i="95"/>
  <c r="L125" i="113"/>
  <c r="D226" i="93" l="1"/>
  <c r="E225" i="93"/>
  <c r="J206" i="88"/>
  <c r="E272" i="88"/>
  <c r="M272" i="88" s="1"/>
  <c r="H207" i="88"/>
  <c r="I207" i="88" s="1"/>
  <c r="L206" i="88"/>
  <c r="F207" i="88"/>
  <c r="G206" i="88"/>
  <c r="N235" i="88"/>
  <c r="O234" i="88"/>
  <c r="K205" i="88"/>
  <c r="P205" i="88" s="1"/>
  <c r="L204" i="110"/>
  <c r="H205" i="110"/>
  <c r="I205" i="110" s="1"/>
  <c r="J205" i="110" s="1"/>
  <c r="F205" i="110"/>
  <c r="G204" i="110"/>
  <c r="K204" i="110" s="1"/>
  <c r="P204" i="110" s="1"/>
  <c r="E273" i="110"/>
  <c r="M273" i="110" s="1"/>
  <c r="N261" i="110"/>
  <c r="O260" i="110"/>
  <c r="V228" i="114"/>
  <c r="W228" i="114" s="1"/>
  <c r="P229" i="114"/>
  <c r="L229" i="114"/>
  <c r="M229" i="114" s="1"/>
  <c r="U229" i="114" s="1"/>
  <c r="X229" i="114" s="1"/>
  <c r="J230" i="114"/>
  <c r="Y230" i="114" s="1"/>
  <c r="I231" i="114"/>
  <c r="K230" i="114"/>
  <c r="G232" i="114"/>
  <c r="F233" i="114"/>
  <c r="R205" i="88"/>
  <c r="G208" i="95"/>
  <c r="J124" i="112"/>
  <c r="L224" i="111"/>
  <c r="H258" i="112" s="1"/>
  <c r="D260" i="113" s="1"/>
  <c r="E225" i="111"/>
  <c r="M125" i="113"/>
  <c r="O125" i="113"/>
  <c r="P125" i="113" s="1"/>
  <c r="E210" i="95"/>
  <c r="F209" i="95"/>
  <c r="I126" i="113"/>
  <c r="G145" i="113"/>
  <c r="D227" i="93" l="1"/>
  <c r="E226" i="93"/>
  <c r="S207" i="88"/>
  <c r="J207" i="88"/>
  <c r="F208" i="88"/>
  <c r="H208" i="88"/>
  <c r="I208" i="88" s="1"/>
  <c r="L207" i="88"/>
  <c r="G207" i="88"/>
  <c r="K207" i="88" s="1"/>
  <c r="P207" i="88" s="1"/>
  <c r="E273" i="88"/>
  <c r="M273" i="88" s="1"/>
  <c r="N236" i="88"/>
  <c r="O235" i="88"/>
  <c r="K206" i="88"/>
  <c r="P206" i="88" s="1"/>
  <c r="H206" i="110"/>
  <c r="I206" i="110" s="1"/>
  <c r="J206" i="110" s="1"/>
  <c r="F206" i="110"/>
  <c r="L205" i="110"/>
  <c r="G205" i="110"/>
  <c r="K205" i="110" s="1"/>
  <c r="P205" i="110" s="1"/>
  <c r="N262" i="110"/>
  <c r="O261" i="110"/>
  <c r="E274" i="110"/>
  <c r="M274" i="110" s="1"/>
  <c r="V229" i="114"/>
  <c r="W229" i="114" s="1"/>
  <c r="K231" i="114"/>
  <c r="I232" i="114"/>
  <c r="J231" i="114"/>
  <c r="Y231" i="114" s="1"/>
  <c r="L230" i="114"/>
  <c r="M230" i="114" s="1"/>
  <c r="U230" i="114" s="1"/>
  <c r="X230" i="114" s="1"/>
  <c r="P230" i="114"/>
  <c r="G233" i="114"/>
  <c r="F234" i="114"/>
  <c r="R206" i="88"/>
  <c r="S208" i="88"/>
  <c r="K208" i="95"/>
  <c r="L208" i="95" s="1"/>
  <c r="H208" i="95"/>
  <c r="Q125" i="113"/>
  <c r="K124" i="112"/>
  <c r="I125" i="112" s="1"/>
  <c r="C127" i="113" s="1"/>
  <c r="H127" i="113" s="1"/>
  <c r="B127" i="113" s="1"/>
  <c r="F146" i="113"/>
  <c r="G146" i="113" s="1"/>
  <c r="L126" i="113"/>
  <c r="O126" i="113" s="1"/>
  <c r="P126" i="113" s="1"/>
  <c r="E211" i="95"/>
  <c r="F210" i="95"/>
  <c r="E226" i="111"/>
  <c r="L225" i="111"/>
  <c r="H259" i="112" s="1"/>
  <c r="D261" i="113" s="1"/>
  <c r="J126" i="113"/>
  <c r="D228" i="93" l="1"/>
  <c r="E227" i="93"/>
  <c r="N237" i="88"/>
  <c r="O236" i="88"/>
  <c r="J208" i="88"/>
  <c r="L208" i="88"/>
  <c r="H209" i="88"/>
  <c r="I209" i="88" s="1"/>
  <c r="F209" i="88"/>
  <c r="G208" i="88"/>
  <c r="E274" i="88"/>
  <c r="M274" i="88" s="1"/>
  <c r="O208" i="95"/>
  <c r="G206" i="110"/>
  <c r="K206" i="110" s="1"/>
  <c r="P206" i="110" s="1"/>
  <c r="F207" i="110"/>
  <c r="L206" i="110"/>
  <c r="H207" i="110"/>
  <c r="I207" i="110" s="1"/>
  <c r="J207" i="110" s="1"/>
  <c r="V230" i="114"/>
  <c r="W230" i="114" s="1"/>
  <c r="R207" i="88"/>
  <c r="E275" i="110"/>
  <c r="M275" i="110" s="1"/>
  <c r="N263" i="110"/>
  <c r="O262" i="110"/>
  <c r="J232" i="114"/>
  <c r="Y232" i="114" s="1"/>
  <c r="K232" i="114"/>
  <c r="I233" i="114"/>
  <c r="P231" i="114"/>
  <c r="L231" i="114"/>
  <c r="M231" i="114" s="1"/>
  <c r="U231" i="114" s="1"/>
  <c r="X231" i="114" s="1"/>
  <c r="M126" i="113"/>
  <c r="F235" i="114"/>
  <c r="G234" i="114"/>
  <c r="R208" i="88"/>
  <c r="L209" i="95"/>
  <c r="M208" i="95"/>
  <c r="H209" i="95"/>
  <c r="I208" i="95"/>
  <c r="J208" i="95" s="1"/>
  <c r="Q126" i="113"/>
  <c r="I127" i="113"/>
  <c r="J127" i="113" s="1"/>
  <c r="E227" i="111"/>
  <c r="L226" i="111"/>
  <c r="H260" i="112" s="1"/>
  <c r="D262" i="113" s="1"/>
  <c r="E212" i="95"/>
  <c r="F211" i="95"/>
  <c r="F147" i="113"/>
  <c r="G147" i="113" s="1"/>
  <c r="J125" i="112"/>
  <c r="K208" i="88" l="1"/>
  <c r="P208" i="88" s="1"/>
  <c r="D229" i="93"/>
  <c r="E228" i="93"/>
  <c r="J209" i="88"/>
  <c r="S209" i="88"/>
  <c r="N238" i="88"/>
  <c r="O237" i="88"/>
  <c r="E275" i="88"/>
  <c r="M275" i="88" s="1"/>
  <c r="F210" i="88"/>
  <c r="L209" i="88"/>
  <c r="H210" i="88"/>
  <c r="I210" i="88" s="1"/>
  <c r="G209" i="88"/>
  <c r="K209" i="88" s="1"/>
  <c r="P209" i="88" s="1"/>
  <c r="O209" i="95"/>
  <c r="F208" i="110"/>
  <c r="G207" i="110"/>
  <c r="K207" i="110" s="1"/>
  <c r="P207" i="110" s="1"/>
  <c r="L207" i="110"/>
  <c r="H208" i="110"/>
  <c r="I208" i="110" s="1"/>
  <c r="J208" i="110" s="1"/>
  <c r="V231" i="114"/>
  <c r="W231" i="114" s="1"/>
  <c r="N208" i="95"/>
  <c r="N264" i="110"/>
  <c r="O263" i="110"/>
  <c r="E276" i="110"/>
  <c r="M276" i="110" s="1"/>
  <c r="I234" i="114"/>
  <c r="J233" i="114"/>
  <c r="Y233" i="114" s="1"/>
  <c r="K233" i="114"/>
  <c r="P232" i="114"/>
  <c r="L232" i="114"/>
  <c r="M232" i="114" s="1"/>
  <c r="U232" i="114" s="1"/>
  <c r="X232" i="114" s="1"/>
  <c r="F236" i="114"/>
  <c r="G235" i="114"/>
  <c r="I209" i="95"/>
  <c r="J209" i="95" s="1"/>
  <c r="H210" i="95"/>
  <c r="M209" i="95"/>
  <c r="L210" i="95"/>
  <c r="E213" i="95"/>
  <c r="F212" i="95"/>
  <c r="L227" i="111"/>
  <c r="H261" i="112" s="1"/>
  <c r="D263" i="113" s="1"/>
  <c r="E228" i="111"/>
  <c r="K125" i="112"/>
  <c r="I126" i="112" s="1"/>
  <c r="C128" i="113" s="1"/>
  <c r="H128" i="113" s="1"/>
  <c r="B128" i="113" s="1"/>
  <c r="F148" i="113"/>
  <c r="G148" i="113" s="1"/>
  <c r="L127" i="113"/>
  <c r="O127" i="113" s="1"/>
  <c r="P127" i="113" s="1"/>
  <c r="D230" i="93" l="1"/>
  <c r="E229" i="93"/>
  <c r="S210" i="88"/>
  <c r="L210" i="88"/>
  <c r="H211" i="88"/>
  <c r="I211" i="88" s="1"/>
  <c r="F211" i="88"/>
  <c r="G210" i="88"/>
  <c r="N239" i="88"/>
  <c r="O238" i="88"/>
  <c r="E276" i="88"/>
  <c r="M276" i="88" s="1"/>
  <c r="J210" i="88"/>
  <c r="O210" i="95"/>
  <c r="H209" i="110"/>
  <c r="I209" i="110" s="1"/>
  <c r="J209" i="110" s="1"/>
  <c r="F209" i="110"/>
  <c r="G208" i="110"/>
  <c r="K208" i="110" s="1"/>
  <c r="P208" i="110" s="1"/>
  <c r="L208" i="110"/>
  <c r="V232" i="114"/>
  <c r="W232" i="114" s="1"/>
  <c r="N265" i="110"/>
  <c r="O264" i="110"/>
  <c r="E277" i="110"/>
  <c r="M277" i="110" s="1"/>
  <c r="L233" i="114"/>
  <c r="M233" i="114" s="1"/>
  <c r="U233" i="114" s="1"/>
  <c r="X233" i="114" s="1"/>
  <c r="P233" i="114"/>
  <c r="I235" i="114"/>
  <c r="J234" i="114"/>
  <c r="Y234" i="114" s="1"/>
  <c r="K234" i="114"/>
  <c r="G236" i="114"/>
  <c r="F237" i="114"/>
  <c r="R210" i="88"/>
  <c r="S211" i="88"/>
  <c r="R209" i="88"/>
  <c r="L211" i="95"/>
  <c r="M210" i="95"/>
  <c r="H211" i="95"/>
  <c r="I210" i="95"/>
  <c r="J210" i="95" s="1"/>
  <c r="N209" i="95"/>
  <c r="Q127" i="113"/>
  <c r="F149" i="113"/>
  <c r="L228" i="111"/>
  <c r="H262" i="112" s="1"/>
  <c r="D264" i="113" s="1"/>
  <c r="E229" i="111"/>
  <c r="M127" i="113"/>
  <c r="J126" i="112"/>
  <c r="I128" i="113"/>
  <c r="E214" i="95"/>
  <c r="F213" i="95"/>
  <c r="D231" i="93" l="1"/>
  <c r="E230" i="93"/>
  <c r="K210" i="88"/>
  <c r="P210" i="88" s="1"/>
  <c r="J211" i="88"/>
  <c r="N240" i="88"/>
  <c r="O239" i="88"/>
  <c r="F212" i="88"/>
  <c r="L211" i="88"/>
  <c r="H212" i="88"/>
  <c r="I212" i="88" s="1"/>
  <c r="G211" i="88"/>
  <c r="E277" i="88"/>
  <c r="M277" i="88" s="1"/>
  <c r="O211" i="95"/>
  <c r="F210" i="110"/>
  <c r="L209" i="110"/>
  <c r="G209" i="110"/>
  <c r="K209" i="110" s="1"/>
  <c r="P209" i="110" s="1"/>
  <c r="H210" i="110"/>
  <c r="I210" i="110" s="1"/>
  <c r="J210" i="110" s="1"/>
  <c r="N210" i="95"/>
  <c r="V233" i="114"/>
  <c r="W233" i="114" s="1"/>
  <c r="E278" i="110"/>
  <c r="M278" i="110" s="1"/>
  <c r="N266" i="110"/>
  <c r="O265" i="110"/>
  <c r="I236" i="114"/>
  <c r="J235" i="114"/>
  <c r="Y235" i="114" s="1"/>
  <c r="K235" i="114"/>
  <c r="P234" i="114"/>
  <c r="L234" i="114"/>
  <c r="M234" i="114" s="1"/>
  <c r="U234" i="114" s="1"/>
  <c r="X234" i="114" s="1"/>
  <c r="G237" i="114"/>
  <c r="F238" i="114"/>
  <c r="S212" i="88"/>
  <c r="R211" i="88"/>
  <c r="H212" i="95"/>
  <c r="I211" i="95"/>
  <c r="J211" i="95" s="1"/>
  <c r="L212" i="95"/>
  <c r="M211" i="95"/>
  <c r="L128" i="113"/>
  <c r="O128" i="113" s="1"/>
  <c r="P128" i="113" s="1"/>
  <c r="L229" i="111"/>
  <c r="H263" i="112" s="1"/>
  <c r="D265" i="113" s="1"/>
  <c r="E230" i="111"/>
  <c r="E215" i="95"/>
  <c r="F214" i="95"/>
  <c r="K126" i="112"/>
  <c r="I127" i="112" s="1"/>
  <c r="C129" i="113" s="1"/>
  <c r="H129" i="113" s="1"/>
  <c r="B129" i="113" s="1"/>
  <c r="J128" i="113"/>
  <c r="G149" i="113"/>
  <c r="K211" i="88" l="1"/>
  <c r="P211" i="88" s="1"/>
  <c r="D232" i="93"/>
  <c r="E231" i="93"/>
  <c r="E278" i="88"/>
  <c r="M278" i="88" s="1"/>
  <c r="J212" i="88"/>
  <c r="N241" i="88"/>
  <c r="O240" i="88"/>
  <c r="L212" i="88"/>
  <c r="F213" i="88"/>
  <c r="H213" i="88"/>
  <c r="I213" i="88" s="1"/>
  <c r="G212" i="88"/>
  <c r="O212" i="95"/>
  <c r="H211" i="110"/>
  <c r="I211" i="110" s="1"/>
  <c r="J211" i="110" s="1"/>
  <c r="F211" i="110"/>
  <c r="L210" i="110"/>
  <c r="G210" i="110"/>
  <c r="K210" i="110" s="1"/>
  <c r="P210" i="110" s="1"/>
  <c r="V234" i="114"/>
  <c r="W234" i="114" s="1"/>
  <c r="E279" i="110"/>
  <c r="M279" i="110" s="1"/>
  <c r="N267" i="110"/>
  <c r="O266" i="110"/>
  <c r="L235" i="114"/>
  <c r="M235" i="114" s="1"/>
  <c r="U235" i="114" s="1"/>
  <c r="X235" i="114" s="1"/>
  <c r="P235" i="114"/>
  <c r="I237" i="114"/>
  <c r="J236" i="114"/>
  <c r="Y236" i="114" s="1"/>
  <c r="K236" i="114"/>
  <c r="G238" i="114"/>
  <c r="F239" i="114"/>
  <c r="R212" i="88"/>
  <c r="M212" i="95"/>
  <c r="L213" i="95"/>
  <c r="I212" i="95"/>
  <c r="J212" i="95" s="1"/>
  <c r="H213" i="95"/>
  <c r="N211" i="95"/>
  <c r="J127" i="112"/>
  <c r="K127" i="112" s="1"/>
  <c r="I128" i="112" s="1"/>
  <c r="C130" i="113" s="1"/>
  <c r="H130" i="113" s="1"/>
  <c r="B130" i="113" s="1"/>
  <c r="M128" i="113"/>
  <c r="F150" i="113"/>
  <c r="G150" i="113" s="1"/>
  <c r="E216" i="95"/>
  <c r="F215" i="95"/>
  <c r="I129" i="113"/>
  <c r="J129" i="113" s="1"/>
  <c r="L230" i="111"/>
  <c r="H264" i="112" s="1"/>
  <c r="D266" i="113" s="1"/>
  <c r="E231" i="111"/>
  <c r="Q128" i="113"/>
  <c r="K212" i="88" l="1"/>
  <c r="P212" i="88" s="1"/>
  <c r="D233" i="93"/>
  <c r="E232" i="93"/>
  <c r="S213" i="88"/>
  <c r="J213" i="88"/>
  <c r="E279" i="88"/>
  <c r="M279" i="88" s="1"/>
  <c r="F214" i="88"/>
  <c r="L213" i="88"/>
  <c r="H214" i="88"/>
  <c r="I214" i="88" s="1"/>
  <c r="G213" i="88"/>
  <c r="N242" i="88"/>
  <c r="O241" i="88"/>
  <c r="E217" i="95"/>
  <c r="F217" i="95" s="1"/>
  <c r="O213" i="95"/>
  <c r="F212" i="110"/>
  <c r="L211" i="110"/>
  <c r="G211" i="110"/>
  <c r="K211" i="110" s="1"/>
  <c r="P211" i="110" s="1"/>
  <c r="H212" i="110"/>
  <c r="I212" i="110" s="1"/>
  <c r="J212" i="110" s="1"/>
  <c r="N212" i="95"/>
  <c r="V235" i="114"/>
  <c r="W235" i="114" s="1"/>
  <c r="N268" i="110"/>
  <c r="O267" i="110"/>
  <c r="E280" i="110"/>
  <c r="M280" i="110" s="1"/>
  <c r="I238" i="114"/>
  <c r="K237" i="114"/>
  <c r="J237" i="114"/>
  <c r="Y237" i="114" s="1"/>
  <c r="L236" i="114"/>
  <c r="M236" i="114" s="1"/>
  <c r="U236" i="114" s="1"/>
  <c r="X236" i="114" s="1"/>
  <c r="P236" i="114"/>
  <c r="G239" i="114"/>
  <c r="F240" i="114"/>
  <c r="R213" i="88"/>
  <c r="S214" i="88"/>
  <c r="H214" i="95"/>
  <c r="I213" i="95"/>
  <c r="J213" i="95" s="1"/>
  <c r="L214" i="95"/>
  <c r="M213" i="95"/>
  <c r="I130" i="113"/>
  <c r="J130" i="113" s="1"/>
  <c r="F151" i="113"/>
  <c r="L231" i="111"/>
  <c r="H265" i="112" s="1"/>
  <c r="D267" i="113" s="1"/>
  <c r="E232" i="111"/>
  <c r="J128" i="112"/>
  <c r="L129" i="113"/>
  <c r="O129" i="113" s="1"/>
  <c r="P129" i="113" s="1"/>
  <c r="F216" i="95"/>
  <c r="D234" i="93" l="1"/>
  <c r="E233" i="93"/>
  <c r="J214" i="88"/>
  <c r="N243" i="88"/>
  <c r="O242" i="88"/>
  <c r="E280" i="88"/>
  <c r="M280" i="88" s="1"/>
  <c r="K213" i="88"/>
  <c r="P213" i="88" s="1"/>
  <c r="H215" i="88"/>
  <c r="I215" i="88" s="1"/>
  <c r="F215" i="88"/>
  <c r="L214" i="88"/>
  <c r="G214" i="88"/>
  <c r="O214" i="95"/>
  <c r="E218" i="95"/>
  <c r="F218" i="95" s="1"/>
  <c r="H213" i="110"/>
  <c r="I213" i="110" s="1"/>
  <c r="J213" i="110" s="1"/>
  <c r="F213" i="110"/>
  <c r="L212" i="110"/>
  <c r="G212" i="110"/>
  <c r="K212" i="110" s="1"/>
  <c r="P212" i="110" s="1"/>
  <c r="V236" i="114"/>
  <c r="W236" i="114" s="1"/>
  <c r="E281" i="110"/>
  <c r="M281" i="110" s="1"/>
  <c r="N269" i="110"/>
  <c r="O268" i="110"/>
  <c r="L237" i="114"/>
  <c r="M237" i="114" s="1"/>
  <c r="U237" i="114" s="1"/>
  <c r="X237" i="114" s="1"/>
  <c r="P237" i="114"/>
  <c r="K238" i="114"/>
  <c r="I239" i="114"/>
  <c r="J238" i="114"/>
  <c r="Y238" i="114" s="1"/>
  <c r="G240" i="114"/>
  <c r="F241" i="114"/>
  <c r="S215" i="88"/>
  <c r="R214" i="88"/>
  <c r="N213" i="95"/>
  <c r="M214" i="95"/>
  <c r="L215" i="95"/>
  <c r="H215" i="95"/>
  <c r="I214" i="95"/>
  <c r="J214" i="95" s="1"/>
  <c r="Q129" i="113"/>
  <c r="E233" i="111"/>
  <c r="L232" i="111"/>
  <c r="H266" i="112" s="1"/>
  <c r="D268" i="113" s="1"/>
  <c r="M129" i="113"/>
  <c r="K128" i="112"/>
  <c r="I129" i="112" s="1"/>
  <c r="C131" i="113" s="1"/>
  <c r="H131" i="113" s="1"/>
  <c r="B131" i="113" s="1"/>
  <c r="G151" i="113"/>
  <c r="L130" i="113"/>
  <c r="O130" i="113" s="1"/>
  <c r="P130" i="113" s="1"/>
  <c r="D235" i="93" l="1"/>
  <c r="E234" i="93"/>
  <c r="E219" i="95"/>
  <c r="N244" i="88"/>
  <c r="O243" i="88"/>
  <c r="F216" i="88"/>
  <c r="L215" i="88"/>
  <c r="H216" i="88"/>
  <c r="I216" i="88" s="1"/>
  <c r="G215" i="88"/>
  <c r="E281" i="88"/>
  <c r="M281" i="88" s="1"/>
  <c r="K214" i="88"/>
  <c r="P214" i="88" s="1"/>
  <c r="J215" i="88"/>
  <c r="O215" i="95"/>
  <c r="L213" i="110"/>
  <c r="H214" i="110"/>
  <c r="I214" i="110" s="1"/>
  <c r="J214" i="110" s="1"/>
  <c r="F214" i="110"/>
  <c r="G213" i="110"/>
  <c r="K213" i="110" s="1"/>
  <c r="P213" i="110" s="1"/>
  <c r="V237" i="114"/>
  <c r="W237" i="114" s="1"/>
  <c r="N270" i="110"/>
  <c r="O269" i="110"/>
  <c r="E282" i="110"/>
  <c r="M282" i="110" s="1"/>
  <c r="I240" i="114"/>
  <c r="J239" i="114"/>
  <c r="Y239" i="114" s="1"/>
  <c r="K239" i="114"/>
  <c r="P238" i="114"/>
  <c r="L238" i="114"/>
  <c r="M238" i="114" s="1"/>
  <c r="U238" i="114" s="1"/>
  <c r="X238" i="114" s="1"/>
  <c r="N214" i="95"/>
  <c r="F242" i="114"/>
  <c r="G241" i="114"/>
  <c r="S216" i="88"/>
  <c r="R215" i="88"/>
  <c r="F219" i="95"/>
  <c r="E220" i="95"/>
  <c r="M215" i="95"/>
  <c r="L216" i="95"/>
  <c r="I215" i="95"/>
  <c r="J215" i="95" s="1"/>
  <c r="H216" i="95"/>
  <c r="J129" i="112"/>
  <c r="K129" i="112" s="1"/>
  <c r="I130" i="112" s="1"/>
  <c r="C132" i="113" s="1"/>
  <c r="H132" i="113" s="1"/>
  <c r="B132" i="113" s="1"/>
  <c r="Q130" i="113"/>
  <c r="M130" i="113"/>
  <c r="F152" i="113"/>
  <c r="G152" i="113" s="1"/>
  <c r="I131" i="113"/>
  <c r="E234" i="111"/>
  <c r="L233" i="111"/>
  <c r="H267" i="112" s="1"/>
  <c r="D269" i="113" s="1"/>
  <c r="D236" i="93" l="1"/>
  <c r="E235" i="93"/>
  <c r="K215" i="88"/>
  <c r="P215" i="88" s="1"/>
  <c r="J216" i="88"/>
  <c r="H217" i="88"/>
  <c r="I217" i="88" s="1"/>
  <c r="L216" i="88"/>
  <c r="F217" i="88"/>
  <c r="G216" i="88"/>
  <c r="K216" i="88" s="1"/>
  <c r="P216" i="88" s="1"/>
  <c r="N245" i="88"/>
  <c r="O244" i="88"/>
  <c r="E282" i="88"/>
  <c r="M282" i="88" s="1"/>
  <c r="O216" i="95"/>
  <c r="F220" i="95"/>
  <c r="G214" i="110"/>
  <c r="K214" i="110" s="1"/>
  <c r="P214" i="110" s="1"/>
  <c r="H215" i="110"/>
  <c r="I215" i="110" s="1"/>
  <c r="J215" i="110" s="1"/>
  <c r="F215" i="110"/>
  <c r="L214" i="110"/>
  <c r="V238" i="114"/>
  <c r="W238" i="114" s="1"/>
  <c r="E283" i="110"/>
  <c r="M283" i="110" s="1"/>
  <c r="N271" i="110"/>
  <c r="O270" i="110"/>
  <c r="P239" i="114"/>
  <c r="L239" i="114"/>
  <c r="M239" i="114" s="1"/>
  <c r="U239" i="114" s="1"/>
  <c r="X239" i="114" s="1"/>
  <c r="I241" i="114"/>
  <c r="J240" i="114"/>
  <c r="Y240" i="114" s="1"/>
  <c r="K240" i="114"/>
  <c r="F243" i="114"/>
  <c r="G242" i="114"/>
  <c r="R216" i="88"/>
  <c r="H217" i="95"/>
  <c r="I216" i="95"/>
  <c r="J216" i="95" s="1"/>
  <c r="N215" i="95"/>
  <c r="L217" i="95"/>
  <c r="M216" i="95"/>
  <c r="L234" i="111"/>
  <c r="H268" i="112" s="1"/>
  <c r="D270" i="113" s="1"/>
  <c r="E235" i="111"/>
  <c r="L131" i="113"/>
  <c r="M131" i="113" s="1"/>
  <c r="J131" i="113"/>
  <c r="J130" i="112"/>
  <c r="F153" i="113"/>
  <c r="G153" i="113" s="1"/>
  <c r="D237" i="93" l="1"/>
  <c r="E236" i="93"/>
  <c r="J217" i="88"/>
  <c r="S217" i="88"/>
  <c r="N246" i="88"/>
  <c r="O245" i="88"/>
  <c r="E283" i="88"/>
  <c r="M283" i="88" s="1"/>
  <c r="H218" i="88"/>
  <c r="I218" i="88" s="1"/>
  <c r="F218" i="88"/>
  <c r="L217" i="88"/>
  <c r="G217" i="88"/>
  <c r="K217" i="88" s="1"/>
  <c r="P217" i="88" s="1"/>
  <c r="O217" i="95"/>
  <c r="H216" i="110"/>
  <c r="I216" i="110" s="1"/>
  <c r="J216" i="110" s="1"/>
  <c r="L215" i="110"/>
  <c r="G215" i="110"/>
  <c r="K215" i="110" s="1"/>
  <c r="P215" i="110" s="1"/>
  <c r="F216" i="110"/>
  <c r="V239" i="114"/>
  <c r="W239" i="114" s="1"/>
  <c r="N272" i="110"/>
  <c r="O271" i="110"/>
  <c r="E284" i="110"/>
  <c r="M284" i="110" s="1"/>
  <c r="I242" i="114"/>
  <c r="J241" i="114"/>
  <c r="Y241" i="114" s="1"/>
  <c r="K241" i="114"/>
  <c r="P240" i="114"/>
  <c r="L240" i="114"/>
  <c r="M240" i="114" s="1"/>
  <c r="U240" i="114" s="1"/>
  <c r="X240" i="114" s="1"/>
  <c r="F244" i="114"/>
  <c r="G243" i="114"/>
  <c r="L218" i="95"/>
  <c r="M217" i="95"/>
  <c r="I217" i="95"/>
  <c r="J217" i="95" s="1"/>
  <c r="H218" i="95"/>
  <c r="N216" i="95"/>
  <c r="F154" i="113"/>
  <c r="G154" i="113" s="1"/>
  <c r="K130" i="112"/>
  <c r="I131" i="112" s="1"/>
  <c r="C133" i="113" s="1"/>
  <c r="H133" i="113" s="1"/>
  <c r="B133" i="113" s="1"/>
  <c r="I132" i="113"/>
  <c r="J132" i="113" s="1"/>
  <c r="O131" i="113"/>
  <c r="P131" i="113" s="1"/>
  <c r="E236" i="111"/>
  <c r="L235" i="111"/>
  <c r="H269" i="112" s="1"/>
  <c r="D271" i="113" s="1"/>
  <c r="S218" i="88" l="1"/>
  <c r="D238" i="93"/>
  <c r="E237" i="93"/>
  <c r="E284" i="88"/>
  <c r="M284" i="88" s="1"/>
  <c r="H219" i="88"/>
  <c r="I219" i="88" s="1"/>
  <c r="L218" i="88"/>
  <c r="F219" i="88"/>
  <c r="G218" i="88"/>
  <c r="J218" i="88"/>
  <c r="N247" i="88"/>
  <c r="O246" i="88"/>
  <c r="O218" i="95"/>
  <c r="F217" i="110"/>
  <c r="G216" i="110"/>
  <c r="K216" i="110" s="1"/>
  <c r="P216" i="110" s="1"/>
  <c r="L216" i="110"/>
  <c r="H217" i="110"/>
  <c r="I217" i="110" s="1"/>
  <c r="J217" i="110" s="1"/>
  <c r="V240" i="114"/>
  <c r="W240" i="114" s="1"/>
  <c r="E285" i="110"/>
  <c r="M285" i="110" s="1"/>
  <c r="N273" i="110"/>
  <c r="O272" i="110"/>
  <c r="P241" i="114"/>
  <c r="L241" i="114"/>
  <c r="M241" i="114" s="1"/>
  <c r="U241" i="114" s="1"/>
  <c r="X241" i="114" s="1"/>
  <c r="J242" i="114"/>
  <c r="Y242" i="114" s="1"/>
  <c r="K242" i="114"/>
  <c r="I243" i="114"/>
  <c r="F245" i="114"/>
  <c r="G244" i="114"/>
  <c r="R218" i="88"/>
  <c r="R217" i="88"/>
  <c r="L219" i="95"/>
  <c r="M218" i="95"/>
  <c r="I218" i="95"/>
  <c r="J218" i="95" s="1"/>
  <c r="H219" i="95"/>
  <c r="N217" i="95"/>
  <c r="E237" i="111"/>
  <c r="L236" i="111"/>
  <c r="H270" i="112" s="1"/>
  <c r="D272" i="113" s="1"/>
  <c r="I133" i="113"/>
  <c r="F155" i="113"/>
  <c r="G155" i="113" s="1"/>
  <c r="Q131" i="113"/>
  <c r="L132" i="113"/>
  <c r="J131" i="112"/>
  <c r="D239" i="93" l="1"/>
  <c r="E238" i="93"/>
  <c r="K218" i="88"/>
  <c r="P218" i="88" s="1"/>
  <c r="J219" i="88"/>
  <c r="N248" i="88"/>
  <c r="O247" i="88"/>
  <c r="E285" i="88"/>
  <c r="M285" i="88" s="1"/>
  <c r="S219" i="88"/>
  <c r="H220" i="88"/>
  <c r="I220" i="88" s="1"/>
  <c r="L219" i="88"/>
  <c r="F220" i="88"/>
  <c r="G219" i="88"/>
  <c r="K219" i="88" s="1"/>
  <c r="P219" i="88" s="1"/>
  <c r="O219" i="95"/>
  <c r="G217" i="110"/>
  <c r="K217" i="110" s="1"/>
  <c r="P217" i="110" s="1"/>
  <c r="L217" i="110"/>
  <c r="H218" i="110"/>
  <c r="I218" i="110" s="1"/>
  <c r="J218" i="110" s="1"/>
  <c r="F218" i="110"/>
  <c r="V241" i="114"/>
  <c r="W241" i="114" s="1"/>
  <c r="N274" i="110"/>
  <c r="O273" i="110"/>
  <c r="E286" i="110"/>
  <c r="M286" i="110" s="1"/>
  <c r="L242" i="114"/>
  <c r="M242" i="114" s="1"/>
  <c r="U242" i="114" s="1"/>
  <c r="X242" i="114" s="1"/>
  <c r="P242" i="114"/>
  <c r="J243" i="114"/>
  <c r="Y243" i="114" s="1"/>
  <c r="I244" i="114"/>
  <c r="K243" i="114"/>
  <c r="G245" i="114"/>
  <c r="F246" i="114"/>
  <c r="S220" i="88"/>
  <c r="R219" i="88"/>
  <c r="L220" i="95"/>
  <c r="M220" i="95" s="1"/>
  <c r="M219" i="95"/>
  <c r="I219" i="95"/>
  <c r="J219" i="95" s="1"/>
  <c r="H220" i="95"/>
  <c r="N218" i="95"/>
  <c r="F156" i="113"/>
  <c r="M132" i="113"/>
  <c r="L133" i="113"/>
  <c r="L237" i="111"/>
  <c r="H271" i="112" s="1"/>
  <c r="D273" i="113" s="1"/>
  <c r="E238" i="111"/>
  <c r="K131" i="112"/>
  <c r="I132" i="112" s="1"/>
  <c r="C134" i="113" s="1"/>
  <c r="H134" i="113" s="1"/>
  <c r="B134" i="113" s="1"/>
  <c r="O132" i="113"/>
  <c r="P132" i="113" s="1"/>
  <c r="J133" i="113"/>
  <c r="D240" i="93" l="1"/>
  <c r="E239" i="93"/>
  <c r="L220" i="88"/>
  <c r="F221" i="88"/>
  <c r="H221" i="88"/>
  <c r="I221" i="88" s="1"/>
  <c r="G220" i="88"/>
  <c r="E286" i="88"/>
  <c r="M286" i="88" s="1"/>
  <c r="N249" i="88"/>
  <c r="O248" i="88"/>
  <c r="J220" i="88"/>
  <c r="I220" i="95"/>
  <c r="J220" i="95" s="1"/>
  <c r="N220" i="95" s="1"/>
  <c r="O220" i="95"/>
  <c r="F219" i="110"/>
  <c r="H219" i="110"/>
  <c r="I219" i="110" s="1"/>
  <c r="J219" i="110" s="1"/>
  <c r="L218" i="110"/>
  <c r="G218" i="110"/>
  <c r="K218" i="110" s="1"/>
  <c r="P218" i="110" s="1"/>
  <c r="V242" i="114"/>
  <c r="W242" i="114" s="1"/>
  <c r="E287" i="110"/>
  <c r="M287" i="110" s="1"/>
  <c r="N275" i="110"/>
  <c r="O274" i="110"/>
  <c r="I245" i="114"/>
  <c r="J244" i="114"/>
  <c r="Y244" i="114" s="1"/>
  <c r="K244" i="114"/>
  <c r="P243" i="114"/>
  <c r="L243" i="114"/>
  <c r="M243" i="114" s="1"/>
  <c r="U243" i="114" s="1"/>
  <c r="X243" i="114" s="1"/>
  <c r="G246" i="114"/>
  <c r="F247" i="114"/>
  <c r="N219" i="95"/>
  <c r="I134" i="113"/>
  <c r="J134" i="113" s="1"/>
  <c r="Q132" i="113"/>
  <c r="J132" i="112"/>
  <c r="E239" i="111"/>
  <c r="L238" i="111"/>
  <c r="H272" i="112" s="1"/>
  <c r="D274" i="113" s="1"/>
  <c r="O133" i="113"/>
  <c r="P133" i="113" s="1"/>
  <c r="M133" i="113"/>
  <c r="G156" i="113"/>
  <c r="D241" i="93" l="1"/>
  <c r="E240" i="93"/>
  <c r="S221" i="88"/>
  <c r="J221" i="88"/>
  <c r="E287" i="88"/>
  <c r="M287" i="88" s="1"/>
  <c r="N250" i="88"/>
  <c r="O249" i="88"/>
  <c r="L221" i="88"/>
  <c r="H222" i="88"/>
  <c r="I222" i="88" s="1"/>
  <c r="F222" i="88"/>
  <c r="G221" i="88"/>
  <c r="K221" i="88" s="1"/>
  <c r="P221" i="88" s="1"/>
  <c r="K220" i="88"/>
  <c r="P220" i="88" s="1"/>
  <c r="F220" i="110"/>
  <c r="H220" i="110"/>
  <c r="I220" i="110" s="1"/>
  <c r="J220" i="110" s="1"/>
  <c r="G219" i="110"/>
  <c r="K219" i="110" s="1"/>
  <c r="P219" i="110" s="1"/>
  <c r="L219" i="110"/>
  <c r="V243" i="114"/>
  <c r="W243" i="114" s="1"/>
  <c r="E288" i="110"/>
  <c r="M288" i="110" s="1"/>
  <c r="N276" i="110"/>
  <c r="O275" i="110"/>
  <c r="P244" i="114"/>
  <c r="L244" i="114"/>
  <c r="M244" i="114" s="1"/>
  <c r="U244" i="114" s="1"/>
  <c r="X244" i="114" s="1"/>
  <c r="I246" i="114"/>
  <c r="J245" i="114"/>
  <c r="Y245" i="114" s="1"/>
  <c r="K245" i="114"/>
  <c r="F248" i="114"/>
  <c r="G247" i="114"/>
  <c r="S222" i="88"/>
  <c r="R220" i="88"/>
  <c r="Q133" i="113"/>
  <c r="F157" i="113"/>
  <c r="E240" i="111"/>
  <c r="L239" i="111"/>
  <c r="H273" i="112" s="1"/>
  <c r="D275" i="113" s="1"/>
  <c r="K132" i="112"/>
  <c r="I133" i="112" s="1"/>
  <c r="C135" i="113" s="1"/>
  <c r="H135" i="113" s="1"/>
  <c r="B135" i="113" s="1"/>
  <c r="L134" i="113"/>
  <c r="M134" i="113" s="1"/>
  <c r="D242" i="93" l="1"/>
  <c r="E241" i="93"/>
  <c r="L222" i="88"/>
  <c r="F223" i="88"/>
  <c r="H223" i="88"/>
  <c r="I223" i="88" s="1"/>
  <c r="G222" i="88"/>
  <c r="J222" i="88"/>
  <c r="E288" i="88"/>
  <c r="M288" i="88" s="1"/>
  <c r="N251" i="88"/>
  <c r="O250" i="88"/>
  <c r="F221" i="110"/>
  <c r="L220" i="110"/>
  <c r="G220" i="110"/>
  <c r="K220" i="110" s="1"/>
  <c r="P220" i="110" s="1"/>
  <c r="H221" i="110"/>
  <c r="I221" i="110" s="1"/>
  <c r="J221" i="110" s="1"/>
  <c r="V244" i="114"/>
  <c r="W244" i="114" s="1"/>
  <c r="N277" i="110"/>
  <c r="O276" i="110"/>
  <c r="E289" i="110"/>
  <c r="M289" i="110" s="1"/>
  <c r="I247" i="114"/>
  <c r="J246" i="114"/>
  <c r="Y246" i="114" s="1"/>
  <c r="K246" i="114"/>
  <c r="L245" i="114"/>
  <c r="M245" i="114" s="1"/>
  <c r="U245" i="114" s="1"/>
  <c r="X245" i="114" s="1"/>
  <c r="P245" i="114"/>
  <c r="F249" i="114"/>
  <c r="G248" i="114"/>
  <c r="R222" i="88"/>
  <c r="R221" i="88"/>
  <c r="L240" i="111"/>
  <c r="H274" i="112" s="1"/>
  <c r="D276" i="113" s="1"/>
  <c r="E241" i="111"/>
  <c r="I135" i="113"/>
  <c r="J135" i="113" s="1"/>
  <c r="O134" i="113"/>
  <c r="P134" i="113" s="1"/>
  <c r="J133" i="112"/>
  <c r="G157" i="113"/>
  <c r="D243" i="93" l="1"/>
  <c r="E242" i="93"/>
  <c r="S223" i="88"/>
  <c r="J223" i="88"/>
  <c r="E289" i="88"/>
  <c r="M289" i="88" s="1"/>
  <c r="F224" i="88"/>
  <c r="L223" i="88"/>
  <c r="H224" i="88"/>
  <c r="I224" i="88" s="1"/>
  <c r="G223" i="88"/>
  <c r="N252" i="88"/>
  <c r="O251" i="88"/>
  <c r="K222" i="88"/>
  <c r="P222" i="88" s="1"/>
  <c r="G221" i="110"/>
  <c r="K221" i="110" s="1"/>
  <c r="P221" i="110" s="1"/>
  <c r="H222" i="110"/>
  <c r="I222" i="110" s="1"/>
  <c r="J222" i="110" s="1"/>
  <c r="F222" i="110"/>
  <c r="L221" i="110"/>
  <c r="E290" i="110"/>
  <c r="M290" i="110" s="1"/>
  <c r="N278" i="110"/>
  <c r="O277" i="110"/>
  <c r="V245" i="114"/>
  <c r="W245" i="114" s="1"/>
  <c r="L246" i="114"/>
  <c r="M246" i="114" s="1"/>
  <c r="U246" i="114" s="1"/>
  <c r="X246" i="114" s="1"/>
  <c r="P246" i="114"/>
  <c r="I248" i="114"/>
  <c r="J247" i="114"/>
  <c r="Y247" i="114" s="1"/>
  <c r="K247" i="114"/>
  <c r="F250" i="114"/>
  <c r="G249" i="114"/>
  <c r="F158" i="113"/>
  <c r="G158" i="113" s="1"/>
  <c r="L135" i="113"/>
  <c r="K133" i="112"/>
  <c r="I134" i="112" s="1"/>
  <c r="C136" i="113" s="1"/>
  <c r="H136" i="113" s="1"/>
  <c r="B136" i="113" s="1"/>
  <c r="Q134" i="113"/>
  <c r="L241" i="111"/>
  <c r="H275" i="112" s="1"/>
  <c r="D277" i="113" s="1"/>
  <c r="E242" i="111"/>
  <c r="S224" i="88" l="1"/>
  <c r="D244" i="93"/>
  <c r="E243" i="93"/>
  <c r="K223" i="88"/>
  <c r="P223" i="88" s="1"/>
  <c r="L224" i="88"/>
  <c r="F225" i="88"/>
  <c r="H225" i="88"/>
  <c r="I225" i="88" s="1"/>
  <c r="G224" i="88"/>
  <c r="E290" i="88"/>
  <c r="M290" i="88" s="1"/>
  <c r="N253" i="88"/>
  <c r="O252" i="88"/>
  <c r="J224" i="88"/>
  <c r="F223" i="110"/>
  <c r="H223" i="110"/>
  <c r="I223" i="110" s="1"/>
  <c r="J223" i="110" s="1"/>
  <c r="L222" i="110"/>
  <c r="G222" i="110"/>
  <c r="K222" i="110" s="1"/>
  <c r="P222" i="110" s="1"/>
  <c r="V246" i="114"/>
  <c r="W246" i="114" s="1"/>
  <c r="N279" i="110"/>
  <c r="O278" i="110"/>
  <c r="E291" i="110"/>
  <c r="M291" i="110" s="1"/>
  <c r="I249" i="114"/>
  <c r="J248" i="114"/>
  <c r="Y248" i="114" s="1"/>
  <c r="K248" i="114"/>
  <c r="L247" i="114"/>
  <c r="M247" i="114" s="1"/>
  <c r="U247" i="114" s="1"/>
  <c r="X247" i="114" s="1"/>
  <c r="P247" i="114"/>
  <c r="G250" i="114"/>
  <c r="F251" i="114"/>
  <c r="R223" i="88"/>
  <c r="F159" i="113"/>
  <c r="L242" i="111"/>
  <c r="H276" i="112" s="1"/>
  <c r="D278" i="113" s="1"/>
  <c r="E243" i="111"/>
  <c r="M135" i="113"/>
  <c r="I136" i="113"/>
  <c r="J136" i="113" s="1"/>
  <c r="J134" i="112"/>
  <c r="O135" i="113"/>
  <c r="P135" i="113" s="1"/>
  <c r="D245" i="93" l="1"/>
  <c r="E244" i="93"/>
  <c r="S225" i="88"/>
  <c r="E291" i="88"/>
  <c r="M291" i="88" s="1"/>
  <c r="J225" i="88"/>
  <c r="N254" i="88"/>
  <c r="O253" i="88"/>
  <c r="H226" i="88"/>
  <c r="I226" i="88" s="1"/>
  <c r="L225" i="88"/>
  <c r="F226" i="88"/>
  <c r="G225" i="88"/>
  <c r="K224" i="88"/>
  <c r="P224" i="88" s="1"/>
  <c r="G223" i="110"/>
  <c r="K223" i="110" s="1"/>
  <c r="P223" i="110" s="1"/>
  <c r="H224" i="110"/>
  <c r="I224" i="110" s="1"/>
  <c r="J224" i="110" s="1"/>
  <c r="L223" i="110"/>
  <c r="F224" i="110"/>
  <c r="E292" i="110"/>
  <c r="M292" i="110" s="1"/>
  <c r="N280" i="110"/>
  <c r="O279" i="110"/>
  <c r="V247" i="114"/>
  <c r="W247" i="114" s="1"/>
  <c r="P248" i="114"/>
  <c r="L248" i="114"/>
  <c r="M248" i="114" s="1"/>
  <c r="U248" i="114" s="1"/>
  <c r="X248" i="114" s="1"/>
  <c r="I250" i="114"/>
  <c r="J249" i="114"/>
  <c r="Y249" i="114" s="1"/>
  <c r="K249" i="114"/>
  <c r="G251" i="114"/>
  <c r="F252" i="114"/>
  <c r="R224" i="88"/>
  <c r="Q135" i="113"/>
  <c r="K134" i="112"/>
  <c r="I135" i="112" s="1"/>
  <c r="C137" i="113" s="1"/>
  <c r="H137" i="113" s="1"/>
  <c r="B137" i="113" s="1"/>
  <c r="L136" i="113"/>
  <c r="O136" i="113" s="1"/>
  <c r="P136" i="113" s="1"/>
  <c r="L243" i="111"/>
  <c r="H277" i="112" s="1"/>
  <c r="D279" i="113" s="1"/>
  <c r="E244" i="111"/>
  <c r="G159" i="113"/>
  <c r="S226" i="88" l="1"/>
  <c r="D246" i="93"/>
  <c r="E245" i="93"/>
  <c r="K225" i="88"/>
  <c r="P225" i="88" s="1"/>
  <c r="H227" i="88"/>
  <c r="I227" i="88" s="1"/>
  <c r="F227" i="88"/>
  <c r="L226" i="88"/>
  <c r="G226" i="88"/>
  <c r="N255" i="88"/>
  <c r="O254" i="88"/>
  <c r="J226" i="88"/>
  <c r="E292" i="88"/>
  <c r="M292" i="88" s="1"/>
  <c r="F225" i="110"/>
  <c r="H225" i="110"/>
  <c r="I225" i="110" s="1"/>
  <c r="J225" i="110" s="1"/>
  <c r="L224" i="110"/>
  <c r="G224" i="110"/>
  <c r="K224" i="110" s="1"/>
  <c r="P224" i="110" s="1"/>
  <c r="V248" i="114"/>
  <c r="W248" i="114" s="1"/>
  <c r="N281" i="110"/>
  <c r="O280" i="110"/>
  <c r="E293" i="110"/>
  <c r="M293" i="110" s="1"/>
  <c r="K250" i="114"/>
  <c r="J250" i="114"/>
  <c r="Y250" i="114" s="1"/>
  <c r="I251" i="114"/>
  <c r="P249" i="114"/>
  <c r="L249" i="114"/>
  <c r="M249" i="114" s="1"/>
  <c r="U249" i="114" s="1"/>
  <c r="X249" i="114" s="1"/>
  <c r="I137" i="113"/>
  <c r="J137" i="113" s="1"/>
  <c r="G252" i="114"/>
  <c r="F253" i="114"/>
  <c r="S227" i="88"/>
  <c r="R226" i="88"/>
  <c r="R225" i="88"/>
  <c r="Q136" i="113"/>
  <c r="E245" i="111"/>
  <c r="L244" i="111"/>
  <c r="H278" i="112" s="1"/>
  <c r="D280" i="113" s="1"/>
  <c r="M136" i="113"/>
  <c r="J135" i="112"/>
  <c r="F160" i="113"/>
  <c r="D247" i="93" l="1"/>
  <c r="E246" i="93"/>
  <c r="E293" i="88"/>
  <c r="M293" i="88" s="1"/>
  <c r="N256" i="88"/>
  <c r="O255" i="88"/>
  <c r="L227" i="88"/>
  <c r="H228" i="88"/>
  <c r="I228" i="88" s="1"/>
  <c r="F228" i="88"/>
  <c r="G227" i="88"/>
  <c r="K226" i="88"/>
  <c r="P226" i="88" s="1"/>
  <c r="J227" i="88"/>
  <c r="F226" i="110"/>
  <c r="H226" i="110"/>
  <c r="I226" i="110" s="1"/>
  <c r="J226" i="110" s="1"/>
  <c r="G225" i="110"/>
  <c r="K225" i="110" s="1"/>
  <c r="P225" i="110" s="1"/>
  <c r="L225" i="110"/>
  <c r="L137" i="113"/>
  <c r="O137" i="113" s="1"/>
  <c r="P137" i="113" s="1"/>
  <c r="Q137" i="113" s="1"/>
  <c r="V249" i="114"/>
  <c r="W249" i="114" s="1"/>
  <c r="E294" i="110"/>
  <c r="M294" i="110" s="1"/>
  <c r="N282" i="110"/>
  <c r="O281" i="110"/>
  <c r="I252" i="114"/>
  <c r="J251" i="114"/>
  <c r="Y251" i="114" s="1"/>
  <c r="K251" i="114"/>
  <c r="P250" i="114"/>
  <c r="L250" i="114"/>
  <c r="M250" i="114" s="1"/>
  <c r="U250" i="114" s="1"/>
  <c r="X250" i="114" s="1"/>
  <c r="F254" i="114"/>
  <c r="G253" i="114"/>
  <c r="S228" i="88"/>
  <c r="G160" i="113"/>
  <c r="K135" i="112"/>
  <c r="I136" i="112" s="1"/>
  <c r="C138" i="113" s="1"/>
  <c r="H138" i="113" s="1"/>
  <c r="E246" i="111"/>
  <c r="L245" i="111"/>
  <c r="H279" i="112" s="1"/>
  <c r="D281" i="113" s="1"/>
  <c r="D248" i="93" l="1"/>
  <c r="E247" i="93"/>
  <c r="J228" i="88"/>
  <c r="H229" i="88"/>
  <c r="I229" i="88" s="1"/>
  <c r="L228" i="88"/>
  <c r="F229" i="88"/>
  <c r="G228" i="88"/>
  <c r="K228" i="88" s="1"/>
  <c r="P228" i="88" s="1"/>
  <c r="N257" i="88"/>
  <c r="O256" i="88"/>
  <c r="K227" i="88"/>
  <c r="P227" i="88" s="1"/>
  <c r="E294" i="88"/>
  <c r="M294" i="88" s="1"/>
  <c r="L226" i="110"/>
  <c r="G226" i="110"/>
  <c r="K226" i="110" s="1"/>
  <c r="P226" i="110" s="1"/>
  <c r="H227" i="110"/>
  <c r="I227" i="110" s="1"/>
  <c r="J227" i="110" s="1"/>
  <c r="F227" i="110"/>
  <c r="M137" i="113"/>
  <c r="V250" i="114"/>
  <c r="W250" i="114" s="1"/>
  <c r="N283" i="110"/>
  <c r="O282" i="110"/>
  <c r="E295" i="110"/>
  <c r="M295" i="110" s="1"/>
  <c r="L251" i="114"/>
  <c r="M251" i="114" s="1"/>
  <c r="U251" i="114" s="1"/>
  <c r="X251" i="114" s="1"/>
  <c r="P251" i="114"/>
  <c r="I253" i="114"/>
  <c r="J252" i="114"/>
  <c r="Y252" i="114" s="1"/>
  <c r="K252" i="114"/>
  <c r="F255" i="114"/>
  <c r="G254" i="114"/>
  <c r="R227" i="88"/>
  <c r="S229" i="88"/>
  <c r="J136" i="112"/>
  <c r="K136" i="112" s="1"/>
  <c r="I137" i="112" s="1"/>
  <c r="C139" i="113" s="1"/>
  <c r="H139" i="113" s="1"/>
  <c r="B139" i="113" s="1"/>
  <c r="L246" i="111"/>
  <c r="H280" i="112" s="1"/>
  <c r="D282" i="113" s="1"/>
  <c r="E247" i="111"/>
  <c r="B138" i="113"/>
  <c r="I138" i="113"/>
  <c r="F161" i="113"/>
  <c r="G161" i="113" s="1"/>
  <c r="D249" i="93" l="1"/>
  <c r="E248" i="93"/>
  <c r="J229" i="88"/>
  <c r="E295" i="88"/>
  <c r="M295" i="88" s="1"/>
  <c r="N258" i="88"/>
  <c r="O257" i="88"/>
  <c r="F230" i="88"/>
  <c r="H230" i="88"/>
  <c r="I230" i="88" s="1"/>
  <c r="L229" i="88"/>
  <c r="G229" i="88"/>
  <c r="L227" i="110"/>
  <c r="G227" i="110"/>
  <c r="K227" i="110" s="1"/>
  <c r="P227" i="110" s="1"/>
  <c r="F228" i="110"/>
  <c r="H228" i="110"/>
  <c r="I228" i="110" s="1"/>
  <c r="J228" i="110" s="1"/>
  <c r="V251" i="114"/>
  <c r="W251" i="114" s="1"/>
  <c r="E296" i="110"/>
  <c r="M296" i="110" s="1"/>
  <c r="N284" i="110"/>
  <c r="O283" i="110"/>
  <c r="K253" i="114"/>
  <c r="I254" i="114"/>
  <c r="J253" i="114"/>
  <c r="Y253" i="114" s="1"/>
  <c r="P252" i="114"/>
  <c r="L252" i="114"/>
  <c r="M252" i="114" s="1"/>
  <c r="U252" i="114" s="1"/>
  <c r="X252" i="114" s="1"/>
  <c r="G255" i="114"/>
  <c r="F256" i="114"/>
  <c r="R228" i="88"/>
  <c r="F162" i="113"/>
  <c r="G162" i="113" s="1"/>
  <c r="L138" i="113"/>
  <c r="J137" i="112"/>
  <c r="J138" i="113"/>
  <c r="L247" i="111"/>
  <c r="H281" i="112" s="1"/>
  <c r="D283" i="113" s="1"/>
  <c r="E248" i="111"/>
  <c r="D250" i="93" l="1"/>
  <c r="E249" i="93"/>
  <c r="K229" i="88"/>
  <c r="P229" i="88" s="1"/>
  <c r="S230" i="88"/>
  <c r="N259" i="88"/>
  <c r="O258" i="88"/>
  <c r="J230" i="88"/>
  <c r="E296" i="88"/>
  <c r="M296" i="88" s="1"/>
  <c r="F231" i="88"/>
  <c r="L230" i="88"/>
  <c r="H231" i="88"/>
  <c r="I231" i="88" s="1"/>
  <c r="G230" i="88"/>
  <c r="G228" i="110"/>
  <c r="K228" i="110" s="1"/>
  <c r="P228" i="110" s="1"/>
  <c r="H229" i="110"/>
  <c r="I229" i="110" s="1"/>
  <c r="J229" i="110" s="1"/>
  <c r="F229" i="110"/>
  <c r="L228" i="110"/>
  <c r="V252" i="114"/>
  <c r="W252" i="114" s="1"/>
  <c r="E297" i="110"/>
  <c r="M297" i="110" s="1"/>
  <c r="N285" i="110"/>
  <c r="O284" i="110"/>
  <c r="I255" i="114"/>
  <c r="K254" i="114"/>
  <c r="J254" i="114"/>
  <c r="Y254" i="114" s="1"/>
  <c r="P253" i="114"/>
  <c r="L253" i="114"/>
  <c r="M253" i="114" s="1"/>
  <c r="U253" i="114" s="1"/>
  <c r="X253" i="114" s="1"/>
  <c r="G256" i="114"/>
  <c r="F257" i="114"/>
  <c r="R229" i="88"/>
  <c r="S231" i="88"/>
  <c r="F163" i="113"/>
  <c r="L248" i="111"/>
  <c r="H282" i="112" s="1"/>
  <c r="D284" i="113" s="1"/>
  <c r="E249" i="111"/>
  <c r="M138" i="113"/>
  <c r="I139" i="113"/>
  <c r="J139" i="113" s="1"/>
  <c r="K137" i="112"/>
  <c r="I138" i="112" s="1"/>
  <c r="C140" i="113" s="1"/>
  <c r="H140" i="113" s="1"/>
  <c r="B140" i="113" s="1"/>
  <c r="O138" i="113"/>
  <c r="P138" i="113" s="1"/>
  <c r="D251" i="93" l="1"/>
  <c r="E250" i="93"/>
  <c r="K230" i="88"/>
  <c r="P230" i="88" s="1"/>
  <c r="J231" i="88"/>
  <c r="E297" i="88"/>
  <c r="M297" i="88" s="1"/>
  <c r="L231" i="88"/>
  <c r="H232" i="88"/>
  <c r="I232" i="88" s="1"/>
  <c r="F232" i="88"/>
  <c r="G231" i="88"/>
  <c r="N260" i="88"/>
  <c r="O259" i="88"/>
  <c r="L229" i="110"/>
  <c r="G229" i="110"/>
  <c r="K229" i="110" s="1"/>
  <c r="P229" i="110" s="1"/>
  <c r="H230" i="110"/>
  <c r="I230" i="110" s="1"/>
  <c r="J230" i="110" s="1"/>
  <c r="F230" i="110"/>
  <c r="V253" i="114"/>
  <c r="W253" i="114" s="1"/>
  <c r="N286" i="110"/>
  <c r="O285" i="110"/>
  <c r="E298" i="110"/>
  <c r="M298" i="110" s="1"/>
  <c r="P254" i="114"/>
  <c r="L254" i="114"/>
  <c r="M254" i="114" s="1"/>
  <c r="U254" i="114" s="1"/>
  <c r="X254" i="114" s="1"/>
  <c r="I256" i="114"/>
  <c r="J255" i="114"/>
  <c r="Y255" i="114" s="1"/>
  <c r="K255" i="114"/>
  <c r="F258" i="114"/>
  <c r="G257" i="114"/>
  <c r="R230" i="88"/>
  <c r="R231" i="88"/>
  <c r="L139" i="113"/>
  <c r="M139" i="113" s="1"/>
  <c r="Q138" i="113"/>
  <c r="J138" i="112"/>
  <c r="I140" i="113"/>
  <c r="J140" i="113" s="1"/>
  <c r="E250" i="111"/>
  <c r="E251" i="111" s="1"/>
  <c r="L249" i="111"/>
  <c r="G163" i="113"/>
  <c r="K231" i="88" l="1"/>
  <c r="P231" i="88" s="1"/>
  <c r="D252" i="93"/>
  <c r="E251" i="93"/>
  <c r="J232" i="88"/>
  <c r="E298" i="88"/>
  <c r="M298" i="88" s="1"/>
  <c r="S232" i="88"/>
  <c r="N261" i="88"/>
  <c r="O260" i="88"/>
  <c r="F233" i="88"/>
  <c r="H233" i="88"/>
  <c r="I233" i="88" s="1"/>
  <c r="L232" i="88"/>
  <c r="G232" i="88"/>
  <c r="K232" i="88" s="1"/>
  <c r="P232" i="88" s="1"/>
  <c r="F231" i="110"/>
  <c r="H231" i="110"/>
  <c r="I231" i="110" s="1"/>
  <c r="J231" i="110" s="1"/>
  <c r="L230" i="110"/>
  <c r="G230" i="110"/>
  <c r="K230" i="110" s="1"/>
  <c r="P230" i="110" s="1"/>
  <c r="V254" i="114"/>
  <c r="W254" i="114" s="1"/>
  <c r="E299" i="110"/>
  <c r="M299" i="110" s="1"/>
  <c r="N287" i="110"/>
  <c r="O286" i="110"/>
  <c r="I257" i="114"/>
  <c r="K256" i="114"/>
  <c r="J256" i="114"/>
  <c r="Y256" i="114" s="1"/>
  <c r="P255" i="114"/>
  <c r="L255" i="114"/>
  <c r="M255" i="114" s="1"/>
  <c r="U255" i="114" s="1"/>
  <c r="X255" i="114" s="1"/>
  <c r="G258" i="114"/>
  <c r="F259" i="114"/>
  <c r="F164" i="113"/>
  <c r="G164" i="113" s="1"/>
  <c r="K138" i="112"/>
  <c r="I139" i="112" s="1"/>
  <c r="C141" i="113" s="1"/>
  <c r="H141" i="113" s="1"/>
  <c r="B141" i="113" s="1"/>
  <c r="H283" i="112"/>
  <c r="L253" i="111"/>
  <c r="L140" i="113"/>
  <c r="M140" i="113" s="1"/>
  <c r="O139" i="113"/>
  <c r="P139" i="113" s="1"/>
  <c r="D253" i="93" l="1"/>
  <c r="E252" i="93"/>
  <c r="S233" i="88"/>
  <c r="F234" i="88"/>
  <c r="H234" i="88"/>
  <c r="I234" i="88" s="1"/>
  <c r="L233" i="88"/>
  <c r="G233" i="88"/>
  <c r="N262" i="88"/>
  <c r="O261" i="88"/>
  <c r="E299" i="88"/>
  <c r="M299" i="88" s="1"/>
  <c r="J233" i="88"/>
  <c r="F232" i="110"/>
  <c r="L231" i="110"/>
  <c r="G231" i="110"/>
  <c r="K231" i="110" s="1"/>
  <c r="P231" i="110" s="1"/>
  <c r="H232" i="110"/>
  <c r="I232" i="110" s="1"/>
  <c r="J232" i="110" s="1"/>
  <c r="V255" i="114"/>
  <c r="W255" i="114" s="1"/>
  <c r="R232" i="88"/>
  <c r="N288" i="110"/>
  <c r="O287" i="110"/>
  <c r="E300" i="110"/>
  <c r="M300" i="110" s="1"/>
  <c r="L256" i="114"/>
  <c r="M256" i="114" s="1"/>
  <c r="U256" i="114" s="1"/>
  <c r="X256" i="114" s="1"/>
  <c r="P256" i="114"/>
  <c r="I258" i="114"/>
  <c r="J257" i="114"/>
  <c r="Y257" i="114" s="1"/>
  <c r="K257" i="114"/>
  <c r="F260" i="114"/>
  <c r="G259" i="114"/>
  <c r="O140" i="113"/>
  <c r="P140" i="113" s="1"/>
  <c r="J139" i="112"/>
  <c r="K139" i="112" s="1"/>
  <c r="I140" i="112" s="1"/>
  <c r="F165" i="113"/>
  <c r="Q139" i="113"/>
  <c r="D285" i="113"/>
  <c r="H288" i="112"/>
  <c r="I141" i="113"/>
  <c r="S234" i="88" l="1"/>
  <c r="D254" i="93"/>
  <c r="E253" i="93"/>
  <c r="N263" i="88"/>
  <c r="O262" i="88"/>
  <c r="J234" i="88"/>
  <c r="E300" i="88"/>
  <c r="M300" i="88" s="1"/>
  <c r="K233" i="88"/>
  <c r="P233" i="88" s="1"/>
  <c r="F235" i="88"/>
  <c r="L234" i="88"/>
  <c r="H235" i="88"/>
  <c r="I235" i="88" s="1"/>
  <c r="G234" i="88"/>
  <c r="G232" i="110"/>
  <c r="K232" i="110" s="1"/>
  <c r="P232" i="110" s="1"/>
  <c r="F233" i="110"/>
  <c r="L232" i="110"/>
  <c r="H233" i="110"/>
  <c r="I233" i="110" s="1"/>
  <c r="J233" i="110" s="1"/>
  <c r="V256" i="114"/>
  <c r="W256" i="114" s="1"/>
  <c r="E301" i="110"/>
  <c r="M301" i="110" s="1"/>
  <c r="N289" i="110"/>
  <c r="O288" i="110"/>
  <c r="J258" i="114"/>
  <c r="Y258" i="114" s="1"/>
  <c r="K258" i="114"/>
  <c r="I259" i="114"/>
  <c r="P257" i="114"/>
  <c r="L257" i="114"/>
  <c r="M257" i="114" s="1"/>
  <c r="U257" i="114" s="1"/>
  <c r="X257" i="114" s="1"/>
  <c r="G260" i="114"/>
  <c r="F261" i="114"/>
  <c r="R234" i="88"/>
  <c r="R233" i="88"/>
  <c r="C142" i="113"/>
  <c r="H142" i="113" s="1"/>
  <c r="B142" i="113" s="1"/>
  <c r="J140" i="112"/>
  <c r="K140" i="112" s="1"/>
  <c r="I141" i="112" s="1"/>
  <c r="C143" i="113" s="1"/>
  <c r="H143" i="113" s="1"/>
  <c r="B143" i="113" s="1"/>
  <c r="L141" i="113"/>
  <c r="O141" i="113" s="1"/>
  <c r="P141" i="113" s="1"/>
  <c r="D299" i="113"/>
  <c r="J141" i="113"/>
  <c r="Q140" i="113"/>
  <c r="G165" i="113"/>
  <c r="D255" i="93" l="1"/>
  <c r="E254" i="93"/>
  <c r="S235" i="88"/>
  <c r="K234" i="88"/>
  <c r="P234" i="88" s="1"/>
  <c r="E301" i="88"/>
  <c r="M301" i="88" s="1"/>
  <c r="H236" i="88"/>
  <c r="I236" i="88" s="1"/>
  <c r="F236" i="88"/>
  <c r="L235" i="88"/>
  <c r="G235" i="88"/>
  <c r="N264" i="88"/>
  <c r="O263" i="88"/>
  <c r="J235" i="88"/>
  <c r="H234" i="110"/>
  <c r="I234" i="110" s="1"/>
  <c r="J234" i="110" s="1"/>
  <c r="L233" i="110"/>
  <c r="F234" i="110"/>
  <c r="G233" i="110"/>
  <c r="K233" i="110" s="1"/>
  <c r="P233" i="110" s="1"/>
  <c r="V257" i="114"/>
  <c r="W257" i="114" s="1"/>
  <c r="N290" i="110"/>
  <c r="O289" i="110"/>
  <c r="E302" i="110"/>
  <c r="M302" i="110" s="1"/>
  <c r="J259" i="114"/>
  <c r="Y259" i="114" s="1"/>
  <c r="K259" i="114"/>
  <c r="I260" i="114"/>
  <c r="P258" i="114"/>
  <c r="L258" i="114"/>
  <c r="M258" i="114" s="1"/>
  <c r="U258" i="114" s="1"/>
  <c r="X258" i="114" s="1"/>
  <c r="F262" i="114"/>
  <c r="G261" i="114"/>
  <c r="S236" i="88"/>
  <c r="J141" i="112"/>
  <c r="K141" i="112" s="1"/>
  <c r="I142" i="112" s="1"/>
  <c r="C144" i="113" s="1"/>
  <c r="H144" i="113" s="1"/>
  <c r="B144" i="113" s="1"/>
  <c r="Q141" i="113"/>
  <c r="I142" i="113"/>
  <c r="J142" i="113" s="1"/>
  <c r="F166" i="113"/>
  <c r="G166" i="113" s="1"/>
  <c r="M141" i="113"/>
  <c r="D256" i="93" l="1"/>
  <c r="E255" i="93"/>
  <c r="K235" i="88"/>
  <c r="P235" i="88" s="1"/>
  <c r="J236" i="88"/>
  <c r="F237" i="88"/>
  <c r="L236" i="88"/>
  <c r="H237" i="88"/>
  <c r="I237" i="88" s="1"/>
  <c r="G236" i="88"/>
  <c r="N265" i="88"/>
  <c r="O264" i="88"/>
  <c r="E302" i="88"/>
  <c r="M302" i="88" s="1"/>
  <c r="L234" i="110"/>
  <c r="G234" i="110"/>
  <c r="K234" i="110" s="1"/>
  <c r="P234" i="110" s="1"/>
  <c r="H235" i="110"/>
  <c r="I235" i="110" s="1"/>
  <c r="J235" i="110" s="1"/>
  <c r="F235" i="110"/>
  <c r="V258" i="114"/>
  <c r="W258" i="114" s="1"/>
  <c r="E303" i="110"/>
  <c r="M303" i="110" s="1"/>
  <c r="N291" i="110"/>
  <c r="O290" i="110"/>
  <c r="I261" i="114"/>
  <c r="J260" i="114"/>
  <c r="Y260" i="114" s="1"/>
  <c r="K260" i="114"/>
  <c r="L259" i="114"/>
  <c r="M259" i="114" s="1"/>
  <c r="U259" i="114" s="1"/>
  <c r="X259" i="114" s="1"/>
  <c r="P259" i="114"/>
  <c r="F263" i="114"/>
  <c r="G262" i="114"/>
  <c r="R235" i="88"/>
  <c r="F167" i="113"/>
  <c r="G167" i="113" s="1"/>
  <c r="J142" i="112"/>
  <c r="I143" i="113"/>
  <c r="L142" i="113"/>
  <c r="S237" i="88" l="1"/>
  <c r="D257" i="93"/>
  <c r="E256" i="93"/>
  <c r="J237" i="88"/>
  <c r="N266" i="88"/>
  <c r="O265" i="88"/>
  <c r="E303" i="88"/>
  <c r="M303" i="88" s="1"/>
  <c r="K236" i="88"/>
  <c r="P236" i="88" s="1"/>
  <c r="H238" i="88"/>
  <c r="I238" i="88" s="1"/>
  <c r="L237" i="88"/>
  <c r="F238" i="88"/>
  <c r="G237" i="88"/>
  <c r="K237" i="88" s="1"/>
  <c r="P237" i="88" s="1"/>
  <c r="F236" i="110"/>
  <c r="G235" i="110"/>
  <c r="K235" i="110" s="1"/>
  <c r="P235" i="110" s="1"/>
  <c r="H236" i="110"/>
  <c r="I236" i="110" s="1"/>
  <c r="J236" i="110" s="1"/>
  <c r="L235" i="110"/>
  <c r="N292" i="110"/>
  <c r="O291" i="110"/>
  <c r="E304" i="110"/>
  <c r="M304" i="110" s="1"/>
  <c r="P260" i="114"/>
  <c r="L260" i="114"/>
  <c r="M260" i="114" s="1"/>
  <c r="U260" i="114" s="1"/>
  <c r="X260" i="114" s="1"/>
  <c r="V259" i="114"/>
  <c r="W259" i="114" s="1"/>
  <c r="I262" i="114"/>
  <c r="J261" i="114"/>
  <c r="Y261" i="114" s="1"/>
  <c r="K261" i="114"/>
  <c r="F264" i="114"/>
  <c r="G263" i="114"/>
  <c r="R236" i="88"/>
  <c r="S238" i="88"/>
  <c r="O142" i="113"/>
  <c r="P142" i="113" s="1"/>
  <c r="M142" i="113"/>
  <c r="L143" i="113"/>
  <c r="O143" i="113" s="1"/>
  <c r="F168" i="113"/>
  <c r="G168" i="113" s="1"/>
  <c r="J143" i="113"/>
  <c r="K142" i="112"/>
  <c r="I143" i="112" s="1"/>
  <c r="C145" i="113" s="1"/>
  <c r="H145" i="113" s="1"/>
  <c r="B145" i="113" s="1"/>
  <c r="D258" i="93" l="1"/>
  <c r="E257" i="93"/>
  <c r="J238" i="88"/>
  <c r="E304" i="88"/>
  <c r="M304" i="88" s="1"/>
  <c r="N267" i="88"/>
  <c r="O266" i="88"/>
  <c r="H239" i="88"/>
  <c r="I239" i="88" s="1"/>
  <c r="L238" i="88"/>
  <c r="F239" i="88"/>
  <c r="G238" i="88"/>
  <c r="H237" i="110"/>
  <c r="I237" i="110" s="1"/>
  <c r="J237" i="110" s="1"/>
  <c r="F237" i="110"/>
  <c r="L236" i="110"/>
  <c r="G236" i="110"/>
  <c r="K236" i="110" s="1"/>
  <c r="P236" i="110" s="1"/>
  <c r="V260" i="114"/>
  <c r="W260" i="114" s="1"/>
  <c r="E305" i="110"/>
  <c r="M305" i="110" s="1"/>
  <c r="N293" i="110"/>
  <c r="O292" i="110"/>
  <c r="K262" i="114"/>
  <c r="I263" i="114"/>
  <c r="J262" i="114"/>
  <c r="Y262" i="114" s="1"/>
  <c r="L261" i="114"/>
  <c r="M261" i="114" s="1"/>
  <c r="U261" i="114" s="1"/>
  <c r="X261" i="114" s="1"/>
  <c r="P261" i="114"/>
  <c r="G264" i="114"/>
  <c r="F265" i="114"/>
  <c r="R237" i="88"/>
  <c r="J143" i="112"/>
  <c r="I144" i="113"/>
  <c r="J144" i="113" s="1"/>
  <c r="F169" i="113"/>
  <c r="G169" i="113" s="1"/>
  <c r="M143" i="113"/>
  <c r="Q142" i="113"/>
  <c r="P143" i="113"/>
  <c r="D259" i="93" l="1"/>
  <c r="E258" i="93"/>
  <c r="S239" i="88"/>
  <c r="J239" i="88"/>
  <c r="L239" i="88"/>
  <c r="H240" i="88"/>
  <c r="I240" i="88" s="1"/>
  <c r="F240" i="88"/>
  <c r="G239" i="88"/>
  <c r="K239" i="88" s="1"/>
  <c r="P239" i="88" s="1"/>
  <c r="N268" i="88"/>
  <c r="O267" i="88"/>
  <c r="E305" i="88"/>
  <c r="M305" i="88" s="1"/>
  <c r="K238" i="88"/>
  <c r="P238" i="88" s="1"/>
  <c r="F238" i="110"/>
  <c r="L237" i="110"/>
  <c r="H238" i="110"/>
  <c r="I238" i="110" s="1"/>
  <c r="J238" i="110" s="1"/>
  <c r="G237" i="110"/>
  <c r="K237" i="110" s="1"/>
  <c r="P237" i="110" s="1"/>
  <c r="N294" i="110"/>
  <c r="O293" i="110"/>
  <c r="E306" i="110"/>
  <c r="M306" i="110" s="1"/>
  <c r="V261" i="114"/>
  <c r="W261" i="114" s="1"/>
  <c r="J263" i="114"/>
  <c r="Y263" i="114" s="1"/>
  <c r="K263" i="114"/>
  <c r="I264" i="114"/>
  <c r="P262" i="114"/>
  <c r="L262" i="114"/>
  <c r="M262" i="114" s="1"/>
  <c r="U262" i="114" s="1"/>
  <c r="X262" i="114" s="1"/>
  <c r="F266" i="114"/>
  <c r="G265" i="114"/>
  <c r="S240" i="88"/>
  <c r="I145" i="113"/>
  <c r="J145" i="113" s="1"/>
  <c r="F170" i="113"/>
  <c r="Q143" i="113"/>
  <c r="K143" i="112"/>
  <c r="I144" i="112" s="1"/>
  <c r="C146" i="113" s="1"/>
  <c r="H146" i="113" s="1"/>
  <c r="B146" i="113" s="1"/>
  <c r="L144" i="113"/>
  <c r="D260" i="93" l="1"/>
  <c r="E259" i="93"/>
  <c r="J240" i="88"/>
  <c r="N269" i="88"/>
  <c r="O268" i="88"/>
  <c r="F241" i="88"/>
  <c r="L240" i="88"/>
  <c r="H241" i="88"/>
  <c r="I241" i="88" s="1"/>
  <c r="G240" i="88"/>
  <c r="E306" i="88"/>
  <c r="M306" i="88" s="1"/>
  <c r="L238" i="110"/>
  <c r="H239" i="110"/>
  <c r="I239" i="110" s="1"/>
  <c r="J239" i="110" s="1"/>
  <c r="G238" i="110"/>
  <c r="K238" i="110" s="1"/>
  <c r="P238" i="110" s="1"/>
  <c r="F239" i="110"/>
  <c r="E307" i="110"/>
  <c r="M307" i="110" s="1"/>
  <c r="N295" i="110"/>
  <c r="O294" i="110"/>
  <c r="V262" i="114"/>
  <c r="W262" i="114" s="1"/>
  <c r="I265" i="114"/>
  <c r="J264" i="114"/>
  <c r="Y264" i="114" s="1"/>
  <c r="K264" i="114"/>
  <c r="L263" i="114"/>
  <c r="M263" i="114" s="1"/>
  <c r="U263" i="114" s="1"/>
  <c r="X263" i="114" s="1"/>
  <c r="P263" i="114"/>
  <c r="F267" i="114"/>
  <c r="G266" i="114"/>
  <c r="I146" i="113"/>
  <c r="J146" i="113" s="1"/>
  <c r="O144" i="113"/>
  <c r="P144" i="113" s="1"/>
  <c r="J144" i="112"/>
  <c r="M144" i="113"/>
  <c r="G170" i="113"/>
  <c r="L145" i="113"/>
  <c r="O145" i="113" s="1"/>
  <c r="S241" i="88" l="1"/>
  <c r="K240" i="88"/>
  <c r="P240" i="88" s="1"/>
  <c r="D261" i="93"/>
  <c r="E260" i="93"/>
  <c r="F242" i="88"/>
  <c r="H242" i="88"/>
  <c r="I242" i="88" s="1"/>
  <c r="L241" i="88"/>
  <c r="G241" i="88"/>
  <c r="J241" i="88"/>
  <c r="N270" i="88"/>
  <c r="O269" i="88"/>
  <c r="E307" i="88"/>
  <c r="M307" i="88" s="1"/>
  <c r="G239" i="110"/>
  <c r="K239" i="110" s="1"/>
  <c r="P239" i="110" s="1"/>
  <c r="L239" i="110"/>
  <c r="H240" i="110"/>
  <c r="I240" i="110" s="1"/>
  <c r="J240" i="110" s="1"/>
  <c r="F240" i="110"/>
  <c r="N296" i="110"/>
  <c r="O295" i="110"/>
  <c r="E308" i="110"/>
  <c r="M308" i="110" s="1"/>
  <c r="V263" i="114"/>
  <c r="W263" i="114" s="1"/>
  <c r="I266" i="114"/>
  <c r="J265" i="114"/>
  <c r="Y265" i="114" s="1"/>
  <c r="K265" i="114"/>
  <c r="L264" i="114"/>
  <c r="M264" i="114" s="1"/>
  <c r="U264" i="114" s="1"/>
  <c r="X264" i="114" s="1"/>
  <c r="P264" i="114"/>
  <c r="G267" i="114"/>
  <c r="F268" i="114"/>
  <c r="K144" i="112"/>
  <c r="I145" i="112" s="1"/>
  <c r="C147" i="113" s="1"/>
  <c r="H147" i="113" s="1"/>
  <c r="B147" i="113" s="1"/>
  <c r="Q144" i="113"/>
  <c r="P145" i="113"/>
  <c r="F171" i="113"/>
  <c r="G171" i="113" s="1"/>
  <c r="M145" i="113"/>
  <c r="L146" i="113"/>
  <c r="D262" i="93" l="1"/>
  <c r="E261" i="93"/>
  <c r="S242" i="88"/>
  <c r="N271" i="88"/>
  <c r="O270" i="88"/>
  <c r="J242" i="88"/>
  <c r="E308" i="88"/>
  <c r="M308" i="88" s="1"/>
  <c r="K241" i="88"/>
  <c r="P241" i="88" s="1"/>
  <c r="F243" i="88"/>
  <c r="H243" i="88"/>
  <c r="I243" i="88" s="1"/>
  <c r="L242" i="88"/>
  <c r="G242" i="88"/>
  <c r="F241" i="110"/>
  <c r="L240" i="110"/>
  <c r="G240" i="110"/>
  <c r="K240" i="110" s="1"/>
  <c r="P240" i="110" s="1"/>
  <c r="H241" i="110"/>
  <c r="I241" i="110" s="1"/>
  <c r="J241" i="110" s="1"/>
  <c r="E309" i="110"/>
  <c r="M309" i="110" s="1"/>
  <c r="N297" i="110"/>
  <c r="O296" i="110"/>
  <c r="V264" i="114"/>
  <c r="W264" i="114" s="1"/>
  <c r="J266" i="114"/>
  <c r="Y266" i="114" s="1"/>
  <c r="K266" i="114"/>
  <c r="I267" i="114"/>
  <c r="P265" i="114"/>
  <c r="L265" i="114"/>
  <c r="M265" i="114" s="1"/>
  <c r="U265" i="114" s="1"/>
  <c r="X265" i="114" s="1"/>
  <c r="F269" i="114"/>
  <c r="G268" i="114"/>
  <c r="F172" i="113"/>
  <c r="G172" i="113" s="1"/>
  <c r="M146" i="113"/>
  <c r="Q145" i="113"/>
  <c r="J145" i="112"/>
  <c r="I147" i="113"/>
  <c r="J147" i="113" s="1"/>
  <c r="O146" i="113"/>
  <c r="D263" i="93" l="1"/>
  <c r="E262" i="93"/>
  <c r="K242" i="88"/>
  <c r="P242" i="88" s="1"/>
  <c r="J243" i="88"/>
  <c r="S243" i="88"/>
  <c r="H244" i="88"/>
  <c r="I244" i="88" s="1"/>
  <c r="F244" i="88"/>
  <c r="L243" i="88"/>
  <c r="G243" i="88"/>
  <c r="N272" i="88"/>
  <c r="O271" i="88"/>
  <c r="E309" i="88"/>
  <c r="M309" i="88" s="1"/>
  <c r="F242" i="110"/>
  <c r="L241" i="110"/>
  <c r="G241" i="110"/>
  <c r="K241" i="110" s="1"/>
  <c r="P241" i="110" s="1"/>
  <c r="H242" i="110"/>
  <c r="I242" i="110" s="1"/>
  <c r="J242" i="110" s="1"/>
  <c r="N298" i="110"/>
  <c r="O297" i="110"/>
  <c r="E310" i="110"/>
  <c r="M310" i="110" s="1"/>
  <c r="V265" i="114"/>
  <c r="W265" i="114" s="1"/>
  <c r="K267" i="114"/>
  <c r="I268" i="114"/>
  <c r="J267" i="114"/>
  <c r="Y267" i="114" s="1"/>
  <c r="P266" i="114"/>
  <c r="L266" i="114"/>
  <c r="M266" i="114" s="1"/>
  <c r="U266" i="114" s="1"/>
  <c r="X266" i="114" s="1"/>
  <c r="G269" i="114"/>
  <c r="F270" i="114"/>
  <c r="S244" i="88"/>
  <c r="F173" i="113"/>
  <c r="G173" i="113" s="1"/>
  <c r="L147" i="113"/>
  <c r="M147" i="113" s="1"/>
  <c r="P146" i="113"/>
  <c r="K145" i="112"/>
  <c r="I146" i="112" s="1"/>
  <c r="C148" i="113" s="1"/>
  <c r="H148" i="113" s="1"/>
  <c r="B148" i="113" s="1"/>
  <c r="D264" i="93" l="1"/>
  <c r="E263" i="93"/>
  <c r="N273" i="88"/>
  <c r="O272" i="88"/>
  <c r="F245" i="88"/>
  <c r="H245" i="88"/>
  <c r="I245" i="88" s="1"/>
  <c r="L244" i="88"/>
  <c r="G244" i="88"/>
  <c r="E310" i="88"/>
  <c r="M310" i="88" s="1"/>
  <c r="K243" i="88"/>
  <c r="P243" i="88" s="1"/>
  <c r="J244" i="88"/>
  <c r="F243" i="110"/>
  <c r="L242" i="110"/>
  <c r="H243" i="110"/>
  <c r="I243" i="110" s="1"/>
  <c r="J243" i="110" s="1"/>
  <c r="G242" i="110"/>
  <c r="K242" i="110" s="1"/>
  <c r="P242" i="110" s="1"/>
  <c r="E311" i="110"/>
  <c r="M311" i="110" s="1"/>
  <c r="N299" i="110"/>
  <c r="O298" i="110"/>
  <c r="V266" i="114"/>
  <c r="W266" i="114" s="1"/>
  <c r="P267" i="114"/>
  <c r="L267" i="114"/>
  <c r="M267" i="114" s="1"/>
  <c r="U267" i="114" s="1"/>
  <c r="X267" i="114" s="1"/>
  <c r="K268" i="114"/>
  <c r="I269" i="114"/>
  <c r="J268" i="114"/>
  <c r="Y268" i="114" s="1"/>
  <c r="F271" i="114"/>
  <c r="G270" i="114"/>
  <c r="J146" i="112"/>
  <c r="K146" i="112" s="1"/>
  <c r="I147" i="112" s="1"/>
  <c r="C149" i="113" s="1"/>
  <c r="H149" i="113" s="1"/>
  <c r="B149" i="113" s="1"/>
  <c r="F174" i="113"/>
  <c r="Q146" i="113"/>
  <c r="O147" i="113"/>
  <c r="I148" i="113"/>
  <c r="D265" i="93" l="1"/>
  <c r="E264" i="93"/>
  <c r="S245" i="88"/>
  <c r="J245" i="88"/>
  <c r="E311" i="88"/>
  <c r="M311" i="88" s="1"/>
  <c r="N274" i="88"/>
  <c r="O273" i="88"/>
  <c r="K244" i="88"/>
  <c r="P244" i="88" s="1"/>
  <c r="F246" i="88"/>
  <c r="H246" i="88"/>
  <c r="I246" i="88" s="1"/>
  <c r="L245" i="88"/>
  <c r="G245" i="88"/>
  <c r="K245" i="88" s="1"/>
  <c r="P245" i="88" s="1"/>
  <c r="G243" i="110"/>
  <c r="K243" i="110" s="1"/>
  <c r="P243" i="110" s="1"/>
  <c r="H244" i="110"/>
  <c r="I244" i="110" s="1"/>
  <c r="J244" i="110" s="1"/>
  <c r="F244" i="110"/>
  <c r="L243" i="110"/>
  <c r="V267" i="114"/>
  <c r="W267" i="114" s="1"/>
  <c r="N300" i="110"/>
  <c r="O299" i="110"/>
  <c r="E312" i="110"/>
  <c r="M312" i="110" s="1"/>
  <c r="J269" i="114"/>
  <c r="Y269" i="114" s="1"/>
  <c r="I270" i="114"/>
  <c r="K269" i="114"/>
  <c r="P268" i="114"/>
  <c r="L268" i="114"/>
  <c r="M268" i="114" s="1"/>
  <c r="U268" i="114" s="1"/>
  <c r="X268" i="114" s="1"/>
  <c r="F272" i="114"/>
  <c r="G271" i="114"/>
  <c r="L148" i="113"/>
  <c r="O148" i="113" s="1"/>
  <c r="P147" i="113"/>
  <c r="J147" i="112"/>
  <c r="J148" i="113"/>
  <c r="G174" i="113"/>
  <c r="D266" i="93" l="1"/>
  <c r="E265" i="93"/>
  <c r="J246" i="88"/>
  <c r="N275" i="88"/>
  <c r="O274" i="88"/>
  <c r="E312" i="88"/>
  <c r="M312" i="88" s="1"/>
  <c r="S246" i="88"/>
  <c r="F247" i="88"/>
  <c r="L246" i="88"/>
  <c r="H247" i="88"/>
  <c r="I247" i="88" s="1"/>
  <c r="G246" i="88"/>
  <c r="H245" i="110"/>
  <c r="I245" i="110" s="1"/>
  <c r="J245" i="110" s="1"/>
  <c r="F245" i="110"/>
  <c r="L244" i="110"/>
  <c r="G244" i="110"/>
  <c r="K244" i="110" s="1"/>
  <c r="P244" i="110" s="1"/>
  <c r="V268" i="114"/>
  <c r="W268" i="114" s="1"/>
  <c r="E313" i="110"/>
  <c r="M313" i="110" s="1"/>
  <c r="N301" i="110"/>
  <c r="O300" i="110"/>
  <c r="P269" i="114"/>
  <c r="L269" i="114"/>
  <c r="M269" i="114" s="1"/>
  <c r="U269" i="114" s="1"/>
  <c r="X269" i="114" s="1"/>
  <c r="J270" i="114"/>
  <c r="Y270" i="114" s="1"/>
  <c r="I271" i="114"/>
  <c r="K270" i="114"/>
  <c r="F273" i="114"/>
  <c r="G272" i="114"/>
  <c r="F175" i="113"/>
  <c r="G175" i="113" s="1"/>
  <c r="I149" i="113"/>
  <c r="J149" i="113" s="1"/>
  <c r="Q147" i="113"/>
  <c r="P148" i="113"/>
  <c r="K147" i="112"/>
  <c r="I148" i="112" s="1"/>
  <c r="C150" i="113" s="1"/>
  <c r="H150" i="113" s="1"/>
  <c r="B150" i="113" s="1"/>
  <c r="M148" i="113"/>
  <c r="D267" i="93" l="1"/>
  <c r="E266" i="93"/>
  <c r="S247" i="88"/>
  <c r="E313" i="88"/>
  <c r="M313" i="88" s="1"/>
  <c r="K246" i="88"/>
  <c r="P246" i="88" s="1"/>
  <c r="F248" i="88"/>
  <c r="L247" i="88"/>
  <c r="H248" i="88"/>
  <c r="I248" i="88" s="1"/>
  <c r="G247" i="88"/>
  <c r="J247" i="88"/>
  <c r="N276" i="88"/>
  <c r="O275" i="88"/>
  <c r="L245" i="110"/>
  <c r="F246" i="110"/>
  <c r="G245" i="110"/>
  <c r="K245" i="110" s="1"/>
  <c r="P245" i="110" s="1"/>
  <c r="H246" i="110"/>
  <c r="I246" i="110" s="1"/>
  <c r="J246" i="110" s="1"/>
  <c r="V269" i="114"/>
  <c r="W269" i="114" s="1"/>
  <c r="N302" i="110"/>
  <c r="O301" i="110"/>
  <c r="E314" i="110"/>
  <c r="M314" i="110" s="1"/>
  <c r="J271" i="114"/>
  <c r="Y271" i="114" s="1"/>
  <c r="K271" i="114"/>
  <c r="I272" i="114"/>
  <c r="L270" i="114"/>
  <c r="M270" i="114" s="1"/>
  <c r="U270" i="114" s="1"/>
  <c r="X270" i="114" s="1"/>
  <c r="P270" i="114"/>
  <c r="F274" i="114"/>
  <c r="G273" i="114"/>
  <c r="S248" i="88"/>
  <c r="J148" i="112"/>
  <c r="K148" i="112" s="1"/>
  <c r="I149" i="112" s="1"/>
  <c r="C151" i="113" s="1"/>
  <c r="H151" i="113" s="1"/>
  <c r="B151" i="113" s="1"/>
  <c r="F176" i="113"/>
  <c r="L149" i="113"/>
  <c r="M149" i="113" s="1"/>
  <c r="Q148" i="113"/>
  <c r="I150" i="113"/>
  <c r="D268" i="93" l="1"/>
  <c r="E268" i="93" s="1"/>
  <c r="E267" i="93"/>
  <c r="K247" i="88"/>
  <c r="P247" i="88" s="1"/>
  <c r="H249" i="88"/>
  <c r="I249" i="88" s="1"/>
  <c r="L248" i="88"/>
  <c r="F249" i="88"/>
  <c r="G248" i="88"/>
  <c r="J248" i="88"/>
  <c r="N277" i="88"/>
  <c r="O276" i="88"/>
  <c r="E314" i="88"/>
  <c r="M314" i="88" s="1"/>
  <c r="F247" i="110"/>
  <c r="G246" i="110"/>
  <c r="K246" i="110" s="1"/>
  <c r="P246" i="110" s="1"/>
  <c r="L246" i="110"/>
  <c r="H247" i="110"/>
  <c r="I247" i="110" s="1"/>
  <c r="J247" i="110" s="1"/>
  <c r="E315" i="110"/>
  <c r="M315" i="110" s="1"/>
  <c r="N303" i="110"/>
  <c r="O302" i="110"/>
  <c r="I273" i="114"/>
  <c r="J272" i="114"/>
  <c r="Y272" i="114" s="1"/>
  <c r="K272" i="114"/>
  <c r="L271" i="114"/>
  <c r="M271" i="114" s="1"/>
  <c r="U271" i="114" s="1"/>
  <c r="X271" i="114" s="1"/>
  <c r="P271" i="114"/>
  <c r="V270" i="114"/>
  <c r="W270" i="114" s="1"/>
  <c r="F275" i="114"/>
  <c r="G274" i="114"/>
  <c r="S249" i="88"/>
  <c r="L150" i="113"/>
  <c r="J150" i="113"/>
  <c r="J149" i="112"/>
  <c r="O149" i="113"/>
  <c r="P149" i="113" s="1"/>
  <c r="G176" i="113"/>
  <c r="K248" i="88" l="1"/>
  <c r="P248" i="88" s="1"/>
  <c r="J249" i="88"/>
  <c r="E315" i="88"/>
  <c r="M315" i="88" s="1"/>
  <c r="L249" i="88"/>
  <c r="F250" i="88"/>
  <c r="H250" i="88"/>
  <c r="I250" i="88" s="1"/>
  <c r="G249" i="88"/>
  <c r="K249" i="88" s="1"/>
  <c r="P249" i="88" s="1"/>
  <c r="N278" i="88"/>
  <c r="O277" i="88"/>
  <c r="F248" i="110"/>
  <c r="H248" i="110"/>
  <c r="I248" i="110" s="1"/>
  <c r="J248" i="110" s="1"/>
  <c r="L247" i="110"/>
  <c r="G247" i="110"/>
  <c r="K247" i="110" s="1"/>
  <c r="P247" i="110" s="1"/>
  <c r="N304" i="110"/>
  <c r="O303" i="110"/>
  <c r="E316" i="110"/>
  <c r="M316" i="110" s="1"/>
  <c r="V271" i="114"/>
  <c r="W271" i="114" s="1"/>
  <c r="L272" i="114"/>
  <c r="M272" i="114" s="1"/>
  <c r="U272" i="114" s="1"/>
  <c r="X272" i="114" s="1"/>
  <c r="P272" i="114"/>
  <c r="J273" i="114"/>
  <c r="Y273" i="114" s="1"/>
  <c r="K273" i="114"/>
  <c r="I274" i="114"/>
  <c r="F276" i="114"/>
  <c r="G275" i="114"/>
  <c r="K149" i="112"/>
  <c r="I150" i="112" s="1"/>
  <c r="C152" i="113" s="1"/>
  <c r="H152" i="113" s="1"/>
  <c r="B152" i="113" s="1"/>
  <c r="F177" i="113"/>
  <c r="G177" i="113" s="1"/>
  <c r="Q149" i="113"/>
  <c r="I151" i="113"/>
  <c r="J151" i="113" s="1"/>
  <c r="O150" i="113"/>
  <c r="M150" i="113"/>
  <c r="S250" i="88" l="1"/>
  <c r="H251" i="88"/>
  <c r="I251" i="88" s="1"/>
  <c r="F251" i="88"/>
  <c r="L250" i="88"/>
  <c r="G250" i="88"/>
  <c r="E316" i="88"/>
  <c r="M316" i="88" s="1"/>
  <c r="N279" i="88"/>
  <c r="O278" i="88"/>
  <c r="J250" i="88"/>
  <c r="H249" i="110"/>
  <c r="I249" i="110" s="1"/>
  <c r="J249" i="110" s="1"/>
  <c r="F249" i="110"/>
  <c r="L248" i="110"/>
  <c r="G248" i="110"/>
  <c r="K248" i="110" s="1"/>
  <c r="P248" i="110" s="1"/>
  <c r="V272" i="114"/>
  <c r="W272" i="114" s="1"/>
  <c r="E317" i="110"/>
  <c r="M317" i="110" s="1"/>
  <c r="N305" i="110"/>
  <c r="O304" i="110"/>
  <c r="P273" i="114"/>
  <c r="L273" i="114"/>
  <c r="M273" i="114" s="1"/>
  <c r="U273" i="114" s="1"/>
  <c r="X273" i="114" s="1"/>
  <c r="I275" i="114"/>
  <c r="J274" i="114"/>
  <c r="Y274" i="114" s="1"/>
  <c r="K274" i="114"/>
  <c r="F277" i="114"/>
  <c r="G276" i="114"/>
  <c r="S251" i="88"/>
  <c r="J150" i="112"/>
  <c r="K150" i="112" s="1"/>
  <c r="I151" i="112" s="1"/>
  <c r="C153" i="113" s="1"/>
  <c r="H153" i="113" s="1"/>
  <c r="B153" i="113" s="1"/>
  <c r="F178" i="113"/>
  <c r="I152" i="113"/>
  <c r="L151" i="113"/>
  <c r="P150" i="113"/>
  <c r="E317" i="88" l="1"/>
  <c r="M317" i="88" s="1"/>
  <c r="H252" i="88"/>
  <c r="I252" i="88" s="1"/>
  <c r="F252" i="88"/>
  <c r="L251" i="88"/>
  <c r="G251" i="88"/>
  <c r="N280" i="88"/>
  <c r="O279" i="88"/>
  <c r="K250" i="88"/>
  <c r="P250" i="88" s="1"/>
  <c r="J251" i="88"/>
  <c r="L249" i="110"/>
  <c r="G249" i="110"/>
  <c r="K249" i="110" s="1"/>
  <c r="P249" i="110" s="1"/>
  <c r="H250" i="110"/>
  <c r="I250" i="110" s="1"/>
  <c r="J250" i="110" s="1"/>
  <c r="F250" i="110"/>
  <c r="V273" i="114"/>
  <c r="W273" i="114" s="1"/>
  <c r="N306" i="110"/>
  <c r="O305" i="110"/>
  <c r="E318" i="110"/>
  <c r="J275" i="114"/>
  <c r="Y275" i="114" s="1"/>
  <c r="K275" i="114"/>
  <c r="I276" i="114"/>
  <c r="P274" i="114"/>
  <c r="L274" i="114"/>
  <c r="M274" i="114" s="1"/>
  <c r="U274" i="114" s="1"/>
  <c r="X274" i="114" s="1"/>
  <c r="F278" i="114"/>
  <c r="G277" i="114"/>
  <c r="S252" i="88"/>
  <c r="J151" i="112"/>
  <c r="K151" i="112" s="1"/>
  <c r="I152" i="112" s="1"/>
  <c r="C154" i="113" s="1"/>
  <c r="H154" i="113" s="1"/>
  <c r="B154" i="113" s="1"/>
  <c r="L152" i="113"/>
  <c r="O152" i="113" s="1"/>
  <c r="Q150" i="113"/>
  <c r="O151" i="113"/>
  <c r="J152" i="113"/>
  <c r="M151" i="113"/>
  <c r="G178" i="113"/>
  <c r="K251" i="88" l="1"/>
  <c r="P251" i="88" s="1"/>
  <c r="J252" i="88"/>
  <c r="E318" i="88"/>
  <c r="M318" i="88" s="1"/>
  <c r="N281" i="88"/>
  <c r="O280" i="88"/>
  <c r="H253" i="88"/>
  <c r="S253" i="88" s="1"/>
  <c r="F253" i="88"/>
  <c r="L252" i="88"/>
  <c r="G252" i="88"/>
  <c r="E319" i="110"/>
  <c r="M318" i="110"/>
  <c r="H251" i="110"/>
  <c r="I251" i="110" s="1"/>
  <c r="J251" i="110" s="1"/>
  <c r="F251" i="110"/>
  <c r="L250" i="110"/>
  <c r="G250" i="110"/>
  <c r="K250" i="110" s="1"/>
  <c r="P250" i="110" s="1"/>
  <c r="V274" i="114"/>
  <c r="W274" i="114" s="1"/>
  <c r="N307" i="110"/>
  <c r="O306" i="110"/>
  <c r="J276" i="114"/>
  <c r="Y276" i="114" s="1"/>
  <c r="K276" i="114"/>
  <c r="I277" i="114"/>
  <c r="P275" i="114"/>
  <c r="L275" i="114"/>
  <c r="M275" i="114" s="1"/>
  <c r="U275" i="114" s="1"/>
  <c r="X275" i="114" s="1"/>
  <c r="G278" i="114"/>
  <c r="F279" i="114"/>
  <c r="M152" i="113"/>
  <c r="F179" i="113"/>
  <c r="I153" i="113"/>
  <c r="J153" i="113" s="1"/>
  <c r="P151" i="113"/>
  <c r="J152" i="112"/>
  <c r="I253" i="88" l="1"/>
  <c r="J253" i="88" s="1"/>
  <c r="L253" i="88"/>
  <c r="H254" i="88"/>
  <c r="F254" i="88"/>
  <c r="G253" i="88"/>
  <c r="N282" i="88"/>
  <c r="O281" i="88"/>
  <c r="K252" i="88"/>
  <c r="P252" i="88" s="1"/>
  <c r="E319" i="88"/>
  <c r="E320" i="110"/>
  <c r="M319" i="110"/>
  <c r="G251" i="110"/>
  <c r="K251" i="110" s="1"/>
  <c r="P251" i="110" s="1"/>
  <c r="L251" i="110"/>
  <c r="H252" i="110"/>
  <c r="I252" i="110" s="1"/>
  <c r="J252" i="110" s="1"/>
  <c r="F252" i="110"/>
  <c r="V275" i="114"/>
  <c r="W275" i="114" s="1"/>
  <c r="N308" i="110"/>
  <c r="O307" i="110"/>
  <c r="K277" i="114"/>
  <c r="I278" i="114"/>
  <c r="J277" i="114"/>
  <c r="Y277" i="114" s="1"/>
  <c r="P276" i="114"/>
  <c r="L276" i="114"/>
  <c r="M276" i="114" s="1"/>
  <c r="U276" i="114" s="1"/>
  <c r="X276" i="114" s="1"/>
  <c r="F280" i="114"/>
  <c r="G279" i="114"/>
  <c r="S254" i="88"/>
  <c r="Q151" i="113"/>
  <c r="P152" i="113"/>
  <c r="I154" i="113"/>
  <c r="J154" i="113" s="1"/>
  <c r="K152" i="112"/>
  <c r="I153" i="112" s="1"/>
  <c r="C155" i="113" s="1"/>
  <c r="H155" i="113" s="1"/>
  <c r="B155" i="113" s="1"/>
  <c r="L153" i="113"/>
  <c r="O153" i="113" s="1"/>
  <c r="G179" i="113"/>
  <c r="I254" i="88" l="1"/>
  <c r="E320" i="88"/>
  <c r="M319" i="88"/>
  <c r="K253" i="88"/>
  <c r="P253" i="88" s="1"/>
  <c r="N283" i="88"/>
  <c r="O282" i="88"/>
  <c r="H255" i="88"/>
  <c r="I255" i="88" s="1"/>
  <c r="F255" i="88"/>
  <c r="L254" i="88"/>
  <c r="G254" i="88"/>
  <c r="J254" i="88"/>
  <c r="E321" i="110"/>
  <c r="M320" i="110"/>
  <c r="H253" i="110"/>
  <c r="I253" i="110" s="1"/>
  <c r="J253" i="110" s="1"/>
  <c r="L252" i="110"/>
  <c r="G252" i="110"/>
  <c r="K252" i="110" s="1"/>
  <c r="P252" i="110" s="1"/>
  <c r="F253" i="110"/>
  <c r="V276" i="114"/>
  <c r="W276" i="114" s="1"/>
  <c r="N309" i="110"/>
  <c r="O308" i="110"/>
  <c r="K278" i="114"/>
  <c r="I279" i="114"/>
  <c r="J278" i="114"/>
  <c r="Y278" i="114" s="1"/>
  <c r="L277" i="114"/>
  <c r="M277" i="114" s="1"/>
  <c r="U277" i="114" s="1"/>
  <c r="X277" i="114" s="1"/>
  <c r="P277" i="114"/>
  <c r="F281" i="114"/>
  <c r="G280" i="114"/>
  <c r="S255" i="88"/>
  <c r="I155" i="113"/>
  <c r="F180" i="113"/>
  <c r="G180" i="113" s="1"/>
  <c r="J153" i="112"/>
  <c r="M153" i="113"/>
  <c r="L154" i="113"/>
  <c r="O154" i="113" s="1"/>
  <c r="Q152" i="113"/>
  <c r="P153" i="113"/>
  <c r="E321" i="88" l="1"/>
  <c r="M320" i="88"/>
  <c r="K254" i="88"/>
  <c r="P254" i="88" s="1"/>
  <c r="J255" i="88"/>
  <c r="N284" i="88"/>
  <c r="O283" i="88"/>
  <c r="H256" i="88"/>
  <c r="I256" i="88" s="1"/>
  <c r="F256" i="88"/>
  <c r="L255" i="88"/>
  <c r="G255" i="88"/>
  <c r="E322" i="110"/>
  <c r="M321" i="110"/>
  <c r="F254" i="110"/>
  <c r="L253" i="110"/>
  <c r="H254" i="110"/>
  <c r="I254" i="110" s="1"/>
  <c r="J254" i="110" s="1"/>
  <c r="G253" i="110"/>
  <c r="K253" i="110" s="1"/>
  <c r="P253" i="110" s="1"/>
  <c r="N310" i="110"/>
  <c r="O309" i="110"/>
  <c r="V277" i="114"/>
  <c r="W277" i="114" s="1"/>
  <c r="J279" i="114"/>
  <c r="Y279" i="114" s="1"/>
  <c r="K279" i="114"/>
  <c r="I280" i="114"/>
  <c r="P278" i="114"/>
  <c r="L278" i="114"/>
  <c r="M278" i="114" s="1"/>
  <c r="U278" i="114" s="1"/>
  <c r="X278" i="114" s="1"/>
  <c r="F282" i="114"/>
  <c r="G281" i="114"/>
  <c r="F181" i="113"/>
  <c r="G181" i="113" s="1"/>
  <c r="Q153" i="113"/>
  <c r="P154" i="113"/>
  <c r="K153" i="112"/>
  <c r="I154" i="112" s="1"/>
  <c r="C156" i="113" s="1"/>
  <c r="H156" i="113" s="1"/>
  <c r="B156" i="113" s="1"/>
  <c r="L155" i="113"/>
  <c r="O155" i="113" s="1"/>
  <c r="M154" i="113"/>
  <c r="J155" i="113"/>
  <c r="S256" i="88" l="1"/>
  <c r="K255" i="88"/>
  <c r="P255" i="88" s="1"/>
  <c r="E322" i="88"/>
  <c r="M321" i="88"/>
  <c r="L256" i="88"/>
  <c r="H257" i="88"/>
  <c r="I257" i="88" s="1"/>
  <c r="F257" i="88"/>
  <c r="G256" i="88"/>
  <c r="J256" i="88"/>
  <c r="N285" i="88"/>
  <c r="O284" i="88"/>
  <c r="E323" i="110"/>
  <c r="M322" i="110"/>
  <c r="G254" i="110"/>
  <c r="K254" i="110" s="1"/>
  <c r="P254" i="110" s="1"/>
  <c r="L254" i="110"/>
  <c r="H255" i="110"/>
  <c r="I255" i="110" s="1"/>
  <c r="J255" i="110" s="1"/>
  <c r="F255" i="110"/>
  <c r="V278" i="114"/>
  <c r="W278" i="114" s="1"/>
  <c r="N311" i="110"/>
  <c r="O310" i="110"/>
  <c r="I281" i="114"/>
  <c r="J280" i="114"/>
  <c r="Y280" i="114" s="1"/>
  <c r="K280" i="114"/>
  <c r="P279" i="114"/>
  <c r="L279" i="114"/>
  <c r="M279" i="114" s="1"/>
  <c r="U279" i="114" s="1"/>
  <c r="X279" i="114" s="1"/>
  <c r="F283" i="114"/>
  <c r="G282" i="114"/>
  <c r="S257" i="88"/>
  <c r="M155" i="113"/>
  <c r="F182" i="113"/>
  <c r="I156" i="113"/>
  <c r="J154" i="112"/>
  <c r="Q154" i="113"/>
  <c r="P155" i="113"/>
  <c r="E323" i="88" l="1"/>
  <c r="M322" i="88"/>
  <c r="F258" i="88"/>
  <c r="L257" i="88"/>
  <c r="H258" i="88"/>
  <c r="I258" i="88" s="1"/>
  <c r="G257" i="88"/>
  <c r="K257" i="88" s="1"/>
  <c r="P257" i="88" s="1"/>
  <c r="N286" i="88"/>
  <c r="O285" i="88"/>
  <c r="J257" i="88"/>
  <c r="K256" i="88"/>
  <c r="P256" i="88" s="1"/>
  <c r="E324" i="110"/>
  <c r="M323" i="110"/>
  <c r="F256" i="110"/>
  <c r="L255" i="110"/>
  <c r="H256" i="110"/>
  <c r="I256" i="110" s="1"/>
  <c r="J256" i="110" s="1"/>
  <c r="G255" i="110"/>
  <c r="K255" i="110" s="1"/>
  <c r="P255" i="110" s="1"/>
  <c r="V279" i="114"/>
  <c r="W279" i="114" s="1"/>
  <c r="N312" i="110"/>
  <c r="O311" i="110"/>
  <c r="L280" i="114"/>
  <c r="M280" i="114" s="1"/>
  <c r="U280" i="114" s="1"/>
  <c r="X280" i="114" s="1"/>
  <c r="P280" i="114"/>
  <c r="I282" i="114"/>
  <c r="J281" i="114"/>
  <c r="Y281" i="114" s="1"/>
  <c r="K281" i="114"/>
  <c r="G283" i="114"/>
  <c r="F284" i="114"/>
  <c r="Q155" i="113"/>
  <c r="L156" i="113"/>
  <c r="K154" i="112"/>
  <c r="I155" i="112" s="1"/>
  <c r="C157" i="113" s="1"/>
  <c r="H157" i="113" s="1"/>
  <c r="B157" i="113" s="1"/>
  <c r="J156" i="113"/>
  <c r="G182" i="113"/>
  <c r="E324" i="88" l="1"/>
  <c r="M323" i="88"/>
  <c r="L258" i="88"/>
  <c r="H259" i="88"/>
  <c r="I259" i="88" s="1"/>
  <c r="F259" i="88"/>
  <c r="G258" i="88"/>
  <c r="N287" i="88"/>
  <c r="O286" i="88"/>
  <c r="J258" i="88"/>
  <c r="S258" i="88"/>
  <c r="E325" i="110"/>
  <c r="M324" i="110"/>
  <c r="L256" i="110"/>
  <c r="G256" i="110"/>
  <c r="K256" i="110" s="1"/>
  <c r="P256" i="110" s="1"/>
  <c r="H257" i="110"/>
  <c r="I257" i="110" s="1"/>
  <c r="J257" i="110" s="1"/>
  <c r="F257" i="110"/>
  <c r="V280" i="114"/>
  <c r="W280" i="114" s="1"/>
  <c r="N313" i="110"/>
  <c r="O312" i="110"/>
  <c r="I283" i="114"/>
  <c r="J282" i="114"/>
  <c r="Y282" i="114" s="1"/>
  <c r="K282" i="114"/>
  <c r="P281" i="114"/>
  <c r="L281" i="114"/>
  <c r="M281" i="114" s="1"/>
  <c r="U281" i="114" s="1"/>
  <c r="X281" i="114" s="1"/>
  <c r="F285" i="114"/>
  <c r="G284" i="114"/>
  <c r="F183" i="113"/>
  <c r="G183" i="113" s="1"/>
  <c r="M156" i="113"/>
  <c r="I157" i="113"/>
  <c r="J157" i="113" s="1"/>
  <c r="J155" i="112"/>
  <c r="O156" i="113"/>
  <c r="P156" i="113" s="1"/>
  <c r="E325" i="88" l="1"/>
  <c r="M324" i="88"/>
  <c r="N288" i="88"/>
  <c r="O287" i="88"/>
  <c r="J259" i="88"/>
  <c r="F260" i="88"/>
  <c r="L259" i="88"/>
  <c r="H260" i="88"/>
  <c r="I260" i="88" s="1"/>
  <c r="G259" i="88"/>
  <c r="S259" i="88"/>
  <c r="K258" i="88"/>
  <c r="P258" i="88" s="1"/>
  <c r="E326" i="110"/>
  <c r="M325" i="110"/>
  <c r="L257" i="110"/>
  <c r="G257" i="110"/>
  <c r="K257" i="110" s="1"/>
  <c r="P257" i="110" s="1"/>
  <c r="H258" i="110"/>
  <c r="I258" i="110" s="1"/>
  <c r="J258" i="110" s="1"/>
  <c r="F258" i="110"/>
  <c r="V281" i="114"/>
  <c r="W281" i="114" s="1"/>
  <c r="N314" i="110"/>
  <c r="O313" i="110"/>
  <c r="P282" i="114"/>
  <c r="L282" i="114"/>
  <c r="M282" i="114" s="1"/>
  <c r="U282" i="114" s="1"/>
  <c r="X282" i="114" s="1"/>
  <c r="K283" i="114"/>
  <c r="I284" i="114"/>
  <c r="J283" i="114"/>
  <c r="Y283" i="114" s="1"/>
  <c r="G285" i="114"/>
  <c r="F286" i="114"/>
  <c r="F184" i="113"/>
  <c r="K155" i="112"/>
  <c r="I156" i="112" s="1"/>
  <c r="C158" i="113" s="1"/>
  <c r="H158" i="113" s="1"/>
  <c r="B158" i="113" s="1"/>
  <c r="L157" i="113"/>
  <c r="O157" i="113" s="1"/>
  <c r="P157" i="113" s="1"/>
  <c r="Q156" i="113"/>
  <c r="S260" i="88" l="1"/>
  <c r="K259" i="88"/>
  <c r="P259" i="88" s="1"/>
  <c r="E326" i="88"/>
  <c r="M325" i="88"/>
  <c r="L260" i="88"/>
  <c r="H261" i="88"/>
  <c r="I261" i="88" s="1"/>
  <c r="F261" i="88"/>
  <c r="G260" i="88"/>
  <c r="N289" i="88"/>
  <c r="O288" i="88"/>
  <c r="J260" i="88"/>
  <c r="E327" i="110"/>
  <c r="M326" i="110"/>
  <c r="H259" i="110"/>
  <c r="I259" i="110" s="1"/>
  <c r="J259" i="110" s="1"/>
  <c r="L258" i="110"/>
  <c r="G258" i="110"/>
  <c r="K258" i="110" s="1"/>
  <c r="P258" i="110" s="1"/>
  <c r="F259" i="110"/>
  <c r="V282" i="114"/>
  <c r="W282" i="114" s="1"/>
  <c r="N315" i="110"/>
  <c r="O314" i="110"/>
  <c r="J284" i="114"/>
  <c r="Y284" i="114" s="1"/>
  <c r="K284" i="114"/>
  <c r="I285" i="114"/>
  <c r="P283" i="114"/>
  <c r="L283" i="114"/>
  <c r="M283" i="114" s="1"/>
  <c r="U283" i="114" s="1"/>
  <c r="X283" i="114" s="1"/>
  <c r="I158" i="113"/>
  <c r="J158" i="113" s="1"/>
  <c r="F287" i="114"/>
  <c r="G286" i="114"/>
  <c r="M157" i="113"/>
  <c r="Q157" i="113"/>
  <c r="J156" i="112"/>
  <c r="G184" i="113"/>
  <c r="E327" i="88" l="1"/>
  <c r="M326" i="88"/>
  <c r="S261" i="88"/>
  <c r="N290" i="88"/>
  <c r="O289" i="88"/>
  <c r="F262" i="88"/>
  <c r="L261" i="88"/>
  <c r="H262" i="88"/>
  <c r="I262" i="88" s="1"/>
  <c r="G261" i="88"/>
  <c r="J261" i="88"/>
  <c r="K260" i="88"/>
  <c r="P260" i="88" s="1"/>
  <c r="E328" i="110"/>
  <c r="E329" i="110" s="1"/>
  <c r="E330" i="110" s="1"/>
  <c r="E331" i="110" s="1"/>
  <c r="M327" i="110"/>
  <c r="H260" i="110"/>
  <c r="I260" i="110" s="1"/>
  <c r="J260" i="110" s="1"/>
  <c r="G259" i="110"/>
  <c r="K259" i="110" s="1"/>
  <c r="P259" i="110" s="1"/>
  <c r="F260" i="110"/>
  <c r="L259" i="110"/>
  <c r="V283" i="114"/>
  <c r="W283" i="114" s="1"/>
  <c r="N316" i="110"/>
  <c r="O315" i="110"/>
  <c r="J285" i="114"/>
  <c r="Y285" i="114" s="1"/>
  <c r="K285" i="114"/>
  <c r="I286" i="114"/>
  <c r="L284" i="114"/>
  <c r="M284" i="114" s="1"/>
  <c r="U284" i="114" s="1"/>
  <c r="X284" i="114" s="1"/>
  <c r="P284" i="114"/>
  <c r="L158" i="113"/>
  <c r="M158" i="113" s="1"/>
  <c r="G287" i="114"/>
  <c r="F288" i="114"/>
  <c r="F185" i="113"/>
  <c r="G185" i="113" s="1"/>
  <c r="K156" i="112"/>
  <c r="I157" i="112" s="1"/>
  <c r="C159" i="113" s="1"/>
  <c r="H159" i="113" s="1"/>
  <c r="S262" i="88" l="1"/>
  <c r="E328" i="88"/>
  <c r="M327" i="88"/>
  <c r="K261" i="88"/>
  <c r="P261" i="88" s="1"/>
  <c r="L262" i="88"/>
  <c r="H263" i="88"/>
  <c r="I263" i="88" s="1"/>
  <c r="F263" i="88"/>
  <c r="G262" i="88"/>
  <c r="J262" i="88"/>
  <c r="N291" i="88"/>
  <c r="O290" i="88"/>
  <c r="F261" i="110"/>
  <c r="G260" i="110"/>
  <c r="K260" i="110" s="1"/>
  <c r="P260" i="110" s="1"/>
  <c r="H261" i="110"/>
  <c r="I261" i="110" s="1"/>
  <c r="J261" i="110" s="1"/>
  <c r="L260" i="110"/>
  <c r="N317" i="110"/>
  <c r="O316" i="110"/>
  <c r="V284" i="114"/>
  <c r="W284" i="114" s="1"/>
  <c r="I287" i="114"/>
  <c r="J286" i="114"/>
  <c r="Y286" i="114" s="1"/>
  <c r="K286" i="114"/>
  <c r="P285" i="114"/>
  <c r="L285" i="114"/>
  <c r="M285" i="114" s="1"/>
  <c r="U285" i="114" s="1"/>
  <c r="X285" i="114" s="1"/>
  <c r="O158" i="113"/>
  <c r="P158" i="113" s="1"/>
  <c r="Q158" i="113" s="1"/>
  <c r="F289" i="114"/>
  <c r="G288" i="114"/>
  <c r="S263" i="88"/>
  <c r="J157" i="112"/>
  <c r="K157" i="112" s="1"/>
  <c r="I158" i="112" s="1"/>
  <c r="C160" i="113" s="1"/>
  <c r="H160" i="113" s="1"/>
  <c r="B160" i="113" s="1"/>
  <c r="F186" i="113"/>
  <c r="B159" i="113"/>
  <c r="I159" i="113"/>
  <c r="J159" i="113" s="1"/>
  <c r="E329" i="88" l="1"/>
  <c r="M328" i="88"/>
  <c r="K262" i="88"/>
  <c r="P262" i="88" s="1"/>
  <c r="F264" i="88"/>
  <c r="L263" i="88"/>
  <c r="H264" i="88"/>
  <c r="I264" i="88" s="1"/>
  <c r="G263" i="88"/>
  <c r="J263" i="88"/>
  <c r="N292" i="88"/>
  <c r="O291" i="88"/>
  <c r="G261" i="110"/>
  <c r="K261" i="110" s="1"/>
  <c r="P261" i="110" s="1"/>
  <c r="L261" i="110"/>
  <c r="H262" i="110"/>
  <c r="I262" i="110" s="1"/>
  <c r="J262" i="110" s="1"/>
  <c r="F262" i="110"/>
  <c r="N318" i="110"/>
  <c r="O317" i="110"/>
  <c r="V285" i="114"/>
  <c r="W285" i="114" s="1"/>
  <c r="P286" i="114"/>
  <c r="L286" i="114"/>
  <c r="M286" i="114" s="1"/>
  <c r="U286" i="114" s="1"/>
  <c r="X286" i="114" s="1"/>
  <c r="K287" i="114"/>
  <c r="J287" i="114"/>
  <c r="Y287" i="114" s="1"/>
  <c r="I288" i="114"/>
  <c r="G289" i="114"/>
  <c r="F290" i="114"/>
  <c r="S264" i="88"/>
  <c r="I160" i="113"/>
  <c r="J160" i="113" s="1"/>
  <c r="L159" i="113"/>
  <c r="O159" i="113" s="1"/>
  <c r="P159" i="113" s="1"/>
  <c r="J158" i="112"/>
  <c r="G186" i="113"/>
  <c r="E330" i="88" l="1"/>
  <c r="M330" i="88" s="1"/>
  <c r="M329" i="88"/>
  <c r="K263" i="88"/>
  <c r="P263" i="88" s="1"/>
  <c r="J264" i="88"/>
  <c r="L264" i="88"/>
  <c r="H265" i="88"/>
  <c r="I265" i="88" s="1"/>
  <c r="F265" i="88"/>
  <c r="G264" i="88"/>
  <c r="N293" i="88"/>
  <c r="O292" i="88"/>
  <c r="F263" i="110"/>
  <c r="L262" i="110"/>
  <c r="G262" i="110"/>
  <c r="K262" i="110" s="1"/>
  <c r="P262" i="110" s="1"/>
  <c r="H263" i="110"/>
  <c r="I263" i="110" s="1"/>
  <c r="J263" i="110" s="1"/>
  <c r="V286" i="114"/>
  <c r="W286" i="114" s="1"/>
  <c r="N319" i="110"/>
  <c r="O318" i="110"/>
  <c r="I289" i="114"/>
  <c r="K288" i="114"/>
  <c r="J288" i="114"/>
  <c r="Y288" i="114" s="1"/>
  <c r="P287" i="114"/>
  <c r="L287" i="114"/>
  <c r="M287" i="114" s="1"/>
  <c r="U287" i="114" s="1"/>
  <c r="X287" i="114" s="1"/>
  <c r="F291" i="114"/>
  <c r="G290" i="114"/>
  <c r="Q159" i="113"/>
  <c r="F187" i="113"/>
  <c r="K158" i="112"/>
  <c r="I159" i="112" s="1"/>
  <c r="C161" i="113" s="1"/>
  <c r="H161" i="113" s="1"/>
  <c r="B161" i="113" s="1"/>
  <c r="M159" i="113"/>
  <c r="L160" i="113"/>
  <c r="O160" i="113" s="1"/>
  <c r="P160" i="113" s="1"/>
  <c r="S265" i="88" l="1"/>
  <c r="J265" i="88"/>
  <c r="N294" i="88"/>
  <c r="O293" i="88"/>
  <c r="H266" i="88"/>
  <c r="I266" i="88" s="1"/>
  <c r="F266" i="88"/>
  <c r="L265" i="88"/>
  <c r="G265" i="88"/>
  <c r="K265" i="88" s="1"/>
  <c r="P265" i="88" s="1"/>
  <c r="K264" i="88"/>
  <c r="P264" i="88" s="1"/>
  <c r="L263" i="110"/>
  <c r="G263" i="110"/>
  <c r="K263" i="110" s="1"/>
  <c r="P263" i="110" s="1"/>
  <c r="H264" i="110"/>
  <c r="I264" i="110" s="1"/>
  <c r="J264" i="110" s="1"/>
  <c r="F264" i="110"/>
  <c r="V287" i="114"/>
  <c r="W287" i="114" s="1"/>
  <c r="N320" i="110"/>
  <c r="O319" i="110"/>
  <c r="P288" i="114"/>
  <c r="L288" i="114"/>
  <c r="M288" i="114" s="1"/>
  <c r="U288" i="114" s="1"/>
  <c r="X288" i="114" s="1"/>
  <c r="K289" i="114"/>
  <c r="I290" i="114"/>
  <c r="J289" i="114"/>
  <c r="Y289" i="114" s="1"/>
  <c r="G291" i="114"/>
  <c r="F292" i="114"/>
  <c r="S266" i="88"/>
  <c r="J159" i="112"/>
  <c r="K159" i="112" s="1"/>
  <c r="I160" i="112" s="1"/>
  <c r="C162" i="113" s="1"/>
  <c r="H162" i="113" s="1"/>
  <c r="B162" i="113" s="1"/>
  <c r="Q160" i="113"/>
  <c r="M160" i="113"/>
  <c r="I161" i="113"/>
  <c r="J161" i="113" s="1"/>
  <c r="G187" i="113"/>
  <c r="J266" i="88" l="1"/>
  <c r="N295" i="88"/>
  <c r="O294" i="88"/>
  <c r="L266" i="88"/>
  <c r="H267" i="88"/>
  <c r="I267" i="88" s="1"/>
  <c r="F267" i="88"/>
  <c r="G266" i="88"/>
  <c r="G264" i="110"/>
  <c r="K264" i="110" s="1"/>
  <c r="P264" i="110" s="1"/>
  <c r="H265" i="110"/>
  <c r="I265" i="110" s="1"/>
  <c r="J265" i="110" s="1"/>
  <c r="F265" i="110"/>
  <c r="L264" i="110"/>
  <c r="V288" i="114"/>
  <c r="W288" i="114" s="1"/>
  <c r="N321" i="110"/>
  <c r="O320" i="110"/>
  <c r="J290" i="114"/>
  <c r="Y290" i="114" s="1"/>
  <c r="K290" i="114"/>
  <c r="I291" i="114"/>
  <c r="P289" i="114"/>
  <c r="L289" i="114"/>
  <c r="M289" i="114" s="1"/>
  <c r="U289" i="114" s="1"/>
  <c r="X289" i="114" s="1"/>
  <c r="G292" i="114"/>
  <c r="F293" i="114"/>
  <c r="S267" i="88"/>
  <c r="F188" i="113"/>
  <c r="G188" i="113" s="1"/>
  <c r="I162" i="113"/>
  <c r="J162" i="113" s="1"/>
  <c r="L161" i="113"/>
  <c r="M161" i="113" s="1"/>
  <c r="J160" i="112"/>
  <c r="J267" i="88" l="1"/>
  <c r="H268" i="88"/>
  <c r="S268" i="88" s="1"/>
  <c r="F268" i="88"/>
  <c r="L267" i="88"/>
  <c r="G267" i="88"/>
  <c r="N296" i="88"/>
  <c r="O295" i="88"/>
  <c r="K266" i="88"/>
  <c r="P266" i="88" s="1"/>
  <c r="F266" i="110"/>
  <c r="G265" i="110"/>
  <c r="K265" i="110" s="1"/>
  <c r="P265" i="110" s="1"/>
  <c r="L265" i="110"/>
  <c r="H266" i="110"/>
  <c r="I266" i="110" s="1"/>
  <c r="J266" i="110" s="1"/>
  <c r="V289" i="114"/>
  <c r="W289" i="114" s="1"/>
  <c r="N322" i="110"/>
  <c r="O321" i="110"/>
  <c r="K291" i="114"/>
  <c r="I292" i="114"/>
  <c r="J291" i="114"/>
  <c r="Y291" i="114" s="1"/>
  <c r="L290" i="114"/>
  <c r="M290" i="114" s="1"/>
  <c r="U290" i="114" s="1"/>
  <c r="X290" i="114" s="1"/>
  <c r="P290" i="114"/>
  <c r="G293" i="114"/>
  <c r="F294" i="114"/>
  <c r="K160" i="112"/>
  <c r="I161" i="112" s="1"/>
  <c r="C163" i="113" s="1"/>
  <c r="H163" i="113" s="1"/>
  <c r="B163" i="113" s="1"/>
  <c r="O161" i="113"/>
  <c r="P161" i="113" s="1"/>
  <c r="L162" i="113"/>
  <c r="F189" i="113"/>
  <c r="N297" i="88" l="1"/>
  <c r="O296" i="88"/>
  <c r="H269" i="88"/>
  <c r="F269" i="88"/>
  <c r="G268" i="88"/>
  <c r="K267" i="88"/>
  <c r="P267" i="88" s="1"/>
  <c r="I268" i="88"/>
  <c r="H267" i="110"/>
  <c r="I267" i="110" s="1"/>
  <c r="J267" i="110" s="1"/>
  <c r="L266" i="110"/>
  <c r="F267" i="110"/>
  <c r="G266" i="110"/>
  <c r="K266" i="110" s="1"/>
  <c r="P266" i="110" s="1"/>
  <c r="N323" i="110"/>
  <c r="O322" i="110"/>
  <c r="V290" i="114"/>
  <c r="W290" i="114" s="1"/>
  <c r="I293" i="114"/>
  <c r="J292" i="114"/>
  <c r="Y292" i="114" s="1"/>
  <c r="K292" i="114"/>
  <c r="P291" i="114"/>
  <c r="L291" i="114"/>
  <c r="M291" i="114" s="1"/>
  <c r="U291" i="114" s="1"/>
  <c r="X291" i="114" s="1"/>
  <c r="F295" i="114"/>
  <c r="G294" i="114"/>
  <c r="S269" i="88"/>
  <c r="Q161" i="113"/>
  <c r="M162" i="113"/>
  <c r="G189" i="113"/>
  <c r="O162" i="113"/>
  <c r="J161" i="112"/>
  <c r="I163" i="113"/>
  <c r="J163" i="113" s="1"/>
  <c r="I269" i="88" l="1"/>
  <c r="J268" i="88"/>
  <c r="K268" i="88" s="1"/>
  <c r="P268" i="88" s="1"/>
  <c r="L268" i="88"/>
  <c r="H270" i="88"/>
  <c r="S270" i="88" s="1"/>
  <c r="F270" i="88"/>
  <c r="L269" i="88"/>
  <c r="G269" i="88"/>
  <c r="N298" i="88"/>
  <c r="O297" i="88"/>
  <c r="L267" i="110"/>
  <c r="H268" i="110"/>
  <c r="I268" i="110" s="1"/>
  <c r="J268" i="110" s="1"/>
  <c r="F268" i="110"/>
  <c r="G267" i="110"/>
  <c r="K267" i="110" s="1"/>
  <c r="P267" i="110" s="1"/>
  <c r="N324" i="110"/>
  <c r="O323" i="110"/>
  <c r="V291" i="114"/>
  <c r="W291" i="114" s="1"/>
  <c r="P292" i="114"/>
  <c r="L292" i="114"/>
  <c r="M292" i="114" s="1"/>
  <c r="U292" i="114" s="1"/>
  <c r="X292" i="114" s="1"/>
  <c r="I294" i="114"/>
  <c r="J293" i="114"/>
  <c r="Y293" i="114" s="1"/>
  <c r="K293" i="114"/>
  <c r="G295" i="114"/>
  <c r="F296" i="114"/>
  <c r="F190" i="113"/>
  <c r="G190" i="113" s="1"/>
  <c r="P162" i="113"/>
  <c r="L163" i="113"/>
  <c r="M163" i="113" s="1"/>
  <c r="K161" i="112"/>
  <c r="I162" i="112" s="1"/>
  <c r="C164" i="113" s="1"/>
  <c r="H164" i="113" s="1"/>
  <c r="B164" i="113" s="1"/>
  <c r="H271" i="88" l="1"/>
  <c r="S271" i="88" s="1"/>
  <c r="F271" i="88"/>
  <c r="G270" i="88"/>
  <c r="N299" i="88"/>
  <c r="O298" i="88"/>
  <c r="I270" i="88"/>
  <c r="J269" i="88"/>
  <c r="K269" i="88" s="1"/>
  <c r="P269" i="88" s="1"/>
  <c r="F269" i="110"/>
  <c r="H269" i="110"/>
  <c r="I269" i="110" s="1"/>
  <c r="J269" i="110" s="1"/>
  <c r="G268" i="110"/>
  <c r="K268" i="110" s="1"/>
  <c r="P268" i="110" s="1"/>
  <c r="L268" i="110"/>
  <c r="N325" i="110"/>
  <c r="O324" i="110"/>
  <c r="V292" i="114"/>
  <c r="W292" i="114" s="1"/>
  <c r="L293" i="114"/>
  <c r="M293" i="114" s="1"/>
  <c r="U293" i="114" s="1"/>
  <c r="X293" i="114" s="1"/>
  <c r="P293" i="114"/>
  <c r="I295" i="114"/>
  <c r="J294" i="114"/>
  <c r="Y294" i="114" s="1"/>
  <c r="K294" i="114"/>
  <c r="F297" i="114"/>
  <c r="G296" i="114"/>
  <c r="J162" i="112"/>
  <c r="K162" i="112" s="1"/>
  <c r="I163" i="112" s="1"/>
  <c r="C165" i="113" s="1"/>
  <c r="H165" i="113" s="1"/>
  <c r="B165" i="113" s="1"/>
  <c r="F191" i="113"/>
  <c r="Q162" i="113"/>
  <c r="D35" i="162" s="1"/>
  <c r="D36" i="162" s="1"/>
  <c r="G20" i="159" s="1"/>
  <c r="I164" i="113"/>
  <c r="J164" i="113" s="1"/>
  <c r="O163" i="113"/>
  <c r="I271" i="88" l="1"/>
  <c r="J270" i="88"/>
  <c r="K270" i="88" s="1"/>
  <c r="P270" i="88" s="1"/>
  <c r="L270" i="88"/>
  <c r="N300" i="88"/>
  <c r="O299" i="88"/>
  <c r="L271" i="88"/>
  <c r="H272" i="88"/>
  <c r="S272" i="88" s="1"/>
  <c r="F272" i="88"/>
  <c r="G271" i="88"/>
  <c r="L269" i="110"/>
  <c r="H270" i="110"/>
  <c r="I270" i="110" s="1"/>
  <c r="J270" i="110" s="1"/>
  <c r="G269" i="110"/>
  <c r="K269" i="110" s="1"/>
  <c r="P269" i="110" s="1"/>
  <c r="F270" i="110"/>
  <c r="N326" i="110"/>
  <c r="O325" i="110"/>
  <c r="V293" i="114"/>
  <c r="W293" i="114" s="1"/>
  <c r="I296" i="114"/>
  <c r="J295" i="114"/>
  <c r="Y295" i="114" s="1"/>
  <c r="K295" i="114"/>
  <c r="L294" i="114"/>
  <c r="M294" i="114" s="1"/>
  <c r="U294" i="114" s="1"/>
  <c r="X294" i="114" s="1"/>
  <c r="P294" i="114"/>
  <c r="G297" i="114"/>
  <c r="F298" i="114"/>
  <c r="L164" i="113"/>
  <c r="P163" i="113"/>
  <c r="I165" i="113"/>
  <c r="J163" i="112"/>
  <c r="G191" i="113"/>
  <c r="N301" i="88" l="1"/>
  <c r="O300" i="88"/>
  <c r="H273" i="88"/>
  <c r="S273" i="88" s="1"/>
  <c r="F273" i="88"/>
  <c r="G272" i="88"/>
  <c r="I272" i="88"/>
  <c r="J271" i="88"/>
  <c r="K271" i="88" s="1"/>
  <c r="P271" i="88" s="1"/>
  <c r="L270" i="110"/>
  <c r="G270" i="110"/>
  <c r="K270" i="110" s="1"/>
  <c r="P270" i="110" s="1"/>
  <c r="H271" i="110"/>
  <c r="I271" i="110" s="1"/>
  <c r="J271" i="110" s="1"/>
  <c r="F271" i="110"/>
  <c r="V294" i="114"/>
  <c r="W294" i="114" s="1"/>
  <c r="N327" i="110"/>
  <c r="O326" i="110"/>
  <c r="L295" i="114"/>
  <c r="M295" i="114" s="1"/>
  <c r="U295" i="114" s="1"/>
  <c r="X295" i="114" s="1"/>
  <c r="P295" i="114"/>
  <c r="J296" i="114"/>
  <c r="Y296" i="114" s="1"/>
  <c r="K296" i="114"/>
  <c r="I297" i="114"/>
  <c r="F299" i="114"/>
  <c r="G298" i="114"/>
  <c r="F192" i="113"/>
  <c r="G192" i="113" s="1"/>
  <c r="L165" i="113"/>
  <c r="O165" i="113" s="1"/>
  <c r="M164" i="113"/>
  <c r="K163" i="112"/>
  <c r="I164" i="112" s="1"/>
  <c r="C166" i="113" s="1"/>
  <c r="H166" i="113" s="1"/>
  <c r="B166" i="113" s="1"/>
  <c r="J165" i="113"/>
  <c r="Q163" i="113"/>
  <c r="O164" i="113"/>
  <c r="I273" i="88" l="1"/>
  <c r="J272" i="88"/>
  <c r="K272" i="88" s="1"/>
  <c r="P272" i="88" s="1"/>
  <c r="H274" i="88"/>
  <c r="F274" i="88"/>
  <c r="L273" i="88"/>
  <c r="G273" i="88"/>
  <c r="N302" i="88"/>
  <c r="O301" i="88"/>
  <c r="L272" i="88"/>
  <c r="G271" i="110"/>
  <c r="K271" i="110" s="1"/>
  <c r="P271" i="110" s="1"/>
  <c r="L271" i="110"/>
  <c r="H272" i="110"/>
  <c r="I272" i="110" s="1"/>
  <c r="J272" i="110" s="1"/>
  <c r="F272" i="110"/>
  <c r="N328" i="110"/>
  <c r="O327" i="110"/>
  <c r="V295" i="114"/>
  <c r="W295" i="114" s="1"/>
  <c r="K297" i="114"/>
  <c r="I298" i="114"/>
  <c r="J297" i="114"/>
  <c r="Y297" i="114" s="1"/>
  <c r="P296" i="114"/>
  <c r="L296" i="114"/>
  <c r="M296" i="114" s="1"/>
  <c r="U296" i="114" s="1"/>
  <c r="X296" i="114" s="1"/>
  <c r="F300" i="114"/>
  <c r="G299" i="114"/>
  <c r="S274" i="88"/>
  <c r="J164" i="112"/>
  <c r="K164" i="112" s="1"/>
  <c r="I165" i="112" s="1"/>
  <c r="C167" i="113" s="1"/>
  <c r="H167" i="113" s="1"/>
  <c r="B167" i="113" s="1"/>
  <c r="M165" i="113"/>
  <c r="P164" i="113"/>
  <c r="I166" i="113"/>
  <c r="J166" i="113" s="1"/>
  <c r="F193" i="113"/>
  <c r="G193" i="113" s="1"/>
  <c r="N303" i="88" l="1"/>
  <c r="O302" i="88"/>
  <c r="H275" i="88"/>
  <c r="S275" i="88" s="1"/>
  <c r="F275" i="88"/>
  <c r="G274" i="88"/>
  <c r="I274" i="88"/>
  <c r="J273" i="88"/>
  <c r="K273" i="88" s="1"/>
  <c r="P273" i="88" s="1"/>
  <c r="F273" i="110"/>
  <c r="G272" i="110"/>
  <c r="K272" i="110" s="1"/>
  <c r="P272" i="110" s="1"/>
  <c r="L272" i="110"/>
  <c r="H273" i="110"/>
  <c r="I273" i="110" s="1"/>
  <c r="J273" i="110" s="1"/>
  <c r="N329" i="110"/>
  <c r="O328" i="110"/>
  <c r="V296" i="114"/>
  <c r="W296" i="114" s="1"/>
  <c r="P297" i="114"/>
  <c r="L297" i="114"/>
  <c r="M297" i="114" s="1"/>
  <c r="U297" i="114" s="1"/>
  <c r="X297" i="114" s="1"/>
  <c r="J298" i="114"/>
  <c r="Y298" i="114" s="1"/>
  <c r="K298" i="114"/>
  <c r="I299" i="114"/>
  <c r="F301" i="114"/>
  <c r="G300" i="114"/>
  <c r="F194" i="113"/>
  <c r="G194" i="113" s="1"/>
  <c r="I167" i="113"/>
  <c r="J167" i="113" s="1"/>
  <c r="J165" i="112"/>
  <c r="L166" i="113"/>
  <c r="O166" i="113" s="1"/>
  <c r="Q164" i="113"/>
  <c r="P165" i="113"/>
  <c r="I275" i="88" l="1"/>
  <c r="J274" i="88"/>
  <c r="K274" i="88" s="1"/>
  <c r="P274" i="88" s="1"/>
  <c r="H276" i="88"/>
  <c r="F276" i="88"/>
  <c r="L275" i="88"/>
  <c r="G275" i="88"/>
  <c r="N304" i="88"/>
  <c r="O303" i="88"/>
  <c r="L274" i="88"/>
  <c r="H274" i="110"/>
  <c r="I274" i="110" s="1"/>
  <c r="J274" i="110" s="1"/>
  <c r="F274" i="110"/>
  <c r="G273" i="110"/>
  <c r="K273" i="110" s="1"/>
  <c r="P273" i="110" s="1"/>
  <c r="L273" i="110"/>
  <c r="V297" i="114"/>
  <c r="W297" i="114" s="1"/>
  <c r="N330" i="110"/>
  <c r="O329" i="110"/>
  <c r="I300" i="114"/>
  <c r="J299" i="114"/>
  <c r="Y299" i="114" s="1"/>
  <c r="K299" i="114"/>
  <c r="L298" i="114"/>
  <c r="M298" i="114" s="1"/>
  <c r="U298" i="114" s="1"/>
  <c r="X298" i="114" s="1"/>
  <c r="P298" i="114"/>
  <c r="F302" i="114"/>
  <c r="G301" i="114"/>
  <c r="S276" i="88"/>
  <c r="F195" i="113"/>
  <c r="L167" i="113"/>
  <c r="Q165" i="113"/>
  <c r="P166" i="113"/>
  <c r="M166" i="113"/>
  <c r="K165" i="112"/>
  <c r="I166" i="112" s="1"/>
  <c r="C168" i="113" s="1"/>
  <c r="H168" i="113" s="1"/>
  <c r="B168" i="113" s="1"/>
  <c r="N305" i="88" l="1"/>
  <c r="O304" i="88"/>
  <c r="H277" i="88"/>
  <c r="F277" i="88"/>
  <c r="G276" i="88"/>
  <c r="J275" i="88"/>
  <c r="K275" i="88"/>
  <c r="P275" i="88" s="1"/>
  <c r="I276" i="88"/>
  <c r="G274" i="110"/>
  <c r="K274" i="110" s="1"/>
  <c r="P274" i="110" s="1"/>
  <c r="L274" i="110"/>
  <c r="H275" i="110"/>
  <c r="I275" i="110" s="1"/>
  <c r="J275" i="110" s="1"/>
  <c r="F275" i="110"/>
  <c r="N331" i="110"/>
  <c r="O331" i="110" s="1"/>
  <c r="O330" i="110"/>
  <c r="V298" i="114"/>
  <c r="W298" i="114" s="1"/>
  <c r="P299" i="114"/>
  <c r="L299" i="114"/>
  <c r="M299" i="114" s="1"/>
  <c r="U299" i="114" s="1"/>
  <c r="X299" i="114" s="1"/>
  <c r="K300" i="114"/>
  <c r="J300" i="114"/>
  <c r="Y300" i="114" s="1"/>
  <c r="I301" i="114"/>
  <c r="M167" i="113"/>
  <c r="G302" i="114"/>
  <c r="F303" i="114"/>
  <c r="J166" i="112"/>
  <c r="K166" i="112" s="1"/>
  <c r="I167" i="112" s="1"/>
  <c r="C169" i="113" s="1"/>
  <c r="H169" i="113" s="1"/>
  <c r="B169" i="113" s="1"/>
  <c r="I168" i="113"/>
  <c r="L168" i="113" s="1"/>
  <c r="Q166" i="113"/>
  <c r="O167" i="113"/>
  <c r="P167" i="113" s="1"/>
  <c r="G195" i="113"/>
  <c r="I277" i="88" l="1"/>
  <c r="N306" i="88"/>
  <c r="O305" i="88"/>
  <c r="H278" i="88"/>
  <c r="I278" i="88" s="1"/>
  <c r="F278" i="88"/>
  <c r="L277" i="88"/>
  <c r="G277" i="88"/>
  <c r="J277" i="88"/>
  <c r="S277" i="88"/>
  <c r="J276" i="88"/>
  <c r="K276" i="88"/>
  <c r="P276" i="88" s="1"/>
  <c r="L276" i="88"/>
  <c r="F276" i="110"/>
  <c r="L275" i="110"/>
  <c r="G275" i="110"/>
  <c r="K275" i="110" s="1"/>
  <c r="P275" i="110" s="1"/>
  <c r="H276" i="110"/>
  <c r="I276" i="110" s="1"/>
  <c r="J276" i="110" s="1"/>
  <c r="V299" i="114"/>
  <c r="W299" i="114" s="1"/>
  <c r="L300" i="114"/>
  <c r="M300" i="114" s="1"/>
  <c r="U300" i="114" s="1"/>
  <c r="X300" i="114" s="1"/>
  <c r="P300" i="114"/>
  <c r="I302" i="114"/>
  <c r="J301" i="114"/>
  <c r="Y301" i="114" s="1"/>
  <c r="K301" i="114"/>
  <c r="F304" i="114"/>
  <c r="G303" i="114"/>
  <c r="J168" i="113"/>
  <c r="I169" i="113" s="1"/>
  <c r="J169" i="113" s="1"/>
  <c r="Q167" i="113"/>
  <c r="F196" i="113"/>
  <c r="O168" i="113"/>
  <c r="P168" i="113" s="1"/>
  <c r="M168" i="113"/>
  <c r="J167" i="112"/>
  <c r="S278" i="88" l="1"/>
  <c r="N307" i="88"/>
  <c r="O306" i="88"/>
  <c r="F279" i="88"/>
  <c r="L278" i="88"/>
  <c r="H279" i="88"/>
  <c r="I279" i="88" s="1"/>
  <c r="G278" i="88"/>
  <c r="K277" i="88"/>
  <c r="P277" i="88" s="1"/>
  <c r="J278" i="88"/>
  <c r="H277" i="110"/>
  <c r="I277" i="110" s="1"/>
  <c r="J277" i="110" s="1"/>
  <c r="F277" i="110"/>
  <c r="G276" i="110"/>
  <c r="K276" i="110" s="1"/>
  <c r="P276" i="110" s="1"/>
  <c r="L276" i="110"/>
  <c r="V300" i="114"/>
  <c r="W300" i="114" s="1"/>
  <c r="L301" i="114"/>
  <c r="M301" i="114" s="1"/>
  <c r="U301" i="114" s="1"/>
  <c r="X301" i="114" s="1"/>
  <c r="P301" i="114"/>
  <c r="J302" i="114"/>
  <c r="Y302" i="114" s="1"/>
  <c r="K302" i="114"/>
  <c r="I303" i="114"/>
  <c r="G304" i="114"/>
  <c r="F305" i="114"/>
  <c r="Q168" i="113"/>
  <c r="K167" i="112"/>
  <c r="I168" i="112" s="1"/>
  <c r="C170" i="113" s="1"/>
  <c r="H170" i="113" s="1"/>
  <c r="B170" i="113" s="1"/>
  <c r="L169" i="113"/>
  <c r="G196" i="113"/>
  <c r="J279" i="88" l="1"/>
  <c r="S279" i="88"/>
  <c r="K278" i="88"/>
  <c r="P278" i="88" s="1"/>
  <c r="F280" i="88"/>
  <c r="L279" i="88"/>
  <c r="H280" i="88"/>
  <c r="I280" i="88" s="1"/>
  <c r="G279" i="88"/>
  <c r="K279" i="88" s="1"/>
  <c r="P279" i="88" s="1"/>
  <c r="N308" i="88"/>
  <c r="O307" i="88"/>
  <c r="F278" i="110"/>
  <c r="G277" i="110"/>
  <c r="K277" i="110" s="1"/>
  <c r="P277" i="110" s="1"/>
  <c r="L277" i="110"/>
  <c r="H278" i="110"/>
  <c r="I278" i="110" s="1"/>
  <c r="J278" i="110" s="1"/>
  <c r="V301" i="114"/>
  <c r="W301" i="114" s="1"/>
  <c r="J303" i="114"/>
  <c r="Y303" i="114" s="1"/>
  <c r="K303" i="114"/>
  <c r="I304" i="114"/>
  <c r="L302" i="114"/>
  <c r="M302" i="114" s="1"/>
  <c r="U302" i="114" s="1"/>
  <c r="X302" i="114" s="1"/>
  <c r="P302" i="114"/>
  <c r="G305" i="114"/>
  <c r="F306" i="114"/>
  <c r="I170" i="113"/>
  <c r="J170" i="113" s="1"/>
  <c r="F197" i="113"/>
  <c r="G197" i="113" s="1"/>
  <c r="M169" i="113"/>
  <c r="O169" i="113"/>
  <c r="P169" i="113" s="1"/>
  <c r="J168" i="112"/>
  <c r="J280" i="88" l="1"/>
  <c r="N309" i="88"/>
  <c r="O308" i="88"/>
  <c r="S280" i="88"/>
  <c r="L280" i="88"/>
  <c r="H281" i="88"/>
  <c r="I281" i="88" s="1"/>
  <c r="F281" i="88"/>
  <c r="G280" i="88"/>
  <c r="K280" i="88" s="1"/>
  <c r="P280" i="88" s="1"/>
  <c r="G278" i="110"/>
  <c r="K278" i="110" s="1"/>
  <c r="P278" i="110" s="1"/>
  <c r="H279" i="110"/>
  <c r="I279" i="110" s="1"/>
  <c r="J279" i="110" s="1"/>
  <c r="F279" i="110"/>
  <c r="L278" i="110"/>
  <c r="V302" i="114"/>
  <c r="W302" i="114" s="1"/>
  <c r="I305" i="114"/>
  <c r="J304" i="114"/>
  <c r="Y304" i="114" s="1"/>
  <c r="K304" i="114"/>
  <c r="P303" i="114"/>
  <c r="L303" i="114"/>
  <c r="M303" i="114" s="1"/>
  <c r="U303" i="114" s="1"/>
  <c r="X303" i="114" s="1"/>
  <c r="G306" i="114"/>
  <c r="F307" i="114"/>
  <c r="L170" i="113"/>
  <c r="O170" i="113" s="1"/>
  <c r="P170" i="113" s="1"/>
  <c r="S281" i="88"/>
  <c r="F198" i="113"/>
  <c r="K168" i="112"/>
  <c r="I169" i="112" s="1"/>
  <c r="C171" i="113" s="1"/>
  <c r="H171" i="113" s="1"/>
  <c r="Q169" i="113"/>
  <c r="N310" i="88" l="1"/>
  <c r="O309" i="88"/>
  <c r="J281" i="88"/>
  <c r="H282" i="88"/>
  <c r="I282" i="88" s="1"/>
  <c r="F282" i="88"/>
  <c r="L281" i="88"/>
  <c r="G281" i="88"/>
  <c r="K281" i="88" s="1"/>
  <c r="P281" i="88" s="1"/>
  <c r="G279" i="110"/>
  <c r="K279" i="110" s="1"/>
  <c r="P279" i="110" s="1"/>
  <c r="L279" i="110"/>
  <c r="F280" i="110"/>
  <c r="H280" i="110"/>
  <c r="I280" i="110" s="1"/>
  <c r="J280" i="110" s="1"/>
  <c r="V303" i="114"/>
  <c r="W303" i="114" s="1"/>
  <c r="I306" i="114"/>
  <c r="K305" i="114"/>
  <c r="J305" i="114"/>
  <c r="Y305" i="114" s="1"/>
  <c r="L304" i="114"/>
  <c r="M304" i="114" s="1"/>
  <c r="U304" i="114" s="1"/>
  <c r="X304" i="114" s="1"/>
  <c r="P304" i="114"/>
  <c r="F308" i="114"/>
  <c r="G307" i="114"/>
  <c r="M170" i="113"/>
  <c r="Q170" i="113"/>
  <c r="B171" i="113"/>
  <c r="I171" i="113"/>
  <c r="J169" i="112"/>
  <c r="G198" i="113"/>
  <c r="J282" i="88" l="1"/>
  <c r="N311" i="88"/>
  <c r="O310" i="88"/>
  <c r="L282" i="88"/>
  <c r="H283" i="88"/>
  <c r="I283" i="88" s="1"/>
  <c r="F283" i="88"/>
  <c r="G282" i="88"/>
  <c r="K282" i="88" s="1"/>
  <c r="P282" i="88" s="1"/>
  <c r="S282" i="88"/>
  <c r="G280" i="110"/>
  <c r="K280" i="110" s="1"/>
  <c r="P280" i="110" s="1"/>
  <c r="L280" i="110"/>
  <c r="F281" i="110"/>
  <c r="H281" i="110"/>
  <c r="I281" i="110" s="1"/>
  <c r="J281" i="110" s="1"/>
  <c r="V304" i="114"/>
  <c r="W304" i="114" s="1"/>
  <c r="K306" i="114"/>
  <c r="I307" i="114"/>
  <c r="J306" i="114"/>
  <c r="Y306" i="114" s="1"/>
  <c r="P305" i="114"/>
  <c r="L305" i="114"/>
  <c r="M305" i="114" s="1"/>
  <c r="U305" i="114" s="1"/>
  <c r="X305" i="114" s="1"/>
  <c r="G308" i="114"/>
  <c r="F309" i="114"/>
  <c r="S283" i="88"/>
  <c r="L171" i="113"/>
  <c r="O171" i="113" s="1"/>
  <c r="P171" i="113" s="1"/>
  <c r="F199" i="113"/>
  <c r="K169" i="112"/>
  <c r="I170" i="112" s="1"/>
  <c r="C172" i="113" s="1"/>
  <c r="H172" i="113" s="1"/>
  <c r="B172" i="113" s="1"/>
  <c r="J171" i="113"/>
  <c r="J283" i="88" l="1"/>
  <c r="N312" i="88"/>
  <c r="O311" i="88"/>
  <c r="H284" i="88"/>
  <c r="I284" i="88" s="1"/>
  <c r="F284" i="88"/>
  <c r="L283" i="88"/>
  <c r="G283" i="88"/>
  <c r="K283" i="88" s="1"/>
  <c r="P283" i="88" s="1"/>
  <c r="G281" i="110"/>
  <c r="K281" i="110" s="1"/>
  <c r="P281" i="110" s="1"/>
  <c r="F282" i="110"/>
  <c r="H282" i="110"/>
  <c r="I282" i="110" s="1"/>
  <c r="J282" i="110" s="1"/>
  <c r="L281" i="110"/>
  <c r="V305" i="114"/>
  <c r="W305" i="114" s="1"/>
  <c r="L306" i="114"/>
  <c r="M306" i="114" s="1"/>
  <c r="U306" i="114" s="1"/>
  <c r="X306" i="114" s="1"/>
  <c r="P306" i="114"/>
  <c r="I308" i="114"/>
  <c r="K307" i="114"/>
  <c r="J307" i="114"/>
  <c r="Y307" i="114" s="1"/>
  <c r="F310" i="114"/>
  <c r="G309" i="114"/>
  <c r="Q171" i="113"/>
  <c r="J170" i="112"/>
  <c r="I172" i="113"/>
  <c r="J172" i="113" s="1"/>
  <c r="G199" i="113"/>
  <c r="M171" i="113"/>
  <c r="J284" i="88" l="1"/>
  <c r="N313" i="88"/>
  <c r="O312" i="88"/>
  <c r="S284" i="88"/>
  <c r="L284" i="88"/>
  <c r="H285" i="88"/>
  <c r="I285" i="88" s="1"/>
  <c r="F285" i="88"/>
  <c r="G284" i="88"/>
  <c r="F283" i="110"/>
  <c r="H283" i="110"/>
  <c r="I283" i="110" s="1"/>
  <c r="J283" i="110" s="1"/>
  <c r="L282" i="110"/>
  <c r="G282" i="110"/>
  <c r="K282" i="110" s="1"/>
  <c r="P282" i="110" s="1"/>
  <c r="V306" i="114"/>
  <c r="W306" i="114" s="1"/>
  <c r="L307" i="114"/>
  <c r="M307" i="114" s="1"/>
  <c r="U307" i="114" s="1"/>
  <c r="X307" i="114" s="1"/>
  <c r="P307" i="114"/>
  <c r="J308" i="114"/>
  <c r="Y308" i="114" s="1"/>
  <c r="K308" i="114"/>
  <c r="I309" i="114"/>
  <c r="F311" i="114"/>
  <c r="G310" i="114"/>
  <c r="F200" i="113"/>
  <c r="G200" i="113" s="1"/>
  <c r="L172" i="113"/>
  <c r="O172" i="113" s="1"/>
  <c r="P172" i="113" s="1"/>
  <c r="K170" i="112"/>
  <c r="I171" i="112" s="1"/>
  <c r="C173" i="113" s="1"/>
  <c r="H173" i="113" s="1"/>
  <c r="B173" i="113" s="1"/>
  <c r="S285" i="88" l="1"/>
  <c r="J285" i="88"/>
  <c r="F286" i="88"/>
  <c r="L285" i="88"/>
  <c r="H286" i="88"/>
  <c r="I286" i="88" s="1"/>
  <c r="G285" i="88"/>
  <c r="K285" i="88" s="1"/>
  <c r="P285" i="88" s="1"/>
  <c r="K284" i="88"/>
  <c r="P284" i="88" s="1"/>
  <c r="N314" i="88"/>
  <c r="O313" i="88"/>
  <c r="H284" i="110"/>
  <c r="I284" i="110" s="1"/>
  <c r="J284" i="110" s="1"/>
  <c r="F284" i="110"/>
  <c r="G283" i="110"/>
  <c r="K283" i="110" s="1"/>
  <c r="P283" i="110" s="1"/>
  <c r="L283" i="110"/>
  <c r="V307" i="114"/>
  <c r="W307" i="114" s="1"/>
  <c r="J309" i="114"/>
  <c r="Y309" i="114" s="1"/>
  <c r="K309" i="114"/>
  <c r="I310" i="114"/>
  <c r="P308" i="114"/>
  <c r="L308" i="114"/>
  <c r="M308" i="114" s="1"/>
  <c r="U308" i="114" s="1"/>
  <c r="X308" i="114" s="1"/>
  <c r="G311" i="114"/>
  <c r="F312" i="114"/>
  <c r="S286" i="88"/>
  <c r="F201" i="113"/>
  <c r="G201" i="113" s="1"/>
  <c r="I173" i="113"/>
  <c r="J173" i="113" s="1"/>
  <c r="J171" i="112"/>
  <c r="Q172" i="113"/>
  <c r="M172" i="113"/>
  <c r="N315" i="88" l="1"/>
  <c r="O314" i="88"/>
  <c r="L286" i="88"/>
  <c r="H287" i="88"/>
  <c r="I287" i="88" s="1"/>
  <c r="F287" i="88"/>
  <c r="G286" i="88"/>
  <c r="J286" i="88"/>
  <c r="F285" i="110"/>
  <c r="L284" i="110"/>
  <c r="G284" i="110"/>
  <c r="K284" i="110" s="1"/>
  <c r="P284" i="110" s="1"/>
  <c r="H285" i="110"/>
  <c r="I285" i="110" s="1"/>
  <c r="J285" i="110" s="1"/>
  <c r="V308" i="114"/>
  <c r="W308" i="114" s="1"/>
  <c r="I311" i="114"/>
  <c r="J310" i="114"/>
  <c r="Y310" i="114" s="1"/>
  <c r="K310" i="114"/>
  <c r="L309" i="114"/>
  <c r="M309" i="114" s="1"/>
  <c r="U309" i="114" s="1"/>
  <c r="X309" i="114" s="1"/>
  <c r="P309" i="114"/>
  <c r="G312" i="114"/>
  <c r="F313" i="114"/>
  <c r="S287" i="88"/>
  <c r="F202" i="113"/>
  <c r="G202" i="113" s="1"/>
  <c r="L173" i="113"/>
  <c r="O173" i="113" s="1"/>
  <c r="P173" i="113" s="1"/>
  <c r="K171" i="112"/>
  <c r="I172" i="112" s="1"/>
  <c r="C174" i="113" s="1"/>
  <c r="H174" i="113" s="1"/>
  <c r="B174" i="113" s="1"/>
  <c r="F288" i="88" l="1"/>
  <c r="L287" i="88"/>
  <c r="H288" i="88"/>
  <c r="I288" i="88" s="1"/>
  <c r="G287" i="88"/>
  <c r="J287" i="88"/>
  <c r="K286" i="88"/>
  <c r="P286" i="88" s="1"/>
  <c r="N316" i="88"/>
  <c r="O315" i="88"/>
  <c r="H286" i="110"/>
  <c r="I286" i="110" s="1"/>
  <c r="J286" i="110" s="1"/>
  <c r="G285" i="110"/>
  <c r="K285" i="110" s="1"/>
  <c r="P285" i="110" s="1"/>
  <c r="F286" i="110"/>
  <c r="L285" i="110"/>
  <c r="V309" i="114"/>
  <c r="W309" i="114" s="1"/>
  <c r="I312" i="114"/>
  <c r="K311" i="114"/>
  <c r="J311" i="114"/>
  <c r="Y311" i="114" s="1"/>
  <c r="P310" i="114"/>
  <c r="L310" i="114"/>
  <c r="M310" i="114" s="1"/>
  <c r="U310" i="114" s="1"/>
  <c r="X310" i="114" s="1"/>
  <c r="F314" i="114"/>
  <c r="G313" i="114"/>
  <c r="Q173" i="113"/>
  <c r="F203" i="113"/>
  <c r="J172" i="112"/>
  <c r="I174" i="113"/>
  <c r="J174" i="113" s="1"/>
  <c r="M173" i="113"/>
  <c r="J288" i="88" l="1"/>
  <c r="N317" i="88"/>
  <c r="O316" i="88"/>
  <c r="S288" i="88"/>
  <c r="K287" i="88"/>
  <c r="P287" i="88" s="1"/>
  <c r="L288" i="88"/>
  <c r="H289" i="88"/>
  <c r="I289" i="88" s="1"/>
  <c r="F289" i="88"/>
  <c r="G288" i="88"/>
  <c r="H287" i="110"/>
  <c r="I287" i="110" s="1"/>
  <c r="J287" i="110" s="1"/>
  <c r="G286" i="110"/>
  <c r="K286" i="110" s="1"/>
  <c r="P286" i="110" s="1"/>
  <c r="F287" i="110"/>
  <c r="L286" i="110"/>
  <c r="V310" i="114"/>
  <c r="W310" i="114" s="1"/>
  <c r="J312" i="114"/>
  <c r="Y312" i="114" s="1"/>
  <c r="K312" i="114"/>
  <c r="I313" i="114"/>
  <c r="P311" i="114"/>
  <c r="L311" i="114"/>
  <c r="M311" i="114" s="1"/>
  <c r="U311" i="114" s="1"/>
  <c r="X311" i="114" s="1"/>
  <c r="F315" i="114"/>
  <c r="G314" i="114"/>
  <c r="S289" i="88"/>
  <c r="K172" i="112"/>
  <c r="I173" i="112" s="1"/>
  <c r="C175" i="113" s="1"/>
  <c r="H175" i="113" s="1"/>
  <c r="B175" i="113" s="1"/>
  <c r="L174" i="113"/>
  <c r="O174" i="113" s="1"/>
  <c r="P174" i="113" s="1"/>
  <c r="G203" i="113"/>
  <c r="J289" i="88" l="1"/>
  <c r="F290" i="88"/>
  <c r="L289" i="88"/>
  <c r="H290" i="88"/>
  <c r="I290" i="88" s="1"/>
  <c r="G289" i="88"/>
  <c r="K289" i="88" s="1"/>
  <c r="P289" i="88" s="1"/>
  <c r="K288" i="88"/>
  <c r="P288" i="88" s="1"/>
  <c r="N318" i="88"/>
  <c r="O317" i="88"/>
  <c r="F288" i="110"/>
  <c r="L287" i="110"/>
  <c r="H288" i="110"/>
  <c r="I288" i="110" s="1"/>
  <c r="J288" i="110" s="1"/>
  <c r="G287" i="110"/>
  <c r="K287" i="110" s="1"/>
  <c r="P287" i="110" s="1"/>
  <c r="V311" i="114"/>
  <c r="W311" i="114" s="1"/>
  <c r="J313" i="114"/>
  <c r="Y313" i="114" s="1"/>
  <c r="K313" i="114"/>
  <c r="I314" i="114"/>
  <c r="P312" i="114"/>
  <c r="L312" i="114"/>
  <c r="M312" i="114" s="1"/>
  <c r="U312" i="114" s="1"/>
  <c r="X312" i="114" s="1"/>
  <c r="G315" i="114"/>
  <c r="F316" i="114"/>
  <c r="I175" i="113"/>
  <c r="J175" i="113" s="1"/>
  <c r="F204" i="113"/>
  <c r="G204" i="113" s="1"/>
  <c r="Q174" i="113"/>
  <c r="M174" i="113"/>
  <c r="J173" i="112"/>
  <c r="S290" i="88" l="1"/>
  <c r="N319" i="88"/>
  <c r="O318" i="88"/>
  <c r="L290" i="88"/>
  <c r="H291" i="88"/>
  <c r="I291" i="88" s="1"/>
  <c r="F291" i="88"/>
  <c r="G290" i="88"/>
  <c r="J290" i="88"/>
  <c r="F289" i="110"/>
  <c r="H289" i="110"/>
  <c r="I289" i="110" s="1"/>
  <c r="J289" i="110" s="1"/>
  <c r="L288" i="110"/>
  <c r="G288" i="110"/>
  <c r="K288" i="110" s="1"/>
  <c r="P288" i="110" s="1"/>
  <c r="V312" i="114"/>
  <c r="W312" i="114" s="1"/>
  <c r="I315" i="114"/>
  <c r="J314" i="114"/>
  <c r="Y314" i="114" s="1"/>
  <c r="K314" i="114"/>
  <c r="P313" i="114"/>
  <c r="L313" i="114"/>
  <c r="M313" i="114" s="1"/>
  <c r="U313" i="114" s="1"/>
  <c r="X313" i="114" s="1"/>
  <c r="G316" i="114"/>
  <c r="F317" i="114"/>
  <c r="S291" i="88"/>
  <c r="L175" i="113"/>
  <c r="O175" i="113" s="1"/>
  <c r="P175" i="113" s="1"/>
  <c r="Q175" i="113" s="1"/>
  <c r="F205" i="113"/>
  <c r="K173" i="112"/>
  <c r="I174" i="112" s="1"/>
  <c r="C176" i="113" s="1"/>
  <c r="H176" i="113" s="1"/>
  <c r="L291" i="88" l="1"/>
  <c r="H292" i="88"/>
  <c r="I292" i="88" s="1"/>
  <c r="F292" i="88"/>
  <c r="G291" i="88"/>
  <c r="N320" i="88"/>
  <c r="O319" i="88"/>
  <c r="J291" i="88"/>
  <c r="K290" i="88"/>
  <c r="P290" i="88" s="1"/>
  <c r="F290" i="110"/>
  <c r="L289" i="110"/>
  <c r="G289" i="110"/>
  <c r="K289" i="110" s="1"/>
  <c r="P289" i="110" s="1"/>
  <c r="H290" i="110"/>
  <c r="I290" i="110" s="1"/>
  <c r="J290" i="110" s="1"/>
  <c r="V313" i="114"/>
  <c r="W313" i="114" s="1"/>
  <c r="K315" i="114"/>
  <c r="I316" i="114"/>
  <c r="J315" i="114"/>
  <c r="Y315" i="114" s="1"/>
  <c r="P314" i="114"/>
  <c r="L314" i="114"/>
  <c r="M314" i="114" s="1"/>
  <c r="U314" i="114" s="1"/>
  <c r="X314" i="114" s="1"/>
  <c r="G317" i="114"/>
  <c r="F318" i="114"/>
  <c r="M175" i="113"/>
  <c r="J174" i="112"/>
  <c r="K174" i="112" s="1"/>
  <c r="I175" i="112" s="1"/>
  <c r="C177" i="113" s="1"/>
  <c r="H177" i="113" s="1"/>
  <c r="B177" i="113" s="1"/>
  <c r="B176" i="113"/>
  <c r="I176" i="113"/>
  <c r="J176" i="113" s="1"/>
  <c r="G205" i="113"/>
  <c r="J292" i="88" l="1"/>
  <c r="L292" i="88"/>
  <c r="H293" i="88"/>
  <c r="I293" i="88" s="1"/>
  <c r="F293" i="88"/>
  <c r="G292" i="88"/>
  <c r="K292" i="88" s="1"/>
  <c r="P292" i="88" s="1"/>
  <c r="N321" i="88"/>
  <c r="O320" i="88"/>
  <c r="K291" i="88"/>
  <c r="P291" i="88" s="1"/>
  <c r="S292" i="88"/>
  <c r="H291" i="110"/>
  <c r="I291" i="110" s="1"/>
  <c r="J291" i="110" s="1"/>
  <c r="F291" i="110"/>
  <c r="L290" i="110"/>
  <c r="G290" i="110"/>
  <c r="K290" i="110" s="1"/>
  <c r="P290" i="110" s="1"/>
  <c r="V314" i="114"/>
  <c r="W314" i="114" s="1"/>
  <c r="P315" i="114"/>
  <c r="L315" i="114"/>
  <c r="M315" i="114" s="1"/>
  <c r="U315" i="114" s="1"/>
  <c r="X315" i="114" s="1"/>
  <c r="K316" i="114"/>
  <c r="I317" i="114"/>
  <c r="J316" i="114"/>
  <c r="Y316" i="114" s="1"/>
  <c r="G318" i="114"/>
  <c r="F319" i="114"/>
  <c r="J175" i="112"/>
  <c r="K175" i="112" s="1"/>
  <c r="I176" i="112" s="1"/>
  <c r="C178" i="113" s="1"/>
  <c r="H178" i="113" s="1"/>
  <c r="B178" i="113" s="1"/>
  <c r="I177" i="113"/>
  <c r="F206" i="113"/>
  <c r="L176" i="113"/>
  <c r="O176" i="113" s="1"/>
  <c r="P176" i="113" s="1"/>
  <c r="N322" i="88" l="1"/>
  <c r="O321" i="88"/>
  <c r="J293" i="88"/>
  <c r="S293" i="88"/>
  <c r="H294" i="88"/>
  <c r="I294" i="88" s="1"/>
  <c r="F294" i="88"/>
  <c r="L293" i="88"/>
  <c r="G293" i="88"/>
  <c r="H292" i="110"/>
  <c r="I292" i="110" s="1"/>
  <c r="J292" i="110" s="1"/>
  <c r="L291" i="110"/>
  <c r="G291" i="110"/>
  <c r="K291" i="110" s="1"/>
  <c r="P291" i="110" s="1"/>
  <c r="F292" i="110"/>
  <c r="V315" i="114"/>
  <c r="W315" i="114" s="1"/>
  <c r="K317" i="114"/>
  <c r="J317" i="114"/>
  <c r="Y317" i="114" s="1"/>
  <c r="I318" i="114"/>
  <c r="P316" i="114"/>
  <c r="L316" i="114"/>
  <c r="M316" i="114" s="1"/>
  <c r="U316" i="114" s="1"/>
  <c r="X316" i="114" s="1"/>
  <c r="F320" i="114"/>
  <c r="G319" i="114"/>
  <c r="S294" i="88"/>
  <c r="Q176" i="113"/>
  <c r="L177" i="113"/>
  <c r="M176" i="113"/>
  <c r="J176" i="112"/>
  <c r="G206" i="113"/>
  <c r="J177" i="113"/>
  <c r="F295" i="88" l="1"/>
  <c r="L294" i="88"/>
  <c r="H295" i="88"/>
  <c r="I295" i="88" s="1"/>
  <c r="G294" i="88"/>
  <c r="K293" i="88"/>
  <c r="P293" i="88" s="1"/>
  <c r="J294" i="88"/>
  <c r="N323" i="88"/>
  <c r="O322" i="88"/>
  <c r="G292" i="110"/>
  <c r="K292" i="110" s="1"/>
  <c r="P292" i="110" s="1"/>
  <c r="L292" i="110"/>
  <c r="H293" i="110"/>
  <c r="I293" i="110" s="1"/>
  <c r="J293" i="110" s="1"/>
  <c r="F293" i="110"/>
  <c r="V316" i="114"/>
  <c r="W316" i="114" s="1"/>
  <c r="P317" i="114"/>
  <c r="L317" i="114"/>
  <c r="M317" i="114" s="1"/>
  <c r="U317" i="114" s="1"/>
  <c r="X317" i="114" s="1"/>
  <c r="I319" i="114"/>
  <c r="J318" i="114"/>
  <c r="Y318" i="114" s="1"/>
  <c r="K318" i="114"/>
  <c r="G320" i="114"/>
  <c r="F321" i="114"/>
  <c r="M177" i="113"/>
  <c r="F207" i="113"/>
  <c r="G207" i="113" s="1"/>
  <c r="I178" i="113"/>
  <c r="J178" i="113" s="1"/>
  <c r="K176" i="112"/>
  <c r="I177" i="112" s="1"/>
  <c r="C179" i="113" s="1"/>
  <c r="H179" i="113" s="1"/>
  <c r="B179" i="113" s="1"/>
  <c r="O177" i="113"/>
  <c r="P177" i="113" s="1"/>
  <c r="S295" i="88" l="1"/>
  <c r="J295" i="88"/>
  <c r="N324" i="88"/>
  <c r="O323" i="88"/>
  <c r="K294" i="88"/>
  <c r="P294" i="88" s="1"/>
  <c r="F296" i="88"/>
  <c r="L295" i="88"/>
  <c r="H296" i="88"/>
  <c r="I296" i="88" s="1"/>
  <c r="G295" i="88"/>
  <c r="L293" i="110"/>
  <c r="F294" i="110"/>
  <c r="H294" i="110"/>
  <c r="I294" i="110" s="1"/>
  <c r="J294" i="110" s="1"/>
  <c r="G293" i="110"/>
  <c r="K293" i="110" s="1"/>
  <c r="P293" i="110" s="1"/>
  <c r="V317" i="114"/>
  <c r="W317" i="114" s="1"/>
  <c r="K319" i="114"/>
  <c r="I320" i="114"/>
  <c r="J319" i="114"/>
  <c r="Y319" i="114" s="1"/>
  <c r="L318" i="114"/>
  <c r="M318" i="114" s="1"/>
  <c r="U318" i="114" s="1"/>
  <c r="X318" i="114" s="1"/>
  <c r="P318" i="114"/>
  <c r="F322" i="114"/>
  <c r="G321" i="114"/>
  <c r="S296" i="88"/>
  <c r="I179" i="113"/>
  <c r="J179" i="113" s="1"/>
  <c r="Q177" i="113"/>
  <c r="J177" i="112"/>
  <c r="L178" i="113"/>
  <c r="O178" i="113" s="1"/>
  <c r="P178" i="113" s="1"/>
  <c r="F208" i="113"/>
  <c r="G208" i="113" s="1"/>
  <c r="K295" i="88" l="1"/>
  <c r="P295" i="88" s="1"/>
  <c r="N325" i="88"/>
  <c r="O324" i="88"/>
  <c r="L296" i="88"/>
  <c r="H297" i="88"/>
  <c r="I297" i="88" s="1"/>
  <c r="F297" i="88"/>
  <c r="G296" i="88"/>
  <c r="J296" i="88"/>
  <c r="H295" i="110"/>
  <c r="I295" i="110" s="1"/>
  <c r="J295" i="110" s="1"/>
  <c r="G294" i="110"/>
  <c r="K294" i="110" s="1"/>
  <c r="P294" i="110" s="1"/>
  <c r="F295" i="110"/>
  <c r="L294" i="110"/>
  <c r="V318" i="114"/>
  <c r="W318" i="114" s="1"/>
  <c r="I321" i="114"/>
  <c r="J320" i="114"/>
  <c r="Y320" i="114" s="1"/>
  <c r="K320" i="114"/>
  <c r="L319" i="114"/>
  <c r="M319" i="114" s="1"/>
  <c r="U319" i="114" s="1"/>
  <c r="X319" i="114" s="1"/>
  <c r="P319" i="114"/>
  <c r="F323" i="114"/>
  <c r="G322" i="114"/>
  <c r="S297" i="88"/>
  <c r="Q178" i="113"/>
  <c r="F209" i="113"/>
  <c r="M178" i="113"/>
  <c r="K177" i="112"/>
  <c r="I178" i="112" s="1"/>
  <c r="C180" i="113" s="1"/>
  <c r="H180" i="113" s="1"/>
  <c r="B180" i="113" s="1"/>
  <c r="L179" i="113"/>
  <c r="O179" i="113" s="1"/>
  <c r="P179" i="113" s="1"/>
  <c r="K296" i="88" l="1"/>
  <c r="P296" i="88" s="1"/>
  <c r="J297" i="88"/>
  <c r="L297" i="88"/>
  <c r="H298" i="88"/>
  <c r="I298" i="88" s="1"/>
  <c r="F298" i="88"/>
  <c r="G297" i="88"/>
  <c r="K297" i="88" s="1"/>
  <c r="P297" i="88" s="1"/>
  <c r="N326" i="88"/>
  <c r="O325" i="88"/>
  <c r="G295" i="110"/>
  <c r="K295" i="110" s="1"/>
  <c r="P295" i="110" s="1"/>
  <c r="H296" i="110"/>
  <c r="I296" i="110" s="1"/>
  <c r="J296" i="110" s="1"/>
  <c r="L295" i="110"/>
  <c r="F296" i="110"/>
  <c r="V319" i="114"/>
  <c r="W319" i="114" s="1"/>
  <c r="L320" i="114"/>
  <c r="M320" i="114" s="1"/>
  <c r="U320" i="114" s="1"/>
  <c r="X320" i="114" s="1"/>
  <c r="P320" i="114"/>
  <c r="K321" i="114"/>
  <c r="I322" i="114"/>
  <c r="J321" i="114"/>
  <c r="Y321" i="114" s="1"/>
  <c r="F324" i="114"/>
  <c r="G323" i="114"/>
  <c r="J178" i="112"/>
  <c r="K178" i="112" s="1"/>
  <c r="I179" i="112" s="1"/>
  <c r="C181" i="113" s="1"/>
  <c r="H181" i="113" s="1"/>
  <c r="B181" i="113" s="1"/>
  <c r="Q179" i="113"/>
  <c r="M179" i="113"/>
  <c r="G209" i="113"/>
  <c r="I180" i="113"/>
  <c r="S298" i="88" l="1"/>
  <c r="L298" i="88"/>
  <c r="H299" i="88"/>
  <c r="I299" i="88" s="1"/>
  <c r="F299" i="88"/>
  <c r="G298" i="88"/>
  <c r="N327" i="88"/>
  <c r="O326" i="88"/>
  <c r="J298" i="88"/>
  <c r="H297" i="110"/>
  <c r="I297" i="110" s="1"/>
  <c r="J297" i="110" s="1"/>
  <c r="F297" i="110"/>
  <c r="L296" i="110"/>
  <c r="G296" i="110"/>
  <c r="K296" i="110" s="1"/>
  <c r="P296" i="110" s="1"/>
  <c r="V320" i="114"/>
  <c r="W320" i="114" s="1"/>
  <c r="K322" i="114"/>
  <c r="I323" i="114"/>
  <c r="J322" i="114"/>
  <c r="Y322" i="114" s="1"/>
  <c r="L321" i="114"/>
  <c r="M321" i="114" s="1"/>
  <c r="U321" i="114" s="1"/>
  <c r="X321" i="114" s="1"/>
  <c r="P321" i="114"/>
  <c r="F325" i="114"/>
  <c r="G324" i="114"/>
  <c r="S299" i="88"/>
  <c r="F210" i="113"/>
  <c r="G210" i="113" s="1"/>
  <c r="L180" i="113"/>
  <c r="M180" i="113" s="1"/>
  <c r="J180" i="113"/>
  <c r="J179" i="112"/>
  <c r="L299" i="88" l="1"/>
  <c r="H300" i="88"/>
  <c r="I300" i="88" s="1"/>
  <c r="F300" i="88"/>
  <c r="G299" i="88"/>
  <c r="N328" i="88"/>
  <c r="O327" i="88"/>
  <c r="J299" i="88"/>
  <c r="K298" i="88"/>
  <c r="P298" i="88" s="1"/>
  <c r="G297" i="110"/>
  <c r="K297" i="110" s="1"/>
  <c r="P297" i="110" s="1"/>
  <c r="H298" i="110"/>
  <c r="I298" i="110" s="1"/>
  <c r="J298" i="110" s="1"/>
  <c r="L297" i="110"/>
  <c r="F298" i="110"/>
  <c r="V321" i="114"/>
  <c r="W321" i="114" s="1"/>
  <c r="J323" i="114"/>
  <c r="Y323" i="114" s="1"/>
  <c r="K323" i="114"/>
  <c r="I324" i="114"/>
  <c r="L322" i="114"/>
  <c r="M322" i="114" s="1"/>
  <c r="U322" i="114" s="1"/>
  <c r="X322" i="114" s="1"/>
  <c r="P322" i="114"/>
  <c r="G325" i="114"/>
  <c r="F326" i="114"/>
  <c r="F211" i="113"/>
  <c r="I181" i="113"/>
  <c r="K179" i="112"/>
  <c r="I180" i="112" s="1"/>
  <c r="C182" i="113" s="1"/>
  <c r="H182" i="113" s="1"/>
  <c r="B182" i="113" s="1"/>
  <c r="O180" i="113"/>
  <c r="P180" i="113" s="1"/>
  <c r="S300" i="88" l="1"/>
  <c r="H301" i="88"/>
  <c r="I301" i="88" s="1"/>
  <c r="F301" i="88"/>
  <c r="L300" i="88"/>
  <c r="G300" i="88"/>
  <c r="N329" i="88"/>
  <c r="O328" i="88"/>
  <c r="J300" i="88"/>
  <c r="K299" i="88"/>
  <c r="P299" i="88" s="1"/>
  <c r="H299" i="110"/>
  <c r="I299" i="110" s="1"/>
  <c r="J299" i="110" s="1"/>
  <c r="L298" i="110"/>
  <c r="G298" i="110"/>
  <c r="K298" i="110" s="1"/>
  <c r="P298" i="110" s="1"/>
  <c r="F299" i="110"/>
  <c r="V322" i="114"/>
  <c r="W322" i="114" s="1"/>
  <c r="J324" i="114"/>
  <c r="Y324" i="114" s="1"/>
  <c r="K324" i="114"/>
  <c r="I325" i="114"/>
  <c r="L323" i="114"/>
  <c r="M323" i="114" s="1"/>
  <c r="U323" i="114" s="1"/>
  <c r="X323" i="114" s="1"/>
  <c r="P323" i="114"/>
  <c r="G326" i="114"/>
  <c r="F327" i="114"/>
  <c r="S301" i="88"/>
  <c r="J180" i="112"/>
  <c r="K180" i="112" s="1"/>
  <c r="I181" i="112" s="1"/>
  <c r="C183" i="113" s="1"/>
  <c r="H183" i="113" s="1"/>
  <c r="B183" i="113" s="1"/>
  <c r="Q180" i="113"/>
  <c r="L181" i="113"/>
  <c r="J181" i="113"/>
  <c r="G211" i="113"/>
  <c r="N330" i="88" l="1"/>
  <c r="O330" i="88" s="1"/>
  <c r="O329" i="88"/>
  <c r="F302" i="88"/>
  <c r="L301" i="88"/>
  <c r="H302" i="88"/>
  <c r="I302" i="88" s="1"/>
  <c r="G301" i="88"/>
  <c r="K300" i="88"/>
  <c r="P300" i="88" s="1"/>
  <c r="J301" i="88"/>
  <c r="L299" i="110"/>
  <c r="F300" i="110"/>
  <c r="G299" i="110"/>
  <c r="K299" i="110" s="1"/>
  <c r="P299" i="110" s="1"/>
  <c r="H300" i="110"/>
  <c r="I300" i="110" s="1"/>
  <c r="J300" i="110" s="1"/>
  <c r="V323" i="114"/>
  <c r="W323" i="114" s="1"/>
  <c r="J325" i="114"/>
  <c r="Y325" i="114" s="1"/>
  <c r="K325" i="114"/>
  <c r="I326" i="114"/>
  <c r="P324" i="114"/>
  <c r="L324" i="114"/>
  <c r="M324" i="114" s="1"/>
  <c r="U324" i="114" s="1"/>
  <c r="X324" i="114" s="1"/>
  <c r="F328" i="114"/>
  <c r="G327" i="114"/>
  <c r="S302" i="88"/>
  <c r="J181" i="112"/>
  <c r="K181" i="112" s="1"/>
  <c r="I182" i="112" s="1"/>
  <c r="C184" i="113" s="1"/>
  <c r="H184" i="113" s="1"/>
  <c r="B184" i="113" s="1"/>
  <c r="M181" i="113"/>
  <c r="I182" i="113"/>
  <c r="J182" i="113" s="1"/>
  <c r="F212" i="113"/>
  <c r="G212" i="113" s="1"/>
  <c r="O181" i="113"/>
  <c r="P181" i="113" s="1"/>
  <c r="K301" i="88" l="1"/>
  <c r="P301" i="88" s="1"/>
  <c r="L302" i="88"/>
  <c r="H303" i="88"/>
  <c r="I303" i="88" s="1"/>
  <c r="F303" i="88"/>
  <c r="G302" i="88"/>
  <c r="J302" i="88"/>
  <c r="H301" i="110"/>
  <c r="I301" i="110" s="1"/>
  <c r="J301" i="110" s="1"/>
  <c r="L300" i="110"/>
  <c r="G300" i="110"/>
  <c r="K300" i="110" s="1"/>
  <c r="P300" i="110" s="1"/>
  <c r="F301" i="110"/>
  <c r="V324" i="114"/>
  <c r="W324" i="114" s="1"/>
  <c r="J326" i="114"/>
  <c r="Y326" i="114" s="1"/>
  <c r="K326" i="114"/>
  <c r="I327" i="114"/>
  <c r="P325" i="114"/>
  <c r="L325" i="114"/>
  <c r="M325" i="114" s="1"/>
  <c r="U325" i="114" s="1"/>
  <c r="X325" i="114" s="1"/>
  <c r="F329" i="114"/>
  <c r="G328" i="114"/>
  <c r="S303" i="88"/>
  <c r="F213" i="113"/>
  <c r="G213" i="113" s="1"/>
  <c r="I183" i="113"/>
  <c r="Q181" i="113"/>
  <c r="J182" i="112"/>
  <c r="L182" i="113"/>
  <c r="O182" i="113" s="1"/>
  <c r="P182" i="113" s="1"/>
  <c r="K302" i="88" l="1"/>
  <c r="P302" i="88" s="1"/>
  <c r="F304" i="88"/>
  <c r="L303" i="88"/>
  <c r="H304" i="88"/>
  <c r="I304" i="88" s="1"/>
  <c r="G303" i="88"/>
  <c r="J303" i="88"/>
  <c r="G301" i="110"/>
  <c r="K301" i="110" s="1"/>
  <c r="P301" i="110" s="1"/>
  <c r="F302" i="110"/>
  <c r="L301" i="110"/>
  <c r="H302" i="110"/>
  <c r="I302" i="110" s="1"/>
  <c r="J302" i="110" s="1"/>
  <c r="V325" i="114"/>
  <c r="W325" i="114" s="1"/>
  <c r="I328" i="114"/>
  <c r="J327" i="114"/>
  <c r="Y327" i="114" s="1"/>
  <c r="K327" i="114"/>
  <c r="L326" i="114"/>
  <c r="M326" i="114" s="1"/>
  <c r="U326" i="114" s="1"/>
  <c r="X326" i="114" s="1"/>
  <c r="P326" i="114"/>
  <c r="F330" i="114"/>
  <c r="G329" i="114"/>
  <c r="S304" i="88"/>
  <c r="Q182" i="113"/>
  <c r="L183" i="113"/>
  <c r="F214" i="113"/>
  <c r="K182" i="112"/>
  <c r="I183" i="112" s="1"/>
  <c r="C185" i="113" s="1"/>
  <c r="H185" i="113" s="1"/>
  <c r="B185" i="113" s="1"/>
  <c r="M182" i="113"/>
  <c r="J183" i="113"/>
  <c r="J304" i="88" l="1"/>
  <c r="K303" i="88"/>
  <c r="P303" i="88" s="1"/>
  <c r="F305" i="88"/>
  <c r="L304" i="88"/>
  <c r="H305" i="88"/>
  <c r="I305" i="88" s="1"/>
  <c r="G304" i="88"/>
  <c r="H303" i="110"/>
  <c r="I303" i="110" s="1"/>
  <c r="J303" i="110" s="1"/>
  <c r="L302" i="110"/>
  <c r="G302" i="110"/>
  <c r="K302" i="110" s="1"/>
  <c r="P302" i="110" s="1"/>
  <c r="F303" i="110"/>
  <c r="V326" i="114"/>
  <c r="W326" i="114" s="1"/>
  <c r="K328" i="114"/>
  <c r="I329" i="114"/>
  <c r="J328" i="114"/>
  <c r="Y328" i="114" s="1"/>
  <c r="L327" i="114"/>
  <c r="M327" i="114" s="1"/>
  <c r="U327" i="114" s="1"/>
  <c r="X327" i="114" s="1"/>
  <c r="P327" i="114"/>
  <c r="G330" i="114"/>
  <c r="F331" i="114"/>
  <c r="S305" i="88"/>
  <c r="M183" i="113"/>
  <c r="I184" i="113"/>
  <c r="J183" i="112"/>
  <c r="G214" i="113"/>
  <c r="O183" i="113"/>
  <c r="P183" i="113" s="1"/>
  <c r="J305" i="88" l="1"/>
  <c r="K304" i="88"/>
  <c r="P304" i="88" s="1"/>
  <c r="L305" i="88"/>
  <c r="H306" i="88"/>
  <c r="I306" i="88" s="1"/>
  <c r="F306" i="88"/>
  <c r="G305" i="88"/>
  <c r="H304" i="110"/>
  <c r="I304" i="110" s="1"/>
  <c r="J304" i="110" s="1"/>
  <c r="G303" i="110"/>
  <c r="K303" i="110" s="1"/>
  <c r="P303" i="110" s="1"/>
  <c r="F304" i="110"/>
  <c r="L303" i="110"/>
  <c r="V327" i="114"/>
  <c r="W327" i="114" s="1"/>
  <c r="L328" i="114"/>
  <c r="M328" i="114" s="1"/>
  <c r="U328" i="114" s="1"/>
  <c r="X328" i="114" s="1"/>
  <c r="P328" i="114"/>
  <c r="K329" i="114"/>
  <c r="I330" i="114"/>
  <c r="J329" i="114"/>
  <c r="Y329" i="114" s="1"/>
  <c r="G331" i="114"/>
  <c r="F332" i="114"/>
  <c r="S306" i="88"/>
  <c r="Q183" i="113"/>
  <c r="L184" i="113"/>
  <c r="O184" i="113" s="1"/>
  <c r="P184" i="113" s="1"/>
  <c r="F215" i="113"/>
  <c r="G215" i="113" s="1"/>
  <c r="K183" i="112"/>
  <c r="I184" i="112" s="1"/>
  <c r="C186" i="113" s="1"/>
  <c r="H186" i="113" s="1"/>
  <c r="B186" i="113" s="1"/>
  <c r="J184" i="113"/>
  <c r="J306" i="88" l="1"/>
  <c r="L306" i="88"/>
  <c r="H307" i="88"/>
  <c r="I307" i="88" s="1"/>
  <c r="F307" i="88"/>
  <c r="G306" i="88"/>
  <c r="K306" i="88" s="1"/>
  <c r="P306" i="88" s="1"/>
  <c r="K305" i="88"/>
  <c r="P305" i="88" s="1"/>
  <c r="L304" i="110"/>
  <c r="G304" i="110"/>
  <c r="K304" i="110" s="1"/>
  <c r="P304" i="110" s="1"/>
  <c r="F305" i="110"/>
  <c r="H305" i="110"/>
  <c r="I305" i="110" s="1"/>
  <c r="J305" i="110" s="1"/>
  <c r="V328" i="114"/>
  <c r="W328" i="114" s="1"/>
  <c r="I331" i="114"/>
  <c r="J330" i="114"/>
  <c r="Y330" i="114" s="1"/>
  <c r="K330" i="114"/>
  <c r="L329" i="114"/>
  <c r="M329" i="114" s="1"/>
  <c r="U329" i="114" s="1"/>
  <c r="X329" i="114" s="1"/>
  <c r="P329" i="114"/>
  <c r="F333" i="114"/>
  <c r="G332" i="114"/>
  <c r="S307" i="88"/>
  <c r="Q184" i="113"/>
  <c r="I185" i="113"/>
  <c r="J185" i="113" s="1"/>
  <c r="F216" i="113"/>
  <c r="J184" i="112"/>
  <c r="M184" i="113"/>
  <c r="J307" i="88" l="1"/>
  <c r="H308" i="88"/>
  <c r="I308" i="88" s="1"/>
  <c r="F308" i="88"/>
  <c r="L307" i="88"/>
  <c r="G307" i="88"/>
  <c r="K307" i="88" s="1"/>
  <c r="P307" i="88" s="1"/>
  <c r="F306" i="110"/>
  <c r="L305" i="110"/>
  <c r="H306" i="110"/>
  <c r="I306" i="110" s="1"/>
  <c r="J306" i="110" s="1"/>
  <c r="G305" i="110"/>
  <c r="K305" i="110" s="1"/>
  <c r="P305" i="110" s="1"/>
  <c r="V329" i="114"/>
  <c r="W329" i="114" s="1"/>
  <c r="I332" i="114"/>
  <c r="J331" i="114"/>
  <c r="Y331" i="114" s="1"/>
  <c r="K331" i="114"/>
  <c r="P330" i="114"/>
  <c r="L330" i="114"/>
  <c r="M330" i="114" s="1"/>
  <c r="U330" i="114" s="1"/>
  <c r="X330" i="114" s="1"/>
  <c r="F334" i="114"/>
  <c r="G333" i="114"/>
  <c r="S308" i="88"/>
  <c r="I186" i="113"/>
  <c r="J186" i="113" s="1"/>
  <c r="K184" i="112"/>
  <c r="I185" i="112" s="1"/>
  <c r="C187" i="113" s="1"/>
  <c r="H187" i="113" s="1"/>
  <c r="B187" i="113" s="1"/>
  <c r="G216" i="113"/>
  <c r="L185" i="113"/>
  <c r="O185" i="113" s="1"/>
  <c r="P185" i="113" s="1"/>
  <c r="L308" i="88" l="1"/>
  <c r="H309" i="88"/>
  <c r="I309" i="88" s="1"/>
  <c r="F309" i="88"/>
  <c r="G308" i="88"/>
  <c r="J308" i="88"/>
  <c r="G306" i="110"/>
  <c r="K306" i="110" s="1"/>
  <c r="P306" i="110" s="1"/>
  <c r="F307" i="110"/>
  <c r="H307" i="110"/>
  <c r="I307" i="110" s="1"/>
  <c r="J307" i="110" s="1"/>
  <c r="L306" i="110"/>
  <c r="V330" i="114"/>
  <c r="W330" i="114" s="1"/>
  <c r="I333" i="114"/>
  <c r="J332" i="114"/>
  <c r="Y332" i="114" s="1"/>
  <c r="K332" i="114"/>
  <c r="L331" i="114"/>
  <c r="M331" i="114" s="1"/>
  <c r="U331" i="114" s="1"/>
  <c r="X331" i="114" s="1"/>
  <c r="P331" i="114"/>
  <c r="F335" i="114"/>
  <c r="G334" i="114"/>
  <c r="S309" i="88"/>
  <c r="I187" i="113"/>
  <c r="J187" i="113" s="1"/>
  <c r="Q185" i="113"/>
  <c r="F217" i="113"/>
  <c r="J185" i="112"/>
  <c r="M185" i="113"/>
  <c r="L186" i="113"/>
  <c r="O186" i="113" s="1"/>
  <c r="P186" i="113" s="1"/>
  <c r="F310" i="88" l="1"/>
  <c r="L309" i="88"/>
  <c r="H310" i="88"/>
  <c r="I310" i="88" s="1"/>
  <c r="G309" i="88"/>
  <c r="J309" i="88"/>
  <c r="K308" i="88"/>
  <c r="P308" i="88" s="1"/>
  <c r="F308" i="110"/>
  <c r="H308" i="110"/>
  <c r="I308" i="110" s="1"/>
  <c r="J308" i="110" s="1"/>
  <c r="G307" i="110"/>
  <c r="K307" i="110" s="1"/>
  <c r="P307" i="110" s="1"/>
  <c r="L307" i="110"/>
  <c r="V331" i="114"/>
  <c r="W331" i="114" s="1"/>
  <c r="I334" i="114"/>
  <c r="J333" i="114"/>
  <c r="Y333" i="114" s="1"/>
  <c r="K333" i="114"/>
  <c r="P332" i="114"/>
  <c r="L332" i="114"/>
  <c r="M332" i="114" s="1"/>
  <c r="U332" i="114" s="1"/>
  <c r="X332" i="114" s="1"/>
  <c r="F336" i="114"/>
  <c r="G335" i="114"/>
  <c r="S310" i="88"/>
  <c r="Q186" i="113"/>
  <c r="M186" i="113"/>
  <c r="K185" i="112"/>
  <c r="I186" i="112" s="1"/>
  <c r="C188" i="113" s="1"/>
  <c r="H188" i="113" s="1"/>
  <c r="B188" i="113" s="1"/>
  <c r="G217" i="113"/>
  <c r="L187" i="113"/>
  <c r="O187" i="113" s="1"/>
  <c r="P187" i="113" s="1"/>
  <c r="J310" i="88" l="1"/>
  <c r="K309" i="88"/>
  <c r="P309" i="88" s="1"/>
  <c r="H311" i="88"/>
  <c r="I311" i="88" s="1"/>
  <c r="F311" i="88"/>
  <c r="L310" i="88"/>
  <c r="G310" i="88"/>
  <c r="F309" i="110"/>
  <c r="G308" i="110"/>
  <c r="K308" i="110" s="1"/>
  <c r="P308" i="110" s="1"/>
  <c r="L308" i="110"/>
  <c r="H309" i="110"/>
  <c r="I309" i="110" s="1"/>
  <c r="J309" i="110" s="1"/>
  <c r="V332" i="114"/>
  <c r="W332" i="114" s="1"/>
  <c r="I335" i="114"/>
  <c r="J334" i="114"/>
  <c r="Y334" i="114" s="1"/>
  <c r="K334" i="114"/>
  <c r="P333" i="114"/>
  <c r="L333" i="114"/>
  <c r="M333" i="114" s="1"/>
  <c r="U333" i="114" s="1"/>
  <c r="X333" i="114" s="1"/>
  <c r="F337" i="114"/>
  <c r="G336" i="114"/>
  <c r="S311" i="88"/>
  <c r="I188" i="113"/>
  <c r="J188" i="113" s="1"/>
  <c r="J186" i="112"/>
  <c r="K186" i="112" s="1"/>
  <c r="I187" i="112" s="1"/>
  <c r="C189" i="113" s="1"/>
  <c r="H189" i="113" s="1"/>
  <c r="B189" i="113" s="1"/>
  <c r="Q187" i="113"/>
  <c r="F218" i="113"/>
  <c r="G218" i="113" s="1"/>
  <c r="M187" i="113"/>
  <c r="J311" i="88" l="1"/>
  <c r="F312" i="88"/>
  <c r="L311" i="88"/>
  <c r="H312" i="88"/>
  <c r="I312" i="88" s="1"/>
  <c r="G311" i="88"/>
  <c r="K311" i="88" s="1"/>
  <c r="P311" i="88" s="1"/>
  <c r="K310" i="88"/>
  <c r="P310" i="88" s="1"/>
  <c r="L309" i="110"/>
  <c r="H310" i="110"/>
  <c r="I310" i="110" s="1"/>
  <c r="J310" i="110" s="1"/>
  <c r="G309" i="110"/>
  <c r="K309" i="110" s="1"/>
  <c r="P309" i="110" s="1"/>
  <c r="F310" i="110"/>
  <c r="L188" i="113"/>
  <c r="O188" i="113" s="1"/>
  <c r="P188" i="113" s="1"/>
  <c r="Q188" i="113" s="1"/>
  <c r="V333" i="114"/>
  <c r="W333" i="114" s="1"/>
  <c r="J335" i="114"/>
  <c r="Y335" i="114" s="1"/>
  <c r="I336" i="114"/>
  <c r="K335" i="114"/>
  <c r="L334" i="114"/>
  <c r="M334" i="114" s="1"/>
  <c r="U334" i="114" s="1"/>
  <c r="X334" i="114" s="1"/>
  <c r="P334" i="114"/>
  <c r="G337" i="114"/>
  <c r="F338" i="114"/>
  <c r="S312" i="88"/>
  <c r="J187" i="112"/>
  <c r="K187" i="112" s="1"/>
  <c r="I188" i="112" s="1"/>
  <c r="C190" i="113" s="1"/>
  <c r="H190" i="113" s="1"/>
  <c r="B190" i="113" s="1"/>
  <c r="F219" i="113"/>
  <c r="I189" i="113"/>
  <c r="J312" i="88" l="1"/>
  <c r="F313" i="88"/>
  <c r="L312" i="88"/>
  <c r="H313" i="88"/>
  <c r="I313" i="88" s="1"/>
  <c r="G312" i="88"/>
  <c r="K312" i="88" s="1"/>
  <c r="P312" i="88" s="1"/>
  <c r="L310" i="110"/>
  <c r="H311" i="110"/>
  <c r="I311" i="110" s="1"/>
  <c r="J311" i="110" s="1"/>
  <c r="G310" i="110"/>
  <c r="K310" i="110" s="1"/>
  <c r="P310" i="110" s="1"/>
  <c r="F311" i="110"/>
  <c r="M188" i="113"/>
  <c r="V334" i="114"/>
  <c r="W334" i="114" s="1"/>
  <c r="L335" i="114"/>
  <c r="M335" i="114" s="1"/>
  <c r="U335" i="114" s="1"/>
  <c r="X335" i="114" s="1"/>
  <c r="P335" i="114"/>
  <c r="J336" i="114"/>
  <c r="Y336" i="114" s="1"/>
  <c r="K336" i="114"/>
  <c r="I337" i="114"/>
  <c r="G338" i="114"/>
  <c r="F339" i="114"/>
  <c r="S313" i="88"/>
  <c r="L189" i="113"/>
  <c r="O189" i="113" s="1"/>
  <c r="P189" i="113" s="1"/>
  <c r="J189" i="113"/>
  <c r="J188" i="112"/>
  <c r="G219" i="113"/>
  <c r="H314" i="88" l="1"/>
  <c r="I314" i="88" s="1"/>
  <c r="F314" i="88"/>
  <c r="L313" i="88"/>
  <c r="G313" i="88"/>
  <c r="J313" i="88"/>
  <c r="H312" i="110"/>
  <c r="I312" i="110" s="1"/>
  <c r="J312" i="110" s="1"/>
  <c r="F312" i="110"/>
  <c r="L311" i="110"/>
  <c r="G311" i="110"/>
  <c r="K311" i="110" s="1"/>
  <c r="P311" i="110" s="1"/>
  <c r="V335" i="114"/>
  <c r="W335" i="114" s="1"/>
  <c r="I338" i="114"/>
  <c r="J337" i="114"/>
  <c r="Y337" i="114" s="1"/>
  <c r="K337" i="114"/>
  <c r="L336" i="114"/>
  <c r="M336" i="114" s="1"/>
  <c r="U336" i="114" s="1"/>
  <c r="X336" i="114" s="1"/>
  <c r="P336" i="114"/>
  <c r="G339" i="114"/>
  <c r="F340" i="114"/>
  <c r="S314" i="88"/>
  <c r="F220" i="113"/>
  <c r="Q189" i="113"/>
  <c r="I190" i="113"/>
  <c r="J190" i="113" s="1"/>
  <c r="K188" i="112"/>
  <c r="I189" i="112" s="1"/>
  <c r="C191" i="113" s="1"/>
  <c r="H191" i="113" s="1"/>
  <c r="B191" i="113" s="1"/>
  <c r="M189" i="113"/>
  <c r="L314" i="88" l="1"/>
  <c r="H315" i="88"/>
  <c r="I315" i="88" s="1"/>
  <c r="F315" i="88"/>
  <c r="G314" i="88"/>
  <c r="K313" i="88"/>
  <c r="P313" i="88" s="1"/>
  <c r="J314" i="88"/>
  <c r="F313" i="110"/>
  <c r="G312" i="110"/>
  <c r="K312" i="110" s="1"/>
  <c r="P312" i="110" s="1"/>
  <c r="H313" i="110"/>
  <c r="I313" i="110" s="1"/>
  <c r="J313" i="110" s="1"/>
  <c r="L312" i="110"/>
  <c r="V336" i="114"/>
  <c r="W336" i="114" s="1"/>
  <c r="K338" i="114"/>
  <c r="I339" i="114"/>
  <c r="J338" i="114"/>
  <c r="Y338" i="114" s="1"/>
  <c r="P337" i="114"/>
  <c r="L337" i="114"/>
  <c r="M337" i="114" s="1"/>
  <c r="U337" i="114" s="1"/>
  <c r="X337" i="114" s="1"/>
  <c r="F341" i="114"/>
  <c r="G340" i="114"/>
  <c r="I191" i="113"/>
  <c r="J191" i="113" s="1"/>
  <c r="J189" i="112"/>
  <c r="L190" i="113"/>
  <c r="M190" i="113" s="1"/>
  <c r="G220" i="113"/>
  <c r="J315" i="88" l="1"/>
  <c r="L315" i="88"/>
  <c r="H316" i="88"/>
  <c r="I316" i="88" s="1"/>
  <c r="F316" i="88"/>
  <c r="G315" i="88"/>
  <c r="K315" i="88" s="1"/>
  <c r="P315" i="88" s="1"/>
  <c r="S315" i="88"/>
  <c r="K314" i="88"/>
  <c r="P314" i="88" s="1"/>
  <c r="L313" i="110"/>
  <c r="F314" i="110"/>
  <c r="G313" i="110"/>
  <c r="K313" i="110" s="1"/>
  <c r="P313" i="110" s="1"/>
  <c r="H314" i="110"/>
  <c r="I314" i="110" s="1"/>
  <c r="J314" i="110" s="1"/>
  <c r="V337" i="114"/>
  <c r="W337" i="114" s="1"/>
  <c r="L338" i="114"/>
  <c r="M338" i="114" s="1"/>
  <c r="U338" i="114" s="1"/>
  <c r="X338" i="114" s="1"/>
  <c r="P338" i="114"/>
  <c r="K339" i="114"/>
  <c r="I340" i="114"/>
  <c r="J339" i="114"/>
  <c r="Y339" i="114" s="1"/>
  <c r="G341" i="114"/>
  <c r="F342" i="114"/>
  <c r="O190" i="113"/>
  <c r="P190" i="113" s="1"/>
  <c r="F221" i="113"/>
  <c r="K189" i="112"/>
  <c r="I190" i="112" s="1"/>
  <c r="C192" i="113" s="1"/>
  <c r="H192" i="113" s="1"/>
  <c r="B192" i="113" s="1"/>
  <c r="L191" i="113"/>
  <c r="O191" i="113" s="1"/>
  <c r="J316" i="88" l="1"/>
  <c r="S316" i="88"/>
  <c r="H317" i="88"/>
  <c r="I317" i="88" s="1"/>
  <c r="F317" i="88"/>
  <c r="L316" i="88"/>
  <c r="G316" i="88"/>
  <c r="K316" i="88" s="1"/>
  <c r="P316" i="88" s="1"/>
  <c r="F315" i="110"/>
  <c r="L314" i="110"/>
  <c r="H315" i="110"/>
  <c r="I315" i="110" s="1"/>
  <c r="J315" i="110" s="1"/>
  <c r="G314" i="110"/>
  <c r="K314" i="110" s="1"/>
  <c r="P314" i="110" s="1"/>
  <c r="V338" i="114"/>
  <c r="W338" i="114" s="1"/>
  <c r="K340" i="114"/>
  <c r="I341" i="114"/>
  <c r="J340" i="114"/>
  <c r="Y340" i="114" s="1"/>
  <c r="L339" i="114"/>
  <c r="M339" i="114" s="1"/>
  <c r="U339" i="114" s="1"/>
  <c r="X339" i="114" s="1"/>
  <c r="P339" i="114"/>
  <c r="G342" i="114"/>
  <c r="F343" i="114"/>
  <c r="I192" i="113"/>
  <c r="J192" i="113" s="1"/>
  <c r="J190" i="112"/>
  <c r="G221" i="113"/>
  <c r="P191" i="113"/>
  <c r="Q190" i="113"/>
  <c r="M191" i="113"/>
  <c r="J317" i="88" l="1"/>
  <c r="S317" i="88"/>
  <c r="L317" i="88"/>
  <c r="H318" i="88"/>
  <c r="I318" i="88" s="1"/>
  <c r="F318" i="88"/>
  <c r="G317" i="88"/>
  <c r="K317" i="88" s="1"/>
  <c r="P317" i="88" s="1"/>
  <c r="G315" i="110"/>
  <c r="K315" i="110" s="1"/>
  <c r="P315" i="110" s="1"/>
  <c r="F316" i="110"/>
  <c r="L315" i="110"/>
  <c r="H316" i="110"/>
  <c r="I316" i="110" s="1"/>
  <c r="J316" i="110" s="1"/>
  <c r="V339" i="114"/>
  <c r="W339" i="114" s="1"/>
  <c r="L340" i="114"/>
  <c r="M340" i="114" s="1"/>
  <c r="U340" i="114" s="1"/>
  <c r="X340" i="114" s="1"/>
  <c r="P340" i="114"/>
  <c r="J341" i="114"/>
  <c r="Y341" i="114" s="1"/>
  <c r="I342" i="114"/>
  <c r="K341" i="114"/>
  <c r="G343" i="114"/>
  <c r="F344" i="114"/>
  <c r="S318" i="88"/>
  <c r="F222" i="113"/>
  <c r="Q191" i="113"/>
  <c r="K190" i="112"/>
  <c r="I191" i="112" s="1"/>
  <c r="C193" i="113" s="1"/>
  <c r="H193" i="113" s="1"/>
  <c r="B193" i="113" s="1"/>
  <c r="L192" i="113"/>
  <c r="F319" i="88" l="1"/>
  <c r="L318" i="88"/>
  <c r="H319" i="88" s="1"/>
  <c r="H320" i="88" s="1"/>
  <c r="H321" i="88" s="1"/>
  <c r="H322" i="88" s="1"/>
  <c r="H323" i="88" s="1"/>
  <c r="H324" i="88" s="1"/>
  <c r="H325" i="88" s="1"/>
  <c r="H326" i="88" s="1"/>
  <c r="H327" i="88" s="1"/>
  <c r="H328" i="88" s="1"/>
  <c r="H329" i="88" s="1"/>
  <c r="H330" i="88" s="1"/>
  <c r="G318" i="88"/>
  <c r="J318" i="88"/>
  <c r="L316" i="110"/>
  <c r="G316" i="110"/>
  <c r="K316" i="110" s="1"/>
  <c r="P316" i="110" s="1"/>
  <c r="H317" i="110"/>
  <c r="I317" i="110" s="1"/>
  <c r="J317" i="110" s="1"/>
  <c r="F317" i="110"/>
  <c r="V340" i="114"/>
  <c r="W340" i="114" s="1"/>
  <c r="P341" i="114"/>
  <c r="L341" i="114"/>
  <c r="M341" i="114" s="1"/>
  <c r="U341" i="114" s="1"/>
  <c r="X341" i="114" s="1"/>
  <c r="I343" i="114"/>
  <c r="K342" i="114"/>
  <c r="J342" i="114"/>
  <c r="Y342" i="114" s="1"/>
  <c r="F345" i="114"/>
  <c r="G344" i="114"/>
  <c r="O192" i="113"/>
  <c r="P192" i="113" s="1"/>
  <c r="J191" i="112"/>
  <c r="G222" i="113"/>
  <c r="I193" i="113"/>
  <c r="M192" i="113"/>
  <c r="K318" i="88" l="1"/>
  <c r="P318" i="88" s="1"/>
  <c r="I319" i="88"/>
  <c r="L319" i="88"/>
  <c r="F320" i="88"/>
  <c r="G319" i="88"/>
  <c r="F318" i="110"/>
  <c r="G317" i="110"/>
  <c r="K317" i="110" s="1"/>
  <c r="P317" i="110" s="1"/>
  <c r="H318" i="110"/>
  <c r="I318" i="110" s="1"/>
  <c r="L317" i="110"/>
  <c r="V341" i="114"/>
  <c r="W341" i="114" s="1"/>
  <c r="P342" i="114"/>
  <c r="L342" i="114"/>
  <c r="M342" i="114" s="1"/>
  <c r="U342" i="114" s="1"/>
  <c r="X342" i="114" s="1"/>
  <c r="I344" i="114"/>
  <c r="J343" i="114"/>
  <c r="Y343" i="114" s="1"/>
  <c r="K343" i="114"/>
  <c r="G345" i="114"/>
  <c r="F346" i="114"/>
  <c r="F223" i="113"/>
  <c r="K191" i="112"/>
  <c r="I192" i="112" s="1"/>
  <c r="C194" i="113" s="1"/>
  <c r="H194" i="113" s="1"/>
  <c r="B194" i="113" s="1"/>
  <c r="L193" i="113"/>
  <c r="O193" i="113" s="1"/>
  <c r="P193" i="113" s="1"/>
  <c r="Q192" i="113"/>
  <c r="J193" i="113"/>
  <c r="F321" i="88" l="1"/>
  <c r="G320" i="88"/>
  <c r="I320" i="88"/>
  <c r="L320" i="88" s="1"/>
  <c r="J319" i="88"/>
  <c r="K319" i="88" s="1"/>
  <c r="P319" i="88" s="1"/>
  <c r="J318" i="110"/>
  <c r="G318" i="110"/>
  <c r="L318" i="110"/>
  <c r="H319" i="110" s="1"/>
  <c r="H320" i="110" s="1"/>
  <c r="H321" i="110" s="1"/>
  <c r="H322" i="110" s="1"/>
  <c r="H323" i="110" s="1"/>
  <c r="H324" i="110" s="1"/>
  <c r="H325" i="110" s="1"/>
  <c r="H326" i="110" s="1"/>
  <c r="H327" i="110" s="1"/>
  <c r="H328" i="110" s="1"/>
  <c r="H329" i="110" s="1"/>
  <c r="H330" i="110" s="1"/>
  <c r="H331" i="110" s="1"/>
  <c r="F319" i="110"/>
  <c r="V342" i="114"/>
  <c r="W342" i="114" s="1"/>
  <c r="L343" i="114"/>
  <c r="M343" i="114" s="1"/>
  <c r="U343" i="114" s="1"/>
  <c r="X343" i="114" s="1"/>
  <c r="P343" i="114"/>
  <c r="K344" i="114"/>
  <c r="I345" i="114"/>
  <c r="J344" i="114"/>
  <c r="Y344" i="114" s="1"/>
  <c r="G346" i="114"/>
  <c r="F347" i="114"/>
  <c r="S319" i="88"/>
  <c r="Q193" i="113"/>
  <c r="I194" i="113"/>
  <c r="J194" i="113" s="1"/>
  <c r="J192" i="112"/>
  <c r="M193" i="113"/>
  <c r="G223" i="113"/>
  <c r="F322" i="88" l="1"/>
  <c r="G321" i="88"/>
  <c r="I321" i="88"/>
  <c r="L321" i="88" s="1"/>
  <c r="J320" i="88"/>
  <c r="K320" i="88" s="1"/>
  <c r="P320" i="88" s="1"/>
  <c r="K318" i="110"/>
  <c r="P318" i="110" s="1"/>
  <c r="I319" i="110"/>
  <c r="L319" i="110" s="1"/>
  <c r="G319" i="110"/>
  <c r="F320" i="110"/>
  <c r="V343" i="114"/>
  <c r="W343" i="114" s="1"/>
  <c r="J345" i="114"/>
  <c r="Y345" i="114" s="1"/>
  <c r="I346" i="114"/>
  <c r="K345" i="114"/>
  <c r="P344" i="114"/>
  <c r="L344" i="114"/>
  <c r="M344" i="114" s="1"/>
  <c r="U344" i="114" s="1"/>
  <c r="X344" i="114" s="1"/>
  <c r="G347" i="114"/>
  <c r="F348" i="114"/>
  <c r="S320" i="88"/>
  <c r="F224" i="113"/>
  <c r="K192" i="112"/>
  <c r="I193" i="112" s="1"/>
  <c r="C195" i="113" s="1"/>
  <c r="H195" i="113" s="1"/>
  <c r="B195" i="113" s="1"/>
  <c r="L194" i="113"/>
  <c r="O194" i="113" s="1"/>
  <c r="P194" i="113" s="1"/>
  <c r="F323" i="88" l="1"/>
  <c r="G322" i="88"/>
  <c r="I322" i="88"/>
  <c r="L322" i="88" s="1"/>
  <c r="J321" i="88"/>
  <c r="K321" i="88" s="1"/>
  <c r="P321" i="88" s="1"/>
  <c r="G320" i="110"/>
  <c r="F321" i="110"/>
  <c r="I320" i="110"/>
  <c r="J319" i="110"/>
  <c r="K319" i="110" s="1"/>
  <c r="P319" i="110" s="1"/>
  <c r="V344" i="114"/>
  <c r="W344" i="114" s="1"/>
  <c r="L345" i="114"/>
  <c r="M345" i="114" s="1"/>
  <c r="U345" i="114" s="1"/>
  <c r="X345" i="114" s="1"/>
  <c r="P345" i="114"/>
  <c r="I347" i="114"/>
  <c r="J346" i="114"/>
  <c r="Y346" i="114" s="1"/>
  <c r="K346" i="114"/>
  <c r="F349" i="114"/>
  <c r="G348" i="114"/>
  <c r="S321" i="88"/>
  <c r="Q194" i="113"/>
  <c r="J193" i="112"/>
  <c r="I195" i="113"/>
  <c r="M194" i="113"/>
  <c r="G224" i="113"/>
  <c r="F324" i="88" l="1"/>
  <c r="G323" i="88"/>
  <c r="I323" i="88"/>
  <c r="L323" i="88" s="1"/>
  <c r="J322" i="88"/>
  <c r="K322" i="88" s="1"/>
  <c r="P322" i="88" s="1"/>
  <c r="F322" i="110"/>
  <c r="G321" i="110"/>
  <c r="I321" i="110"/>
  <c r="J320" i="110"/>
  <c r="K320" i="110" s="1"/>
  <c r="P320" i="110" s="1"/>
  <c r="L320" i="110"/>
  <c r="V345" i="114"/>
  <c r="W345" i="114" s="1"/>
  <c r="J347" i="114"/>
  <c r="Y347" i="114" s="1"/>
  <c r="I348" i="114"/>
  <c r="K347" i="114"/>
  <c r="P346" i="114"/>
  <c r="L346" i="114"/>
  <c r="M346" i="114" s="1"/>
  <c r="U346" i="114" s="1"/>
  <c r="X346" i="114" s="1"/>
  <c r="G349" i="114"/>
  <c r="F350" i="114"/>
  <c r="S322" i="88"/>
  <c r="K193" i="112"/>
  <c r="I194" i="112" s="1"/>
  <c r="C196" i="113" s="1"/>
  <c r="H196" i="113" s="1"/>
  <c r="B196" i="113" s="1"/>
  <c r="F225" i="113"/>
  <c r="G225" i="113" s="1"/>
  <c r="L195" i="113"/>
  <c r="J195" i="113"/>
  <c r="F325" i="88" l="1"/>
  <c r="G324" i="88"/>
  <c r="I324" i="88"/>
  <c r="L324" i="88" s="1"/>
  <c r="J323" i="88"/>
  <c r="K323" i="88" s="1"/>
  <c r="P323" i="88" s="1"/>
  <c r="L321" i="110"/>
  <c r="I322" i="110"/>
  <c r="L322" i="110" s="1"/>
  <c r="J321" i="110"/>
  <c r="K321" i="110" s="1"/>
  <c r="P321" i="110" s="1"/>
  <c r="G322" i="110"/>
  <c r="F323" i="110"/>
  <c r="V346" i="114"/>
  <c r="W346" i="114" s="1"/>
  <c r="L347" i="114"/>
  <c r="M347" i="114" s="1"/>
  <c r="U347" i="114" s="1"/>
  <c r="X347" i="114" s="1"/>
  <c r="P347" i="114"/>
  <c r="I349" i="114"/>
  <c r="K348" i="114"/>
  <c r="J348" i="114"/>
  <c r="Y348" i="114" s="1"/>
  <c r="G350" i="114"/>
  <c r="F351" i="114"/>
  <c r="S323" i="88"/>
  <c r="I196" i="113"/>
  <c r="F226" i="113"/>
  <c r="G226" i="113" s="1"/>
  <c r="O195" i="113"/>
  <c r="P195" i="113" s="1"/>
  <c r="J194" i="112"/>
  <c r="M195" i="113"/>
  <c r="F326" i="88" l="1"/>
  <c r="G325" i="88"/>
  <c r="I325" i="88"/>
  <c r="L325" i="88" s="1"/>
  <c r="J324" i="88"/>
  <c r="K324" i="88" s="1"/>
  <c r="P324" i="88" s="1"/>
  <c r="G323" i="110"/>
  <c r="F324" i="110"/>
  <c r="I323" i="110"/>
  <c r="J322" i="110"/>
  <c r="K322" i="110" s="1"/>
  <c r="P322" i="110" s="1"/>
  <c r="V347" i="114"/>
  <c r="W347" i="114" s="1"/>
  <c r="P348" i="114"/>
  <c r="L348" i="114"/>
  <c r="M348" i="114" s="1"/>
  <c r="U348" i="114" s="1"/>
  <c r="X348" i="114" s="1"/>
  <c r="J349" i="114"/>
  <c r="Y349" i="114" s="1"/>
  <c r="K349" i="114"/>
  <c r="I350" i="114"/>
  <c r="F352" i="114"/>
  <c r="G351" i="114"/>
  <c r="S324" i="88"/>
  <c r="F227" i="113"/>
  <c r="K194" i="112"/>
  <c r="I195" i="112" s="1"/>
  <c r="C197" i="113" s="1"/>
  <c r="H197" i="113" s="1"/>
  <c r="B197" i="113" s="1"/>
  <c r="L196" i="113"/>
  <c r="Q195" i="113"/>
  <c r="J196" i="113"/>
  <c r="F327" i="88" l="1"/>
  <c r="G326" i="88"/>
  <c r="I326" i="88"/>
  <c r="L326" i="88" s="1"/>
  <c r="J325" i="88"/>
  <c r="K325" i="88" s="1"/>
  <c r="P325" i="88" s="1"/>
  <c r="I324" i="110"/>
  <c r="L324" i="110" s="1"/>
  <c r="J323" i="110"/>
  <c r="K323" i="110" s="1"/>
  <c r="P323" i="110" s="1"/>
  <c r="L323" i="110"/>
  <c r="G324" i="110"/>
  <c r="F325" i="110"/>
  <c r="V348" i="114"/>
  <c r="W348" i="114" s="1"/>
  <c r="P349" i="114"/>
  <c r="L349" i="114"/>
  <c r="M349" i="114" s="1"/>
  <c r="U349" i="114" s="1"/>
  <c r="X349" i="114" s="1"/>
  <c r="K350" i="114"/>
  <c r="J350" i="114"/>
  <c r="Y350" i="114" s="1"/>
  <c r="I351" i="114"/>
  <c r="G352" i="114"/>
  <c r="F353" i="114"/>
  <c r="S325" i="88"/>
  <c r="J195" i="112"/>
  <c r="K195" i="112" s="1"/>
  <c r="I196" i="112" s="1"/>
  <c r="C198" i="113" s="1"/>
  <c r="H198" i="113" s="1"/>
  <c r="B198" i="113" s="1"/>
  <c r="I197" i="113"/>
  <c r="O196" i="113"/>
  <c r="P196" i="113" s="1"/>
  <c r="M196" i="113"/>
  <c r="G227" i="113"/>
  <c r="F328" i="88" l="1"/>
  <c r="G327" i="88"/>
  <c r="I327" i="88"/>
  <c r="L327" i="88" s="1"/>
  <c r="J326" i="88"/>
  <c r="K326" i="88" s="1"/>
  <c r="P326" i="88" s="1"/>
  <c r="G325" i="110"/>
  <c r="F326" i="110"/>
  <c r="J324" i="110"/>
  <c r="K324" i="110" s="1"/>
  <c r="P324" i="110" s="1"/>
  <c r="I325" i="110"/>
  <c r="L325" i="110" s="1"/>
  <c r="V349" i="114"/>
  <c r="W349" i="114" s="1"/>
  <c r="L350" i="114"/>
  <c r="M350" i="114" s="1"/>
  <c r="U350" i="114" s="1"/>
  <c r="X350" i="114" s="1"/>
  <c r="P350" i="114"/>
  <c r="I352" i="114"/>
  <c r="J351" i="114"/>
  <c r="Y351" i="114" s="1"/>
  <c r="K351" i="114"/>
  <c r="G353" i="114"/>
  <c r="F354" i="114"/>
  <c r="S326" i="88"/>
  <c r="J196" i="112"/>
  <c r="K196" i="112" s="1"/>
  <c r="I197" i="112" s="1"/>
  <c r="C199" i="113" s="1"/>
  <c r="H199" i="113" s="1"/>
  <c r="B199" i="113" s="1"/>
  <c r="F228" i="113"/>
  <c r="L197" i="113"/>
  <c r="Q196" i="113"/>
  <c r="J197" i="113"/>
  <c r="F329" i="88" l="1"/>
  <c r="G328" i="88"/>
  <c r="I328" i="88"/>
  <c r="L328" i="88" s="1"/>
  <c r="J327" i="88"/>
  <c r="K327" i="88" s="1"/>
  <c r="P327" i="88" s="1"/>
  <c r="F327" i="110"/>
  <c r="G326" i="110"/>
  <c r="I326" i="110"/>
  <c r="J325" i="110"/>
  <c r="K325" i="110" s="1"/>
  <c r="P325" i="110" s="1"/>
  <c r="V350" i="114"/>
  <c r="W350" i="114" s="1"/>
  <c r="I353" i="114"/>
  <c r="J352" i="114"/>
  <c r="Y352" i="114" s="1"/>
  <c r="K352" i="114"/>
  <c r="L351" i="114"/>
  <c r="M351" i="114" s="1"/>
  <c r="U351" i="114" s="1"/>
  <c r="X351" i="114" s="1"/>
  <c r="P351" i="114"/>
  <c r="G354" i="114"/>
  <c r="F355" i="114"/>
  <c r="S327" i="88"/>
  <c r="M197" i="113"/>
  <c r="O197" i="113"/>
  <c r="P197" i="113" s="1"/>
  <c r="J197" i="112"/>
  <c r="I198" i="113"/>
  <c r="J198" i="113" s="1"/>
  <c r="G228" i="113"/>
  <c r="F330" i="88" l="1"/>
  <c r="G329" i="88"/>
  <c r="I329" i="88"/>
  <c r="J328" i="88"/>
  <c r="K328" i="88" s="1"/>
  <c r="P328" i="88" s="1"/>
  <c r="I327" i="110"/>
  <c r="L327" i="110" s="1"/>
  <c r="J326" i="110"/>
  <c r="K326" i="110" s="1"/>
  <c r="P326" i="110" s="1"/>
  <c r="L326" i="110"/>
  <c r="G327" i="110"/>
  <c r="F328" i="110"/>
  <c r="P352" i="114"/>
  <c r="L352" i="114"/>
  <c r="M352" i="114" s="1"/>
  <c r="U352" i="114" s="1"/>
  <c r="X352" i="114" s="1"/>
  <c r="V351" i="114"/>
  <c r="W351" i="114" s="1"/>
  <c r="J353" i="114"/>
  <c r="Y353" i="114" s="1"/>
  <c r="I354" i="114"/>
  <c r="K353" i="114"/>
  <c r="F356" i="114"/>
  <c r="G355" i="114"/>
  <c r="S328" i="88"/>
  <c r="F229" i="113"/>
  <c r="I199" i="113"/>
  <c r="Q197" i="113"/>
  <c r="L198" i="113"/>
  <c r="O198" i="113" s="1"/>
  <c r="P198" i="113" s="1"/>
  <c r="K197" i="112"/>
  <c r="I198" i="112" s="1"/>
  <c r="C200" i="113" s="1"/>
  <c r="H200" i="113" s="1"/>
  <c r="B200" i="113" s="1"/>
  <c r="I330" i="88" l="1"/>
  <c r="J330" i="88" s="1"/>
  <c r="J329" i="88"/>
  <c r="K329" i="88" s="1"/>
  <c r="P329" i="88" s="1"/>
  <c r="L329" i="88"/>
  <c r="L330" i="88"/>
  <c r="G330" i="88"/>
  <c r="K330" i="88" s="1"/>
  <c r="P330" i="88" s="1"/>
  <c r="F329" i="110"/>
  <c r="G328" i="110"/>
  <c r="J327" i="110"/>
  <c r="K327" i="110" s="1"/>
  <c r="P327" i="110" s="1"/>
  <c r="I328" i="110"/>
  <c r="L353" i="114"/>
  <c r="M353" i="114" s="1"/>
  <c r="U353" i="114" s="1"/>
  <c r="X353" i="114" s="1"/>
  <c r="P353" i="114"/>
  <c r="V352" i="114"/>
  <c r="W352" i="114" s="1"/>
  <c r="K354" i="114"/>
  <c r="I355" i="114"/>
  <c r="J354" i="114"/>
  <c r="Y354" i="114" s="1"/>
  <c r="M198" i="113"/>
  <c r="G356" i="114"/>
  <c r="F357" i="114"/>
  <c r="S330" i="88"/>
  <c r="S329" i="88"/>
  <c r="Q198" i="113"/>
  <c r="L199" i="113"/>
  <c r="O199" i="113" s="1"/>
  <c r="P199" i="113" s="1"/>
  <c r="J198" i="112"/>
  <c r="J199" i="113"/>
  <c r="G229" i="113"/>
  <c r="F330" i="110" l="1"/>
  <c r="G329" i="110"/>
  <c r="J328" i="110"/>
  <c r="K328" i="110" s="1"/>
  <c r="P328" i="110" s="1"/>
  <c r="I329" i="110"/>
  <c r="L329" i="110" s="1"/>
  <c r="L328" i="110"/>
  <c r="L354" i="114"/>
  <c r="M354" i="114" s="1"/>
  <c r="U354" i="114" s="1"/>
  <c r="X354" i="114" s="1"/>
  <c r="P354" i="114"/>
  <c r="V353" i="114"/>
  <c r="W353" i="114" s="1"/>
  <c r="J355" i="114"/>
  <c r="Y355" i="114" s="1"/>
  <c r="K355" i="114"/>
  <c r="I356" i="114"/>
  <c r="G357" i="114"/>
  <c r="F358" i="114"/>
  <c r="Q199" i="113"/>
  <c r="I200" i="113"/>
  <c r="F230" i="113"/>
  <c r="G230" i="113" s="1"/>
  <c r="K198" i="112"/>
  <c r="I199" i="112" s="1"/>
  <c r="C201" i="113" s="1"/>
  <c r="H201" i="113" s="1"/>
  <c r="B201" i="113" s="1"/>
  <c r="M199" i="113"/>
  <c r="J329" i="110" l="1"/>
  <c r="K329" i="110" s="1"/>
  <c r="P329" i="110" s="1"/>
  <c r="I330" i="110"/>
  <c r="G330" i="110"/>
  <c r="F331" i="110"/>
  <c r="V354" i="114"/>
  <c r="W354" i="114" s="1"/>
  <c r="K356" i="114"/>
  <c r="I357" i="114"/>
  <c r="J356" i="114"/>
  <c r="Y356" i="114" s="1"/>
  <c r="L355" i="114"/>
  <c r="M355" i="114" s="1"/>
  <c r="U355" i="114" s="1"/>
  <c r="X355" i="114" s="1"/>
  <c r="P355" i="114"/>
  <c r="G358" i="114"/>
  <c r="F359" i="114"/>
  <c r="F231" i="113"/>
  <c r="L200" i="113"/>
  <c r="J199" i="112"/>
  <c r="J200" i="113"/>
  <c r="H358" i="114" l="1"/>
  <c r="I358" i="114" s="1"/>
  <c r="L330" i="110"/>
  <c r="J330" i="110"/>
  <c r="K330" i="110" s="1"/>
  <c r="P330" i="110" s="1"/>
  <c r="I331" i="110"/>
  <c r="J331" i="110" s="1"/>
  <c r="G331" i="110"/>
  <c r="V355" i="114"/>
  <c r="W355" i="114" s="1"/>
  <c r="K357" i="114"/>
  <c r="J357" i="114"/>
  <c r="Y357" i="114" s="1"/>
  <c r="L356" i="114"/>
  <c r="M356" i="114" s="1"/>
  <c r="U356" i="114" s="1"/>
  <c r="X356" i="114" s="1"/>
  <c r="P356" i="114"/>
  <c r="F360" i="114"/>
  <c r="G359" i="114"/>
  <c r="I201" i="113"/>
  <c r="K199" i="112"/>
  <c r="I200" i="112" s="1"/>
  <c r="C202" i="113" s="1"/>
  <c r="H202" i="113" s="1"/>
  <c r="B202" i="113" s="1"/>
  <c r="O200" i="113"/>
  <c r="P200" i="113" s="1"/>
  <c r="M200" i="113"/>
  <c r="G231" i="113"/>
  <c r="K358" i="114" l="1"/>
  <c r="L358" i="114" s="1"/>
  <c r="I359" i="114"/>
  <c r="J358" i="114"/>
  <c r="Y358" i="114" s="1"/>
  <c r="K331" i="110"/>
  <c r="P331" i="110" s="1"/>
  <c r="L331" i="110"/>
  <c r="K359" i="114"/>
  <c r="L359" i="114" s="1"/>
  <c r="M359" i="114" s="1"/>
  <c r="I360" i="114"/>
  <c r="I361" i="114" s="1"/>
  <c r="V356" i="114"/>
  <c r="W356" i="114" s="1"/>
  <c r="P357" i="114"/>
  <c r="L357" i="114"/>
  <c r="M357" i="114" s="1"/>
  <c r="U357" i="114" s="1"/>
  <c r="X357" i="114" s="1"/>
  <c r="G360" i="114"/>
  <c r="F361" i="114"/>
  <c r="L201" i="113"/>
  <c r="O201" i="113" s="1"/>
  <c r="P201" i="113" s="1"/>
  <c r="Q200" i="113"/>
  <c r="F232" i="113"/>
  <c r="G232" i="113" s="1"/>
  <c r="J200" i="112"/>
  <c r="J201" i="113"/>
  <c r="J359" i="114" l="1"/>
  <c r="Y359" i="114" s="1"/>
  <c r="P358" i="114"/>
  <c r="P359" i="114"/>
  <c r="K360" i="114"/>
  <c r="P360" i="114" s="1"/>
  <c r="J360" i="114"/>
  <c r="Y360" i="114" s="1"/>
  <c r="V357" i="114"/>
  <c r="W357" i="114" s="1"/>
  <c r="M358" i="114"/>
  <c r="U358" i="114" s="1"/>
  <c r="X358" i="114" s="1"/>
  <c r="F362" i="114"/>
  <c r="G361" i="114"/>
  <c r="Q201" i="113"/>
  <c r="I362" i="114"/>
  <c r="J361" i="114"/>
  <c r="K361" i="114"/>
  <c r="F233" i="113"/>
  <c r="G233" i="113" s="1"/>
  <c r="I202" i="113"/>
  <c r="J202" i="113" s="1"/>
  <c r="K200" i="112"/>
  <c r="I201" i="112" s="1"/>
  <c r="C203" i="113" s="1"/>
  <c r="H203" i="113" s="1"/>
  <c r="B203" i="113" s="1"/>
  <c r="M201" i="113"/>
  <c r="Y361" i="114" l="1"/>
  <c r="L360" i="114"/>
  <c r="M360" i="114" s="1"/>
  <c r="U359" i="114"/>
  <c r="X359" i="114" s="1"/>
  <c r="V358" i="114"/>
  <c r="W358" i="114" s="1"/>
  <c r="G362" i="114"/>
  <c r="F363" i="114"/>
  <c r="F234" i="113"/>
  <c r="L202" i="113"/>
  <c r="O202" i="113" s="1"/>
  <c r="P202" i="113" s="1"/>
  <c r="J201" i="112"/>
  <c r="I203" i="113"/>
  <c r="P361" i="114"/>
  <c r="L361" i="114"/>
  <c r="I363" i="114"/>
  <c r="J362" i="114"/>
  <c r="K362" i="114"/>
  <c r="Y362" i="114" l="1"/>
  <c r="M361" i="114"/>
  <c r="U360" i="114"/>
  <c r="V359" i="114"/>
  <c r="W359" i="114" s="1"/>
  <c r="G363" i="114"/>
  <c r="F364" i="114"/>
  <c r="P362" i="114"/>
  <c r="L362" i="114"/>
  <c r="M362" i="114" s="1"/>
  <c r="I364" i="114"/>
  <c r="J363" i="114"/>
  <c r="K363" i="114"/>
  <c r="L203" i="113"/>
  <c r="O203" i="113" s="1"/>
  <c r="P203" i="113" s="1"/>
  <c r="Q202" i="113"/>
  <c r="J203" i="113"/>
  <c r="K201" i="112"/>
  <c r="I202" i="112" s="1"/>
  <c r="C204" i="113" s="1"/>
  <c r="H204" i="113" s="1"/>
  <c r="B204" i="113" s="1"/>
  <c r="M202" i="113"/>
  <c r="G234" i="113"/>
  <c r="V360" i="114" l="1"/>
  <c r="W360" i="114" s="1"/>
  <c r="X360" i="114"/>
  <c r="Y363" i="114"/>
  <c r="U361" i="114"/>
  <c r="X361" i="114" s="1"/>
  <c r="G364" i="114"/>
  <c r="F365" i="114"/>
  <c r="M203" i="113"/>
  <c r="J202" i="112"/>
  <c r="K202" i="112" s="1"/>
  <c r="I203" i="112" s="1"/>
  <c r="C205" i="113" s="1"/>
  <c r="H205" i="113" s="1"/>
  <c r="B205" i="113" s="1"/>
  <c r="Q203" i="113"/>
  <c r="F235" i="113"/>
  <c r="P363" i="114"/>
  <c r="L363" i="114"/>
  <c r="M363" i="114" s="1"/>
  <c r="I365" i="114"/>
  <c r="J364" i="114"/>
  <c r="K364" i="114"/>
  <c r="I204" i="113"/>
  <c r="J204" i="113" s="1"/>
  <c r="V361" i="114" l="1"/>
  <c r="W361" i="114" s="1"/>
  <c r="Y364" i="114"/>
  <c r="U362" i="114"/>
  <c r="X362" i="114" s="1"/>
  <c r="F366" i="114"/>
  <c r="G365" i="114"/>
  <c r="J203" i="112"/>
  <c r="K203" i="112" s="1"/>
  <c r="I204" i="112" s="1"/>
  <c r="C206" i="113" s="1"/>
  <c r="H206" i="113" s="1"/>
  <c r="B206" i="113" s="1"/>
  <c r="I205" i="113"/>
  <c r="L204" i="113"/>
  <c r="O204" i="113" s="1"/>
  <c r="P204" i="113" s="1"/>
  <c r="L364" i="114"/>
  <c r="M364" i="114" s="1"/>
  <c r="P364" i="114"/>
  <c r="I366" i="114"/>
  <c r="J365" i="114"/>
  <c r="K365" i="114"/>
  <c r="G235" i="113"/>
  <c r="V362" i="114" l="1"/>
  <c r="W362" i="114" s="1"/>
  <c r="U363" i="114"/>
  <c r="X363" i="114" s="1"/>
  <c r="Y365" i="114"/>
  <c r="G366" i="114"/>
  <c r="F367" i="114"/>
  <c r="Q204" i="113"/>
  <c r="L205" i="113"/>
  <c r="L365" i="114"/>
  <c r="M365" i="114" s="1"/>
  <c r="P365" i="114"/>
  <c r="I367" i="114"/>
  <c r="J366" i="114"/>
  <c r="K366" i="114"/>
  <c r="F236" i="113"/>
  <c r="U364" i="114"/>
  <c r="X364" i="114" s="1"/>
  <c r="V363" i="114"/>
  <c r="W363" i="114" s="1"/>
  <c r="M204" i="113"/>
  <c r="J204" i="112"/>
  <c r="J205" i="113"/>
  <c r="Y366" i="114" l="1"/>
  <c r="M205" i="113"/>
  <c r="F368" i="114"/>
  <c r="G367" i="114"/>
  <c r="K204" i="112"/>
  <c r="I205" i="112" s="1"/>
  <c r="C207" i="113" s="1"/>
  <c r="H207" i="113" s="1"/>
  <c r="B207" i="113" s="1"/>
  <c r="P366" i="114"/>
  <c r="L366" i="114"/>
  <c r="M366" i="114" s="1"/>
  <c r="I368" i="114"/>
  <c r="J367" i="114"/>
  <c r="K367" i="114"/>
  <c r="I206" i="113"/>
  <c r="J206" i="113" s="1"/>
  <c r="U365" i="114"/>
  <c r="X365" i="114" s="1"/>
  <c r="V364" i="114"/>
  <c r="W364" i="114" s="1"/>
  <c r="G236" i="113"/>
  <c r="O205" i="113"/>
  <c r="P205" i="113" s="1"/>
  <c r="Y367" i="114" l="1"/>
  <c r="G368" i="114"/>
  <c r="F369" i="114"/>
  <c r="J205" i="112"/>
  <c r="K205" i="112" s="1"/>
  <c r="I206" i="112" s="1"/>
  <c r="C208" i="113" s="1"/>
  <c r="H208" i="113" s="1"/>
  <c r="B208" i="113" s="1"/>
  <c r="F237" i="113"/>
  <c r="G237" i="113" s="1"/>
  <c r="U366" i="114"/>
  <c r="X366" i="114" s="1"/>
  <c r="V365" i="114"/>
  <c r="W365" i="114" s="1"/>
  <c r="I207" i="113"/>
  <c r="J207" i="113" s="1"/>
  <c r="Q205" i="113"/>
  <c r="L206" i="113"/>
  <c r="O206" i="113" s="1"/>
  <c r="P206" i="113" s="1"/>
  <c r="L367" i="114"/>
  <c r="M367" i="114" s="1"/>
  <c r="P367" i="114"/>
  <c r="I369" i="114"/>
  <c r="I370" i="114" s="1"/>
  <c r="J368" i="114"/>
  <c r="K368" i="114"/>
  <c r="Y368" i="114" l="1"/>
  <c r="F370" i="114"/>
  <c r="G369" i="114"/>
  <c r="J370" i="114"/>
  <c r="Q206" i="113"/>
  <c r="P368" i="114"/>
  <c r="L368" i="114"/>
  <c r="M368" i="114" s="1"/>
  <c r="J369" i="114"/>
  <c r="K369" i="114"/>
  <c r="I208" i="113"/>
  <c r="J208" i="113" s="1"/>
  <c r="U367" i="114"/>
  <c r="X367" i="114" s="1"/>
  <c r="V366" i="114"/>
  <c r="W366" i="114" s="1"/>
  <c r="F238" i="113"/>
  <c r="M206" i="113"/>
  <c r="J206" i="112"/>
  <c r="L207" i="113"/>
  <c r="Y369" i="114" l="1"/>
  <c r="G370" i="114"/>
  <c r="Y370" i="114" s="1"/>
  <c r="K370" i="114"/>
  <c r="L370" i="114" s="1"/>
  <c r="K206" i="112"/>
  <c r="I207" i="112" s="1"/>
  <c r="C209" i="113" s="1"/>
  <c r="H209" i="113" s="1"/>
  <c r="B209" i="113" s="1"/>
  <c r="L369" i="114"/>
  <c r="M369" i="114" s="1"/>
  <c r="P369" i="114"/>
  <c r="O207" i="113"/>
  <c r="P207" i="113" s="1"/>
  <c r="M207" i="113"/>
  <c r="G238" i="113"/>
  <c r="U368" i="114"/>
  <c r="X368" i="114" s="1"/>
  <c r="V367" i="114"/>
  <c r="W367" i="114" s="1"/>
  <c r="L208" i="113"/>
  <c r="P370" i="114" l="1"/>
  <c r="M370" i="114"/>
  <c r="F239" i="113"/>
  <c r="G239" i="113" s="1"/>
  <c r="Q207" i="113"/>
  <c r="I209" i="113"/>
  <c r="J207" i="112"/>
  <c r="O208" i="113"/>
  <c r="U369" i="114"/>
  <c r="X369" i="114" s="1"/>
  <c r="V368" i="114"/>
  <c r="W368" i="114" s="1"/>
  <c r="M208" i="113"/>
  <c r="U370" i="114" l="1"/>
  <c r="V369" i="114"/>
  <c r="W369" i="114" s="1"/>
  <c r="F240" i="113"/>
  <c r="L209" i="113"/>
  <c r="M209" i="113" s="1"/>
  <c r="J209" i="113"/>
  <c r="K207" i="112"/>
  <c r="I208" i="112" s="1"/>
  <c r="C210" i="113" s="1"/>
  <c r="H210" i="113" s="1"/>
  <c r="B210" i="113" s="1"/>
  <c r="P208" i="113"/>
  <c r="V370" i="114" l="1"/>
  <c r="W370" i="114" s="1"/>
  <c r="X370" i="114"/>
  <c r="J208" i="112"/>
  <c r="K208" i="112" s="1"/>
  <c r="I209" i="112" s="1"/>
  <c r="C211" i="113" s="1"/>
  <c r="H211" i="113" s="1"/>
  <c r="B211" i="113" s="1"/>
  <c r="Q208" i="113"/>
  <c r="I210" i="113"/>
  <c r="J210" i="113" s="1"/>
  <c r="O209" i="113"/>
  <c r="G240" i="113"/>
  <c r="I211" i="113" l="1"/>
  <c r="F241" i="113"/>
  <c r="P209" i="113"/>
  <c r="J209" i="112"/>
  <c r="L210" i="113"/>
  <c r="M210" i="113" l="1"/>
  <c r="K209" i="112"/>
  <c r="I210" i="112" s="1"/>
  <c r="C212" i="113" s="1"/>
  <c r="H212" i="113" s="1"/>
  <c r="B212" i="113" s="1"/>
  <c r="L211" i="113"/>
  <c r="O211" i="113" s="1"/>
  <c r="O210" i="113"/>
  <c r="Q209" i="113"/>
  <c r="G241" i="113"/>
  <c r="J211" i="113"/>
  <c r="F242" i="113" l="1"/>
  <c r="P210" i="113"/>
  <c r="J210" i="112"/>
  <c r="M211" i="113"/>
  <c r="I212" i="113"/>
  <c r="L212" i="113" l="1"/>
  <c r="J212" i="113"/>
  <c r="K210" i="112"/>
  <c r="I211" i="112" s="1"/>
  <c r="C213" i="113" s="1"/>
  <c r="H213" i="113" s="1"/>
  <c r="B213" i="113" s="1"/>
  <c r="Q210" i="113"/>
  <c r="P211" i="113"/>
  <c r="G242" i="113"/>
  <c r="J211" i="112" l="1"/>
  <c r="K211" i="112" s="1"/>
  <c r="I212" i="112" s="1"/>
  <c r="F243" i="113"/>
  <c r="Q211" i="113"/>
  <c r="I213" i="113"/>
  <c r="J213" i="113" s="1"/>
  <c r="M212" i="113"/>
  <c r="O212" i="113"/>
  <c r="P212" i="113" s="1"/>
  <c r="C214" i="113" l="1"/>
  <c r="H214" i="113" s="1"/>
  <c r="B214" i="113" s="1"/>
  <c r="J212" i="112"/>
  <c r="K212" i="112" s="1"/>
  <c r="I213" i="112" s="1"/>
  <c r="C215" i="113" s="1"/>
  <c r="H215" i="113" s="1"/>
  <c r="B215" i="113" s="1"/>
  <c r="Q212" i="113"/>
  <c r="L213" i="113"/>
  <c r="O213" i="113" s="1"/>
  <c r="P213" i="113" s="1"/>
  <c r="G243" i="113"/>
  <c r="I214" i="113" l="1"/>
  <c r="J214" i="113" s="1"/>
  <c r="I215" i="113" s="1"/>
  <c r="J215" i="113" s="1"/>
  <c r="Q213" i="113"/>
  <c r="J213" i="112"/>
  <c r="M213" i="113"/>
  <c r="F244" i="113"/>
  <c r="G244" i="113" s="1"/>
  <c r="L214" i="113" l="1"/>
  <c r="O214" i="113" s="1"/>
  <c r="P214" i="113" s="1"/>
  <c r="F245" i="113"/>
  <c r="L215" i="113"/>
  <c r="K213" i="112"/>
  <c r="I214" i="112" s="1"/>
  <c r="C216" i="113" s="1"/>
  <c r="H216" i="113" s="1"/>
  <c r="B216" i="113" s="1"/>
  <c r="M214" i="113" l="1"/>
  <c r="M215" i="113" s="1"/>
  <c r="Q214" i="113"/>
  <c r="I216" i="113"/>
  <c r="J214" i="112"/>
  <c r="O215" i="113"/>
  <c r="P215" i="113" s="1"/>
  <c r="G245" i="113"/>
  <c r="Q215" i="113" l="1"/>
  <c r="F246" i="113"/>
  <c r="L216" i="113"/>
  <c r="M216" i="113" s="1"/>
  <c r="K214" i="112"/>
  <c r="I215" i="112" s="1"/>
  <c r="C217" i="113" s="1"/>
  <c r="H217" i="113" s="1"/>
  <c r="B217" i="113" s="1"/>
  <c r="J216" i="113"/>
  <c r="I217" i="113" l="1"/>
  <c r="J215" i="112"/>
  <c r="O216" i="113"/>
  <c r="P216" i="113" s="1"/>
  <c r="G246" i="113"/>
  <c r="Q216" i="113" l="1"/>
  <c r="L217" i="113"/>
  <c r="F247" i="113"/>
  <c r="G247" i="113" s="1"/>
  <c r="K215" i="112"/>
  <c r="I216" i="112" s="1"/>
  <c r="C218" i="113" s="1"/>
  <c r="H218" i="113" s="1"/>
  <c r="B218" i="113" s="1"/>
  <c r="J217" i="113"/>
  <c r="F248" i="113" l="1"/>
  <c r="M217" i="113"/>
  <c r="I218" i="113"/>
  <c r="J218" i="113" s="1"/>
  <c r="J216" i="112"/>
  <c r="O217" i="113"/>
  <c r="P217" i="113" s="1"/>
  <c r="Q217" i="113" l="1"/>
  <c r="K216" i="112"/>
  <c r="I217" i="112" s="1"/>
  <c r="C219" i="113" s="1"/>
  <c r="H219" i="113" s="1"/>
  <c r="B219" i="113" s="1"/>
  <c r="L218" i="113"/>
  <c r="O218" i="113" s="1"/>
  <c r="P218" i="113" s="1"/>
  <c r="G248" i="113"/>
  <c r="Q218" i="113" l="1"/>
  <c r="F249" i="113"/>
  <c r="G249" i="113" s="1"/>
  <c r="J217" i="112"/>
  <c r="M218" i="113"/>
  <c r="I219" i="113"/>
  <c r="F250" i="113" l="1"/>
  <c r="G250" i="113" s="1"/>
  <c r="L219" i="113"/>
  <c r="O219" i="113" s="1"/>
  <c r="P219" i="113" s="1"/>
  <c r="K217" i="112"/>
  <c r="I218" i="112" s="1"/>
  <c r="C220" i="113" s="1"/>
  <c r="H220" i="113" s="1"/>
  <c r="B220" i="113" s="1"/>
  <c r="J219" i="113"/>
  <c r="Q219" i="113" l="1"/>
  <c r="F251" i="113"/>
  <c r="I220" i="113"/>
  <c r="J220" i="113" s="1"/>
  <c r="J218" i="112"/>
  <c r="M219" i="113"/>
  <c r="K218" i="112" l="1"/>
  <c r="I219" i="112" s="1"/>
  <c r="C221" i="113" s="1"/>
  <c r="H221" i="113" s="1"/>
  <c r="B221" i="113" s="1"/>
  <c r="L220" i="113"/>
  <c r="G251" i="113"/>
  <c r="F252" i="113" l="1"/>
  <c r="G252" i="113" s="1"/>
  <c r="O220" i="113"/>
  <c r="P220" i="113" s="1"/>
  <c r="J219" i="112"/>
  <c r="M220" i="113"/>
  <c r="I221" i="113"/>
  <c r="F253" i="113" l="1"/>
  <c r="L221" i="113"/>
  <c r="M221" i="113" s="1"/>
  <c r="J221" i="113"/>
  <c r="Q220" i="113"/>
  <c r="K219" i="112"/>
  <c r="I220" i="112" s="1"/>
  <c r="C222" i="113" s="1"/>
  <c r="H222" i="113" s="1"/>
  <c r="B222" i="113" s="1"/>
  <c r="J220" i="112" l="1"/>
  <c r="I222" i="113"/>
  <c r="J222" i="113" s="1"/>
  <c r="O221" i="113"/>
  <c r="P221" i="113" s="1"/>
  <c r="G253" i="113"/>
  <c r="Q221" i="113" l="1"/>
  <c r="F254" i="113"/>
  <c r="L222" i="113"/>
  <c r="K220" i="112"/>
  <c r="I221" i="112" s="1"/>
  <c r="C223" i="113" s="1"/>
  <c r="H223" i="113" s="1"/>
  <c r="B223" i="113" s="1"/>
  <c r="J221" i="112" l="1"/>
  <c r="K221" i="112" s="1"/>
  <c r="I222" i="112" s="1"/>
  <c r="C224" i="113" s="1"/>
  <c r="H224" i="113" s="1"/>
  <c r="B224" i="113" s="1"/>
  <c r="M222" i="113"/>
  <c r="O222" i="113"/>
  <c r="P222" i="113" s="1"/>
  <c r="G254" i="113"/>
  <c r="I223" i="113"/>
  <c r="L223" i="113" l="1"/>
  <c r="Q222" i="113"/>
  <c r="F255" i="113"/>
  <c r="G255" i="113" s="1"/>
  <c r="J223" i="113"/>
  <c r="J222" i="112"/>
  <c r="I224" i="113" l="1"/>
  <c r="J224" i="113" s="1"/>
  <c r="K222" i="112"/>
  <c r="I223" i="112" s="1"/>
  <c r="C225" i="113" s="1"/>
  <c r="H225" i="113" s="1"/>
  <c r="B225" i="113" s="1"/>
  <c r="F256" i="113"/>
  <c r="G256" i="113" s="1"/>
  <c r="M223" i="113"/>
  <c r="O223" i="113"/>
  <c r="P223" i="113" s="1"/>
  <c r="I225" i="113" l="1"/>
  <c r="J225" i="113" s="1"/>
  <c r="F257" i="113"/>
  <c r="G257" i="113" s="1"/>
  <c r="Q223" i="113"/>
  <c r="J223" i="112"/>
  <c r="L224" i="113"/>
  <c r="O224" i="113" s="1"/>
  <c r="P224" i="113" s="1"/>
  <c r="Q224" i="113" l="1"/>
  <c r="K223" i="112"/>
  <c r="I224" i="112" s="1"/>
  <c r="C226" i="113" s="1"/>
  <c r="H226" i="113" s="1"/>
  <c r="B226" i="113" s="1"/>
  <c r="F258" i="113"/>
  <c r="G258" i="113" s="1"/>
  <c r="M224" i="113"/>
  <c r="L225" i="113"/>
  <c r="O225" i="113" s="1"/>
  <c r="P225" i="113" s="1"/>
  <c r="I226" i="113" l="1"/>
  <c r="J226" i="113" s="1"/>
  <c r="Q225" i="113"/>
  <c r="M225" i="113"/>
  <c r="J224" i="112"/>
  <c r="F259" i="113"/>
  <c r="L226" i="113" l="1"/>
  <c r="O226" i="113" s="1"/>
  <c r="P226" i="113" s="1"/>
  <c r="Q226" i="113" s="1"/>
  <c r="G259" i="113"/>
  <c r="K224" i="112"/>
  <c r="I225" i="112" s="1"/>
  <c r="C227" i="113" s="1"/>
  <c r="H227" i="113" s="1"/>
  <c r="M226" i="113" l="1"/>
  <c r="J225" i="112"/>
  <c r="B227" i="113"/>
  <c r="I227" i="113"/>
  <c r="J227" i="113" s="1"/>
  <c r="F260" i="113"/>
  <c r="G260" i="113" s="1"/>
  <c r="F261" i="113" l="1"/>
  <c r="L227" i="113"/>
  <c r="K225" i="112"/>
  <c r="I226" i="112" s="1"/>
  <c r="C228" i="113" s="1"/>
  <c r="H228" i="113" s="1"/>
  <c r="B228" i="113" s="1"/>
  <c r="M227" i="113" l="1"/>
  <c r="J226" i="112"/>
  <c r="O227" i="113"/>
  <c r="P227" i="113" s="1"/>
  <c r="I228" i="113"/>
  <c r="G261" i="113"/>
  <c r="K226" i="112" l="1"/>
  <c r="I227" i="112" s="1"/>
  <c r="C229" i="113" s="1"/>
  <c r="H229" i="113" s="1"/>
  <c r="B229" i="113" s="1"/>
  <c r="L228" i="113"/>
  <c r="O228" i="113" s="1"/>
  <c r="P228" i="113" s="1"/>
  <c r="F262" i="113"/>
  <c r="Q227" i="113"/>
  <c r="J228" i="113"/>
  <c r="Q228" i="113" l="1"/>
  <c r="I229" i="113"/>
  <c r="J229" i="113" s="1"/>
  <c r="G262" i="113"/>
  <c r="J227" i="112"/>
  <c r="M228" i="113"/>
  <c r="K227" i="112" l="1"/>
  <c r="I228" i="112" s="1"/>
  <c r="C230" i="113" s="1"/>
  <c r="H230" i="113" s="1"/>
  <c r="B230" i="113" s="1"/>
  <c r="F263" i="113"/>
  <c r="G263" i="113" s="1"/>
  <c r="L229" i="113"/>
  <c r="O229" i="113" s="1"/>
  <c r="P229" i="113" s="1"/>
  <c r="Q229" i="113" l="1"/>
  <c r="F264" i="113"/>
  <c r="I230" i="113"/>
  <c r="J230" i="113" s="1"/>
  <c r="M229" i="113"/>
  <c r="J228" i="112"/>
  <c r="K228" i="112" l="1"/>
  <c r="I229" i="112" s="1"/>
  <c r="C231" i="113" s="1"/>
  <c r="H231" i="113" s="1"/>
  <c r="B231" i="113" s="1"/>
  <c r="L230" i="113"/>
  <c r="O230" i="113" s="1"/>
  <c r="P230" i="113" s="1"/>
  <c r="G264" i="113"/>
  <c r="F265" i="113" l="1"/>
  <c r="Q230" i="113"/>
  <c r="I231" i="113"/>
  <c r="J231" i="113" s="1"/>
  <c r="J229" i="112"/>
  <c r="M230" i="113"/>
  <c r="K229" i="112" l="1"/>
  <c r="I230" i="112" s="1"/>
  <c r="C232" i="113" s="1"/>
  <c r="H232" i="113" s="1"/>
  <c r="B232" i="113" s="1"/>
  <c r="L231" i="113"/>
  <c r="O231" i="113" s="1"/>
  <c r="P231" i="113" s="1"/>
  <c r="G265" i="113"/>
  <c r="F266" i="113" l="1"/>
  <c r="Q231" i="113"/>
  <c r="I232" i="113"/>
  <c r="M231" i="113"/>
  <c r="J230" i="112"/>
  <c r="K230" i="112" l="1"/>
  <c r="I231" i="112" s="1"/>
  <c r="C233" i="113" s="1"/>
  <c r="H233" i="113" s="1"/>
  <c r="B233" i="113" s="1"/>
  <c r="L232" i="113"/>
  <c r="O232" i="113" s="1"/>
  <c r="P232" i="113" s="1"/>
  <c r="J232" i="113"/>
  <c r="G266" i="113"/>
  <c r="I233" i="113" l="1"/>
  <c r="J233" i="113" s="1"/>
  <c r="Q232" i="113"/>
  <c r="F267" i="113"/>
  <c r="J231" i="112"/>
  <c r="M232" i="113"/>
  <c r="K231" i="112" l="1"/>
  <c r="I232" i="112" s="1"/>
  <c r="C234" i="113" s="1"/>
  <c r="H234" i="113" s="1"/>
  <c r="B234" i="113" s="1"/>
  <c r="G267" i="113"/>
  <c r="L233" i="113"/>
  <c r="F268" i="113" l="1"/>
  <c r="G268" i="113" s="1"/>
  <c r="O233" i="113"/>
  <c r="P233" i="113" s="1"/>
  <c r="M233" i="113"/>
  <c r="I234" i="113"/>
  <c r="J234" i="113" s="1"/>
  <c r="J232" i="112"/>
  <c r="F269" i="113" l="1"/>
  <c r="K232" i="112"/>
  <c r="I233" i="112" s="1"/>
  <c r="C235" i="113" s="1"/>
  <c r="H235" i="113" s="1"/>
  <c r="B235" i="113" s="1"/>
  <c r="L234" i="113"/>
  <c r="O234" i="113" s="1"/>
  <c r="P234" i="113" s="1"/>
  <c r="Q233" i="113"/>
  <c r="J233" i="112" l="1"/>
  <c r="K233" i="112" s="1"/>
  <c r="I234" i="112" s="1"/>
  <c r="C236" i="113" s="1"/>
  <c r="H236" i="113" s="1"/>
  <c r="B236" i="113" s="1"/>
  <c r="Q234" i="113"/>
  <c r="I235" i="113"/>
  <c r="J235" i="113" s="1"/>
  <c r="M234" i="113"/>
  <c r="G269" i="113"/>
  <c r="L235" i="113" l="1"/>
  <c r="O235" i="113" s="1"/>
  <c r="P235" i="113" s="1"/>
  <c r="F270" i="113"/>
  <c r="G270" i="113" s="1"/>
  <c r="J234" i="112"/>
  <c r="I236" i="113"/>
  <c r="J236" i="113" s="1"/>
  <c r="F271" i="113" l="1"/>
  <c r="Q235" i="113"/>
  <c r="K234" i="112"/>
  <c r="I235" i="112" s="1"/>
  <c r="C237" i="113" s="1"/>
  <c r="H237" i="113" s="1"/>
  <c r="B237" i="113" s="1"/>
  <c r="A1" i="113" s="1"/>
  <c r="L236" i="113"/>
  <c r="O236" i="113" s="1"/>
  <c r="P236" i="113" s="1"/>
  <c r="M235" i="113"/>
  <c r="M236" i="113" l="1"/>
  <c r="Q236" i="113"/>
  <c r="J235" i="112"/>
  <c r="G271" i="113"/>
  <c r="I237" i="113"/>
  <c r="L237" i="113" l="1"/>
  <c r="J237" i="113"/>
  <c r="F272" i="113"/>
  <c r="G272" i="113" s="1"/>
  <c r="K235" i="112"/>
  <c r="I236" i="112" s="1"/>
  <c r="C238" i="113" s="1"/>
  <c r="H238" i="113" s="1"/>
  <c r="B238" i="113" s="1"/>
  <c r="J236" i="112" l="1"/>
  <c r="F273" i="113"/>
  <c r="G273" i="113" s="1"/>
  <c r="M237" i="113"/>
  <c r="I238" i="113"/>
  <c r="J238" i="113" s="1"/>
  <c r="O237" i="113"/>
  <c r="P237" i="113" s="1"/>
  <c r="F274" i="113" l="1"/>
  <c r="Q237" i="113"/>
  <c r="A2" i="113"/>
  <c r="L238" i="113"/>
  <c r="K236" i="112"/>
  <c r="I237" i="112" s="1"/>
  <c r="C239" i="113" s="1"/>
  <c r="H239" i="113" s="1"/>
  <c r="B239" i="113" s="1"/>
  <c r="J237" i="112" l="1"/>
  <c r="M238" i="113"/>
  <c r="O238" i="113"/>
  <c r="P238" i="113" s="1"/>
  <c r="I239" i="113"/>
  <c r="J239" i="113" s="1"/>
  <c r="K237" i="112"/>
  <c r="I238" i="112" s="1"/>
  <c r="C240" i="113" s="1"/>
  <c r="H240" i="113" s="1"/>
  <c r="B240" i="113" s="1"/>
  <c r="G274" i="113"/>
  <c r="F275" i="113" l="1"/>
  <c r="I240" i="113"/>
  <c r="J240" i="113" s="1"/>
  <c r="J238" i="112"/>
  <c r="L239" i="113"/>
  <c r="O239" i="113" s="1"/>
  <c r="P239" i="113" s="1"/>
  <c r="Q238" i="113"/>
  <c r="M239" i="113" l="1"/>
  <c r="Q239" i="113"/>
  <c r="K238" i="112"/>
  <c r="I239" i="112" s="1"/>
  <c r="C241" i="113" s="1"/>
  <c r="H241" i="113" s="1"/>
  <c r="B241" i="113" s="1"/>
  <c r="L240" i="113"/>
  <c r="G275" i="113"/>
  <c r="J239" i="112" l="1"/>
  <c r="K239" i="112" s="1"/>
  <c r="I240" i="112" s="1"/>
  <c r="C242" i="113" s="1"/>
  <c r="H242" i="113" s="1"/>
  <c r="B242" i="113" s="1"/>
  <c r="F276" i="113"/>
  <c r="G276" i="113" s="1"/>
  <c r="O240" i="113"/>
  <c r="P240" i="113" s="1"/>
  <c r="M240" i="113"/>
  <c r="I241" i="113"/>
  <c r="J241" i="113" s="1"/>
  <c r="I242" i="113" l="1"/>
  <c r="J242" i="113" s="1"/>
  <c r="Q240" i="113"/>
  <c r="J240" i="112"/>
  <c r="L241" i="113"/>
  <c r="F277" i="113"/>
  <c r="K240" i="112" l="1"/>
  <c r="I241" i="112" s="1"/>
  <c r="C243" i="113" s="1"/>
  <c r="H243" i="113" s="1"/>
  <c r="B243" i="113" s="1"/>
  <c r="G277" i="113"/>
  <c r="O241" i="113"/>
  <c r="P241" i="113" s="1"/>
  <c r="M241" i="113"/>
  <c r="L242" i="113"/>
  <c r="M242" i="113" l="1"/>
  <c r="F278" i="113"/>
  <c r="I243" i="113"/>
  <c r="J243" i="113" s="1"/>
  <c r="O242" i="113"/>
  <c r="Q241" i="113"/>
  <c r="J241" i="112"/>
  <c r="K241" i="112" l="1"/>
  <c r="I242" i="112" s="1"/>
  <c r="C244" i="113" s="1"/>
  <c r="H244" i="113" s="1"/>
  <c r="B244" i="113" s="1"/>
  <c r="P242" i="113"/>
  <c r="L243" i="113"/>
  <c r="O243" i="113" s="1"/>
  <c r="G278" i="113"/>
  <c r="I244" i="113" l="1"/>
  <c r="L244" i="113" s="1"/>
  <c r="F279" i="113"/>
  <c r="P243" i="113"/>
  <c r="Q242" i="113"/>
  <c r="J242" i="112"/>
  <c r="M243" i="113"/>
  <c r="J244" i="113" l="1"/>
  <c r="M244" i="113"/>
  <c r="Q243" i="113"/>
  <c r="K242" i="112"/>
  <c r="I243" i="112" s="1"/>
  <c r="C245" i="113" s="1"/>
  <c r="H245" i="113" s="1"/>
  <c r="B245" i="113" s="1"/>
  <c r="O244" i="113"/>
  <c r="G279" i="113"/>
  <c r="F280" i="113" l="1"/>
  <c r="J243" i="112"/>
  <c r="P244" i="113"/>
  <c r="I245" i="113"/>
  <c r="J245" i="113" s="1"/>
  <c r="Q244" i="113" l="1"/>
  <c r="L245" i="113"/>
  <c r="K243" i="112"/>
  <c r="I244" i="112" s="1"/>
  <c r="C246" i="113" s="1"/>
  <c r="H246" i="113" s="1"/>
  <c r="B246" i="113" s="1"/>
  <c r="G280" i="113"/>
  <c r="I246" i="113" l="1"/>
  <c r="J246" i="113" s="1"/>
  <c r="M245" i="113"/>
  <c r="F281" i="113"/>
  <c r="G281" i="113" s="1"/>
  <c r="J244" i="112"/>
  <c r="O245" i="113"/>
  <c r="P245" i="113" s="1"/>
  <c r="F282" i="113" l="1"/>
  <c r="K244" i="112"/>
  <c r="I245" i="112" s="1"/>
  <c r="C247" i="113" s="1"/>
  <c r="H247" i="113" s="1"/>
  <c r="B247" i="113" s="1"/>
  <c r="Q245" i="113"/>
  <c r="L246" i="113"/>
  <c r="O246" i="113" s="1"/>
  <c r="P246" i="113" s="1"/>
  <c r="J245" i="112" l="1"/>
  <c r="K245" i="112" s="1"/>
  <c r="I246" i="112" s="1"/>
  <c r="C248" i="113" s="1"/>
  <c r="H248" i="113" s="1"/>
  <c r="B248" i="113" s="1"/>
  <c r="Q246" i="113"/>
  <c r="M246" i="113"/>
  <c r="I247" i="113"/>
  <c r="J247" i="113" s="1"/>
  <c r="G282" i="113"/>
  <c r="F283" i="113" l="1"/>
  <c r="I248" i="113"/>
  <c r="J248" i="113" s="1"/>
  <c r="L247" i="113"/>
  <c r="J246" i="112"/>
  <c r="M247" i="113" l="1"/>
  <c r="K246" i="112"/>
  <c r="I247" i="112" s="1"/>
  <c r="C249" i="113" s="1"/>
  <c r="H249" i="113" s="1"/>
  <c r="B249" i="113" s="1"/>
  <c r="O247" i="113"/>
  <c r="P247" i="113" s="1"/>
  <c r="L248" i="113"/>
  <c r="O248" i="113" s="1"/>
  <c r="G283" i="113"/>
  <c r="M248" i="113" l="1"/>
  <c r="F284" i="113"/>
  <c r="Q247" i="113"/>
  <c r="P248" i="113"/>
  <c r="J247" i="112"/>
  <c r="I249" i="113"/>
  <c r="K247" i="112" l="1"/>
  <c r="I248" i="112" s="1"/>
  <c r="C250" i="113" s="1"/>
  <c r="H250" i="113" s="1"/>
  <c r="B250" i="113" s="1"/>
  <c r="L249" i="113"/>
  <c r="O249" i="113" s="1"/>
  <c r="P249" i="113" s="1"/>
  <c r="Q248" i="113"/>
  <c r="G284" i="113"/>
  <c r="J249" i="113"/>
  <c r="F285" i="113" l="1"/>
  <c r="Q249" i="113"/>
  <c r="I250" i="113"/>
  <c r="J248" i="112"/>
  <c r="M249" i="113"/>
  <c r="K248" i="112" l="1"/>
  <c r="I249" i="112" s="1"/>
  <c r="C251" i="113" s="1"/>
  <c r="H251" i="113" s="1"/>
  <c r="B251" i="113" s="1"/>
  <c r="L250" i="113"/>
  <c r="O250" i="113" s="1"/>
  <c r="P250" i="113" s="1"/>
  <c r="J250" i="113"/>
  <c r="G285" i="113"/>
  <c r="M250" i="113" l="1"/>
  <c r="I251" i="113"/>
  <c r="J251" i="113" s="1"/>
  <c r="J249" i="112"/>
  <c r="F286" i="113"/>
  <c r="Q250" i="113"/>
  <c r="G286" i="113" l="1"/>
  <c r="K249" i="112"/>
  <c r="I250" i="112" s="1"/>
  <c r="C252" i="113" s="1"/>
  <c r="H252" i="113" s="1"/>
  <c r="B252" i="113" s="1"/>
  <c r="L251" i="113"/>
  <c r="M251" i="113" l="1"/>
  <c r="F287" i="113"/>
  <c r="G287" i="113" s="1"/>
  <c r="O251" i="113"/>
  <c r="P251" i="113" s="1"/>
  <c r="J250" i="112"/>
  <c r="I252" i="113"/>
  <c r="Q251" i="113" l="1"/>
  <c r="F288" i="113"/>
  <c r="G288" i="113" s="1"/>
  <c r="L252" i="113"/>
  <c r="O252" i="113" s="1"/>
  <c r="P252" i="113" s="1"/>
  <c r="K250" i="112"/>
  <c r="I251" i="112" s="1"/>
  <c r="C253" i="113" s="1"/>
  <c r="H253" i="113" s="1"/>
  <c r="B253" i="113" s="1"/>
  <c r="J252" i="113"/>
  <c r="J251" i="112" l="1"/>
  <c r="F289" i="113"/>
  <c r="G289" i="113" s="1"/>
  <c r="Q252" i="113"/>
  <c r="I253" i="113"/>
  <c r="J253" i="113" s="1"/>
  <c r="K251" i="112"/>
  <c r="I252" i="112" s="1"/>
  <c r="C254" i="113" s="1"/>
  <c r="H254" i="113" s="1"/>
  <c r="B254" i="113" s="1"/>
  <c r="M252" i="113"/>
  <c r="I254" i="113" l="1"/>
  <c r="J254" i="113" s="1"/>
  <c r="J252" i="112"/>
  <c r="L253" i="113"/>
  <c r="F299" i="113"/>
  <c r="K252" i="112" l="1"/>
  <c r="I253" i="112" s="1"/>
  <c r="C255" i="113" s="1"/>
  <c r="H255" i="113" s="1"/>
  <c r="B255" i="113" s="1"/>
  <c r="O253" i="113"/>
  <c r="P253" i="113" s="1"/>
  <c r="M253" i="113"/>
  <c r="L254" i="113"/>
  <c r="O254" i="113" s="1"/>
  <c r="P254" i="113" l="1"/>
  <c r="Q253" i="113"/>
  <c r="M254" i="113"/>
  <c r="I255" i="113"/>
  <c r="J253" i="112"/>
  <c r="L255" i="113" l="1"/>
  <c r="K253" i="112"/>
  <c r="I254" i="112" s="1"/>
  <c r="C256" i="113" s="1"/>
  <c r="H256" i="113" s="1"/>
  <c r="B256" i="113" s="1"/>
  <c r="J255" i="113"/>
  <c r="Q254" i="113"/>
  <c r="I256" i="113" l="1"/>
  <c r="M255" i="113"/>
  <c r="J254" i="112"/>
  <c r="O255" i="113"/>
  <c r="P255" i="113" s="1"/>
  <c r="L256" i="113" l="1"/>
  <c r="O256" i="113" s="1"/>
  <c r="P256" i="113" s="1"/>
  <c r="Q255" i="113"/>
  <c r="K254" i="112"/>
  <c r="I255" i="112" s="1"/>
  <c r="C257" i="113" s="1"/>
  <c r="H257" i="113" s="1"/>
  <c r="B257" i="113" s="1"/>
  <c r="J256" i="113"/>
  <c r="Q256" i="113" l="1"/>
  <c r="I257" i="113"/>
  <c r="J257" i="113" s="1"/>
  <c r="J255" i="112"/>
  <c r="M256" i="113"/>
  <c r="K255" i="112" l="1"/>
  <c r="I256" i="112" s="1"/>
  <c r="C258" i="113" s="1"/>
  <c r="H258" i="113" s="1"/>
  <c r="B258" i="113" s="1"/>
  <c r="L257" i="113"/>
  <c r="O257" i="113" l="1"/>
  <c r="P257" i="113" s="1"/>
  <c r="J256" i="112"/>
  <c r="M257" i="113"/>
  <c r="I258" i="113"/>
  <c r="J258" i="113" s="1"/>
  <c r="Q257" i="113" l="1"/>
  <c r="L258" i="113"/>
  <c r="K256" i="112"/>
  <c r="I257" i="112" s="1"/>
  <c r="C259" i="113" s="1"/>
  <c r="H259" i="113" s="1"/>
  <c r="B259" i="113" s="1"/>
  <c r="J257" i="112" l="1"/>
  <c r="M258" i="113"/>
  <c r="O258" i="113"/>
  <c r="P258" i="113" s="1"/>
  <c r="I259" i="113"/>
  <c r="L259" i="113" l="1"/>
  <c r="J259" i="113"/>
  <c r="Q258" i="113"/>
  <c r="K257" i="112"/>
  <c r="I258" i="112" s="1"/>
  <c r="C260" i="113" s="1"/>
  <c r="H260" i="113" s="1"/>
  <c r="B260" i="113" s="1"/>
  <c r="I260" i="113" l="1"/>
  <c r="J258" i="112"/>
  <c r="M259" i="113"/>
  <c r="O259" i="113"/>
  <c r="P259" i="113" s="1"/>
  <c r="Q259" i="113" l="1"/>
  <c r="L260" i="113"/>
  <c r="K258" i="112"/>
  <c r="I259" i="112" s="1"/>
  <c r="C261" i="113" s="1"/>
  <c r="H261" i="113" s="1"/>
  <c r="B261" i="113" s="1"/>
  <c r="J260" i="113"/>
  <c r="I261" i="113" l="1"/>
  <c r="J261" i="113" s="1"/>
  <c r="M260" i="113"/>
  <c r="J259" i="112"/>
  <c r="O260" i="113"/>
  <c r="P260" i="113" s="1"/>
  <c r="Q260" i="113" l="1"/>
  <c r="K259" i="112"/>
  <c r="I260" i="112" s="1"/>
  <c r="C262" i="113" s="1"/>
  <c r="H262" i="113" s="1"/>
  <c r="B262" i="113" s="1"/>
  <c r="L261" i="113"/>
  <c r="O261" i="113" l="1"/>
  <c r="P261" i="113" s="1"/>
  <c r="J260" i="112"/>
  <c r="I262" i="113"/>
  <c r="M261" i="113"/>
  <c r="Q261" i="113" l="1"/>
  <c r="L262" i="113"/>
  <c r="O262" i="113" s="1"/>
  <c r="P262" i="113" s="1"/>
  <c r="J262" i="113"/>
  <c r="K260" i="112"/>
  <c r="I261" i="112" s="1"/>
  <c r="C263" i="113" s="1"/>
  <c r="H263" i="113" s="1"/>
  <c r="B263" i="113" s="1"/>
  <c r="Q262" i="113" l="1"/>
  <c r="J261" i="112"/>
  <c r="I263" i="113"/>
  <c r="M262" i="113"/>
  <c r="L263" i="113" l="1"/>
  <c r="J263" i="113"/>
  <c r="K261" i="112"/>
  <c r="I262" i="112" s="1"/>
  <c r="C264" i="113" s="1"/>
  <c r="H264" i="113" s="1"/>
  <c r="B264" i="113" s="1"/>
  <c r="J262" i="112" l="1"/>
  <c r="K262" i="112" s="1"/>
  <c r="I263" i="112" s="1"/>
  <c r="C265" i="113" s="1"/>
  <c r="H265" i="113" s="1"/>
  <c r="B265" i="113" s="1"/>
  <c r="I264" i="113"/>
  <c r="M263" i="113"/>
  <c r="O263" i="113"/>
  <c r="P263" i="113" s="1"/>
  <c r="Q263" i="113" l="1"/>
  <c r="L264" i="113"/>
  <c r="J264" i="113"/>
  <c r="J263" i="112"/>
  <c r="I265" i="113" l="1"/>
  <c r="K263" i="112"/>
  <c r="I264" i="112" s="1"/>
  <c r="C266" i="113" s="1"/>
  <c r="H266" i="113" s="1"/>
  <c r="B266" i="113" s="1"/>
  <c r="M264" i="113"/>
  <c r="O264" i="113"/>
  <c r="P264" i="113" s="1"/>
  <c r="L265" i="113" l="1"/>
  <c r="Q264" i="113"/>
  <c r="J264" i="112"/>
  <c r="J265" i="113"/>
  <c r="I266" i="113" l="1"/>
  <c r="J266" i="113" s="1"/>
  <c r="K264" i="112"/>
  <c r="I265" i="112" s="1"/>
  <c r="C267" i="113" s="1"/>
  <c r="H267" i="113" s="1"/>
  <c r="B267" i="113" s="1"/>
  <c r="M265" i="113"/>
  <c r="O265" i="113"/>
  <c r="P265" i="113" s="1"/>
  <c r="I267" i="113" l="1"/>
  <c r="J267" i="113" s="1"/>
  <c r="Q265" i="113"/>
  <c r="J265" i="112"/>
  <c r="L266" i="113"/>
  <c r="O266" i="113" s="1"/>
  <c r="P266" i="113" s="1"/>
  <c r="Q266" i="113" l="1"/>
  <c r="K265" i="112"/>
  <c r="I266" i="112" s="1"/>
  <c r="C268" i="113" s="1"/>
  <c r="H268" i="113" s="1"/>
  <c r="B268" i="113" s="1"/>
  <c r="M266" i="113"/>
  <c r="L267" i="113"/>
  <c r="O267" i="113" s="1"/>
  <c r="P267" i="113" s="1"/>
  <c r="I268" i="113" l="1"/>
  <c r="J268" i="113" s="1"/>
  <c r="Q267" i="113"/>
  <c r="M267" i="113"/>
  <c r="J266" i="112"/>
  <c r="L268" i="113" l="1"/>
  <c r="M268" i="113" s="1"/>
  <c r="K266" i="112"/>
  <c r="I267" i="112" s="1"/>
  <c r="C269" i="113" s="1"/>
  <c r="H269" i="113" s="1"/>
  <c r="B269" i="113" s="1"/>
  <c r="O268" i="113" l="1"/>
  <c r="P268" i="113" s="1"/>
  <c r="Q268" i="113" s="1"/>
  <c r="I269" i="113"/>
  <c r="J267" i="112"/>
  <c r="K267" i="112" l="1"/>
  <c r="I268" i="112" s="1"/>
  <c r="C270" i="113" s="1"/>
  <c r="H270" i="113" s="1"/>
  <c r="B270" i="113" s="1"/>
  <c r="L269" i="113"/>
  <c r="J269" i="113"/>
  <c r="J268" i="112" l="1"/>
  <c r="K268" i="112" s="1"/>
  <c r="I269" i="112" s="1"/>
  <c r="C271" i="113" s="1"/>
  <c r="H271" i="113" s="1"/>
  <c r="B271" i="113" s="1"/>
  <c r="I270" i="113"/>
  <c r="J270" i="113" s="1"/>
  <c r="M269" i="113"/>
  <c r="O269" i="113"/>
  <c r="P269" i="113" s="1"/>
  <c r="J269" i="112" l="1"/>
  <c r="K269" i="112" s="1"/>
  <c r="I270" i="112" s="1"/>
  <c r="C272" i="113" s="1"/>
  <c r="H272" i="113" s="1"/>
  <c r="B272" i="113" s="1"/>
  <c r="Q269" i="113"/>
  <c r="I271" i="113"/>
  <c r="J271" i="113" s="1"/>
  <c r="L270" i="113"/>
  <c r="J270" i="112" l="1"/>
  <c r="K270" i="112" s="1"/>
  <c r="I271" i="112" s="1"/>
  <c r="C273" i="113" s="1"/>
  <c r="H273" i="113" s="1"/>
  <c r="B273" i="113" s="1"/>
  <c r="L271" i="113"/>
  <c r="O271" i="113" s="1"/>
  <c r="O270" i="113"/>
  <c r="P270" i="113" s="1"/>
  <c r="I272" i="113"/>
  <c r="M270" i="113"/>
  <c r="M271" i="113" l="1"/>
  <c r="L272" i="113"/>
  <c r="J272" i="113"/>
  <c r="P271" i="113"/>
  <c r="Q270" i="113"/>
  <c r="J271" i="112"/>
  <c r="M272" i="113" l="1"/>
  <c r="K271" i="112"/>
  <c r="I272" i="112" s="1"/>
  <c r="C274" i="113" s="1"/>
  <c r="H274" i="113" s="1"/>
  <c r="B274" i="113" s="1"/>
  <c r="Q271" i="113"/>
  <c r="I273" i="113"/>
  <c r="O272" i="113"/>
  <c r="P272" i="113" s="1"/>
  <c r="Q272" i="113" l="1"/>
  <c r="L273" i="113"/>
  <c r="J273" i="113"/>
  <c r="J272" i="112"/>
  <c r="M273" i="113" l="1"/>
  <c r="I274" i="113"/>
  <c r="J274" i="113" s="1"/>
  <c r="K272" i="112"/>
  <c r="I273" i="112" s="1"/>
  <c r="C275" i="113" s="1"/>
  <c r="H275" i="113" s="1"/>
  <c r="B275" i="113" s="1"/>
  <c r="O273" i="113"/>
  <c r="P273" i="113" s="1"/>
  <c r="J273" i="112" l="1"/>
  <c r="K273" i="112" s="1"/>
  <c r="I274" i="112" s="1"/>
  <c r="C276" i="113" s="1"/>
  <c r="H276" i="113" s="1"/>
  <c r="B276" i="113" s="1"/>
  <c r="Q273" i="113"/>
  <c r="I275" i="113"/>
  <c r="J275" i="113" s="1"/>
  <c r="L274" i="113"/>
  <c r="O274" i="113" s="1"/>
  <c r="P274" i="113" s="1"/>
  <c r="Q274" i="113" l="1"/>
  <c r="I276" i="113"/>
  <c r="J276" i="113" s="1"/>
  <c r="M274" i="113"/>
  <c r="L275" i="113"/>
  <c r="J274" i="112"/>
  <c r="M275" i="113" l="1"/>
  <c r="K274" i="112"/>
  <c r="I275" i="112" s="1"/>
  <c r="C277" i="113" s="1"/>
  <c r="H277" i="113" s="1"/>
  <c r="B277" i="113" s="1"/>
  <c r="O275" i="113"/>
  <c r="P275" i="113" s="1"/>
  <c r="L276" i="113"/>
  <c r="O276" i="113" s="1"/>
  <c r="I277" i="113" l="1"/>
  <c r="J277" i="113" s="1"/>
  <c r="Q275" i="113"/>
  <c r="P276" i="113"/>
  <c r="J275" i="112"/>
  <c r="M276" i="113"/>
  <c r="L277" i="113" l="1"/>
  <c r="O277" i="113" s="1"/>
  <c r="P277" i="113" s="1"/>
  <c r="K275" i="112"/>
  <c r="I276" i="112" s="1"/>
  <c r="C278" i="113" s="1"/>
  <c r="H278" i="113" s="1"/>
  <c r="B278" i="113" s="1"/>
  <c r="Q276" i="113"/>
  <c r="Q277" i="113" l="1"/>
  <c r="I278" i="113"/>
  <c r="J278" i="113" s="1"/>
  <c r="J276" i="112"/>
  <c r="M277" i="113"/>
  <c r="K276" i="112" l="1"/>
  <c r="I277" i="112" s="1"/>
  <c r="C279" i="113" s="1"/>
  <c r="H279" i="113" s="1"/>
  <c r="B279" i="113" s="1"/>
  <c r="L278" i="113"/>
  <c r="O278" i="113" s="1"/>
  <c r="P278" i="113" s="1"/>
  <c r="Q278" i="113" l="1"/>
  <c r="J277" i="112"/>
  <c r="M278" i="113"/>
  <c r="I279" i="113"/>
  <c r="L279" i="113" l="1"/>
  <c r="O279" i="113" s="1"/>
  <c r="P279" i="113" s="1"/>
  <c r="K277" i="112"/>
  <c r="I278" i="112" s="1"/>
  <c r="C280" i="113" s="1"/>
  <c r="H280" i="113" s="1"/>
  <c r="B280" i="113" s="1"/>
  <c r="J279" i="113"/>
  <c r="I280" i="113" l="1"/>
  <c r="J280" i="113" s="1"/>
  <c r="Q279" i="113"/>
  <c r="J278" i="112"/>
  <c r="M279" i="113"/>
  <c r="K278" i="112" l="1"/>
  <c r="I279" i="112" s="1"/>
  <c r="C281" i="113" s="1"/>
  <c r="H281" i="113" s="1"/>
  <c r="B281" i="113" s="1"/>
  <c r="L280" i="113"/>
  <c r="O280" i="113" s="1"/>
  <c r="P280" i="113" s="1"/>
  <c r="Q280" i="113" l="1"/>
  <c r="J279" i="112"/>
  <c r="M280" i="113"/>
  <c r="I281" i="113"/>
  <c r="L281" i="113" l="1"/>
  <c r="O281" i="113" s="1"/>
  <c r="P281" i="113" s="1"/>
  <c r="K279" i="112"/>
  <c r="I280" i="112" s="1"/>
  <c r="C282" i="113" s="1"/>
  <c r="H282" i="113" s="1"/>
  <c r="B282" i="113" s="1"/>
  <c r="J281" i="113"/>
  <c r="I282" i="113" l="1"/>
  <c r="J282" i="113" s="1"/>
  <c r="Q281" i="113"/>
  <c r="J280" i="112"/>
  <c r="M281" i="113"/>
  <c r="K280" i="112" l="1"/>
  <c r="I281" i="112" s="1"/>
  <c r="C283" i="113" s="1"/>
  <c r="H283" i="113" s="1"/>
  <c r="B283" i="113" s="1"/>
  <c r="L282" i="113"/>
  <c r="O282" i="113" s="1"/>
  <c r="P282" i="113" s="1"/>
  <c r="Q282" i="113" l="1"/>
  <c r="J281" i="112"/>
  <c r="M282" i="113"/>
  <c r="I283" i="113"/>
  <c r="L283" i="113" l="1"/>
  <c r="O283" i="113" s="1"/>
  <c r="P283" i="113" s="1"/>
  <c r="K281" i="112"/>
  <c r="I282" i="112" s="1"/>
  <c r="C284" i="113" s="1"/>
  <c r="H284" i="113" s="1"/>
  <c r="B284" i="113" s="1"/>
  <c r="J283" i="113"/>
  <c r="I284" i="113" l="1"/>
  <c r="J284" i="113" s="1"/>
  <c r="Q283" i="113"/>
  <c r="J282" i="112"/>
  <c r="M283" i="113"/>
  <c r="K282" i="112" l="1"/>
  <c r="I283" i="112" s="1"/>
  <c r="L284" i="113"/>
  <c r="O284" i="113" s="1"/>
  <c r="P284" i="113" s="1"/>
  <c r="C285" i="113" l="1"/>
  <c r="I288" i="112"/>
  <c r="Q284" i="113"/>
  <c r="J283" i="112"/>
  <c r="K283" i="112" s="1"/>
  <c r="M284" i="113"/>
  <c r="H285" i="113" l="1"/>
  <c r="C299" i="113"/>
  <c r="B285" i="113" l="1"/>
  <c r="H299" i="113"/>
  <c r="I285" i="113"/>
  <c r="J285" i="113" s="1"/>
  <c r="I286" i="113" l="1"/>
  <c r="J286" i="113" s="1"/>
  <c r="L285" i="113"/>
  <c r="I287" i="113" l="1"/>
  <c r="M285" i="113"/>
  <c r="O285" i="113"/>
  <c r="P285" i="113" s="1"/>
  <c r="L286" i="113" l="1"/>
  <c r="M286" i="113" s="1"/>
  <c r="L287" i="113"/>
  <c r="O286" i="113"/>
  <c r="P286" i="113" s="1"/>
  <c r="Q285" i="113"/>
  <c r="J287" i="113"/>
  <c r="M287" i="113" l="1"/>
  <c r="Q286" i="113"/>
  <c r="I288" i="113"/>
  <c r="J288" i="113" s="1"/>
  <c r="O287" i="113"/>
  <c r="P287" i="113" s="1"/>
  <c r="Q287" i="113" l="1"/>
  <c r="I289" i="113"/>
  <c r="J289" i="113" s="1"/>
  <c r="L288" i="113"/>
  <c r="M288" i="113" l="1"/>
  <c r="O288" i="113"/>
  <c r="P288" i="113" s="1"/>
  <c r="I299" i="113"/>
  <c r="L289" i="113"/>
  <c r="L299" i="113" l="1"/>
  <c r="O289" i="113"/>
  <c r="O299" i="113" s="1"/>
  <c r="M289" i="113"/>
  <c r="Q288" i="113"/>
  <c r="P289" i="113" l="1"/>
  <c r="P290" i="113" s="1"/>
  <c r="Q289" i="113" l="1"/>
  <c r="P291" i="113"/>
  <c r="Q290" i="113"/>
  <c r="P292" i="113" l="1"/>
  <c r="Q291" i="113"/>
  <c r="Q292" i="113" l="1"/>
  <c r="P293" i="113"/>
  <c r="Q293" i="113" l="1"/>
  <c r="P294" i="113"/>
  <c r="Q294" i="113" l="1"/>
  <c r="P295" i="113"/>
  <c r="Q295" i="113" l="1"/>
  <c r="Q297" i="113"/>
  <c r="Q296" i="113"/>
  <c r="Q298" i="113"/>
  <c r="C73" i="162" l="1"/>
  <c r="E73" i="162" s="1"/>
  <c r="C46" i="162"/>
  <c r="E46" i="162" s="1"/>
  <c r="C61" i="162"/>
  <c r="E61" i="162" s="1"/>
  <c r="C20" i="162"/>
  <c r="E20" i="162" s="1"/>
  <c r="C24" i="162"/>
  <c r="E24" i="162" s="1"/>
  <c r="C53" i="162"/>
  <c r="E53" i="162" s="1"/>
  <c r="C40" i="162"/>
  <c r="E40" i="162" s="1"/>
  <c r="C10" i="162"/>
  <c r="E10" i="162" s="1"/>
  <c r="C65" i="162"/>
  <c r="E65" i="162" s="1"/>
  <c r="C69" i="162"/>
  <c r="E69" i="162" s="1"/>
  <c r="C6" i="162"/>
  <c r="E6" i="162" s="1"/>
  <c r="C68" i="162" l="1"/>
  <c r="C70" i="160"/>
  <c r="C39" i="162"/>
  <c r="C41" i="160"/>
  <c r="C9" i="162"/>
  <c r="C12" i="160"/>
  <c r="D15" i="159" s="1"/>
  <c r="C64" i="162"/>
  <c r="C66" i="160"/>
  <c r="C35" i="162"/>
  <c r="C36" i="160"/>
  <c r="C23" i="162"/>
  <c r="C25" i="160"/>
  <c r="C31" i="162"/>
  <c r="C32" i="160"/>
  <c r="C17" i="162"/>
  <c r="C21" i="160"/>
  <c r="C60" i="162"/>
  <c r="C62" i="160"/>
  <c r="C5" i="162"/>
  <c r="C7" i="160"/>
  <c r="C27" i="162"/>
  <c r="C28" i="160"/>
  <c r="C72" i="162"/>
  <c r="C74" i="160"/>
  <c r="D27" i="159" s="1"/>
  <c r="C45" i="162"/>
  <c r="C47" i="160"/>
  <c r="D36" i="160"/>
  <c r="D32" i="160"/>
  <c r="E27" i="159" l="1"/>
  <c r="F27" i="159" s="1"/>
  <c r="E15" i="159"/>
  <c r="F15" i="159" s="1"/>
  <c r="D22" i="159"/>
  <c r="D18" i="159"/>
  <c r="D14" i="159"/>
  <c r="D7" i="160"/>
  <c r="D12" i="160"/>
  <c r="D62" i="160"/>
  <c r="D66" i="160"/>
  <c r="D21" i="160"/>
  <c r="D25" i="160"/>
  <c r="D28" i="160"/>
  <c r="C47" i="162"/>
  <c r="E45" i="162"/>
  <c r="E47" i="162" s="1"/>
  <c r="C74" i="162"/>
  <c r="E72" i="162"/>
  <c r="E74" i="162" s="1"/>
  <c r="C28" i="162"/>
  <c r="C62" i="162"/>
  <c r="E60" i="162"/>
  <c r="E62" i="162" s="1"/>
  <c r="C32" i="162"/>
  <c r="E31" i="162"/>
  <c r="E32" i="162" s="1"/>
  <c r="C66" i="162"/>
  <c r="E64" i="162"/>
  <c r="E66" i="162" s="1"/>
  <c r="C41" i="162"/>
  <c r="E39" i="162"/>
  <c r="E41" i="162" s="1"/>
  <c r="D41" i="160"/>
  <c r="D54" i="160"/>
  <c r="D16" i="159"/>
  <c r="D47" i="160"/>
  <c r="D17" i="159"/>
  <c r="D20" i="159"/>
  <c r="C7" i="162"/>
  <c r="E5" i="162"/>
  <c r="C21" i="162"/>
  <c r="E17" i="162"/>
  <c r="E21" i="162" s="1"/>
  <c r="C25" i="162"/>
  <c r="E23" i="162"/>
  <c r="E25" i="162" s="1"/>
  <c r="C36" i="162"/>
  <c r="E35" i="162"/>
  <c r="E36" i="162" s="1"/>
  <c r="E9" i="162"/>
  <c r="D60" i="159" s="1"/>
  <c r="C12" i="162"/>
  <c r="D26" i="159"/>
  <c r="D70" i="160"/>
  <c r="D74" i="160"/>
  <c r="D24" i="159"/>
  <c r="D19" i="159"/>
  <c r="D25" i="159"/>
  <c r="D21" i="159"/>
  <c r="C70" i="162"/>
  <c r="E68" i="162"/>
  <c r="E70" i="162" s="1"/>
  <c r="H27" i="159" l="1"/>
  <c r="E18" i="159"/>
  <c r="E17" i="159"/>
  <c r="H17" i="159" s="1"/>
  <c r="E16" i="159"/>
  <c r="H16" i="159" s="1"/>
  <c r="H15" i="159"/>
  <c r="E19" i="159"/>
  <c r="F19" i="159" s="1"/>
  <c r="E21" i="159"/>
  <c r="H21" i="159" s="1"/>
  <c r="E24" i="159"/>
  <c r="H24" i="159" s="1"/>
  <c r="E25" i="159"/>
  <c r="H25" i="159" s="1"/>
  <c r="E26" i="159"/>
  <c r="F26" i="159" s="1"/>
  <c r="E20" i="159"/>
  <c r="F20" i="159" s="1"/>
  <c r="E14" i="159"/>
  <c r="H14" i="159" s="1"/>
  <c r="E22" i="159"/>
  <c r="H22" i="159" s="1"/>
  <c r="F18" i="159"/>
  <c r="F17" i="159"/>
  <c r="E7" i="162"/>
  <c r="E12" i="162"/>
  <c r="D28" i="162"/>
  <c r="D84" i="162" s="1"/>
  <c r="E27" i="162"/>
  <c r="E28" i="162" s="1"/>
  <c r="H19" i="159" l="1"/>
  <c r="H20" i="159"/>
  <c r="H26" i="159"/>
  <c r="F21" i="159"/>
  <c r="F16" i="159"/>
  <c r="F22" i="159"/>
  <c r="F25" i="159"/>
  <c r="F24" i="159"/>
  <c r="F14" i="159"/>
  <c r="D81" i="160"/>
  <c r="D82" i="160" s="1"/>
  <c r="G18" i="159"/>
  <c r="C54" i="160"/>
  <c r="C52" i="162"/>
  <c r="C54" i="162" s="1"/>
  <c r="C84" i="162" s="1"/>
  <c r="H18" i="159" l="1"/>
  <c r="C81" i="160"/>
  <c r="C82" i="160" s="1"/>
  <c r="G29" i="159"/>
  <c r="D23" i="159"/>
  <c r="E52" i="162"/>
  <c r="E23" i="159" l="1"/>
  <c r="H23" i="159" s="1"/>
  <c r="H29" i="159" s="1"/>
  <c r="F23" i="159"/>
  <c r="F29" i="159" s="1"/>
  <c r="D29" i="159"/>
  <c r="E54" i="162"/>
  <c r="E84" i="162" s="1"/>
  <c r="D59" i="159"/>
  <c r="E29" i="159" l="1"/>
  <c r="D61" i="159"/>
</calcChain>
</file>

<file path=xl/comments1.xml><?xml version="1.0" encoding="utf-8"?>
<comments xmlns="http://schemas.openxmlformats.org/spreadsheetml/2006/main">
  <authors>
    <author>akello</author>
  </authors>
  <commentList>
    <comment ref="D24" authorId="0" shapeId="0">
      <text>
        <r>
          <rPr>
            <sz val="9"/>
            <color indexed="81"/>
            <rFont val="Tahoma"/>
            <family val="2"/>
          </rPr>
          <t xml:space="preserve">trueup for Ferndale variable costs for Oct'13.
</t>
        </r>
      </text>
    </comment>
  </commentList>
</comments>
</file>

<file path=xl/comments2.xml><?xml version="1.0" encoding="utf-8"?>
<comments xmlns="http://schemas.openxmlformats.org/spreadsheetml/2006/main">
  <authors>
    <author>akello</author>
  </authors>
  <commentList>
    <comment ref="D30" authorId="0" shapeId="0">
      <text>
        <r>
          <rPr>
            <sz val="8"/>
            <color indexed="81"/>
            <rFont val="Tahoma"/>
            <family val="2"/>
          </rPr>
          <t>True-up MF Variable cost JE 48 (accrued Gas Cost for CT) per Annette Moore 8/9/10.</t>
        </r>
      </text>
    </comment>
  </commentList>
</comments>
</file>

<file path=xl/comments3.xml><?xml version="1.0" encoding="utf-8"?>
<comments xmlns="http://schemas.openxmlformats.org/spreadsheetml/2006/main">
  <authors>
    <author>Puget Sound Energy</author>
  </authors>
  <commentList>
    <comment ref="F30" authorId="0" shapeId="0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Did not actually record  amortization for Nov 09 - Mar 10 b/c not yet approved.  A true-up entry will be made in april 2010.</t>
        </r>
      </text>
    </comment>
  </commentList>
</comments>
</file>

<file path=xl/comments4.xml><?xml version="1.0" encoding="utf-8"?>
<comments xmlns="http://schemas.openxmlformats.org/spreadsheetml/2006/main">
  <authors>
    <author>akello</author>
  </authors>
  <commentList>
    <comment ref="F38" authorId="0" shapeId="0">
      <text>
        <r>
          <rPr>
            <b/>
            <sz val="8"/>
            <color indexed="81"/>
            <rFont val="Tahoma"/>
            <family val="2"/>
          </rPr>
          <t>akello:</t>
        </r>
        <r>
          <rPr>
            <sz val="8"/>
            <color indexed="81"/>
            <rFont val="Tahoma"/>
            <family val="2"/>
          </rPr>
          <t xml:space="preserve">
True-up 2010 calendar year not amortized.
And adjust Jan-11 thru Apr-12 amort to lower monthly amort amount from order.</t>
        </r>
      </text>
    </comment>
  </commentList>
</comments>
</file>

<file path=xl/sharedStrings.xml><?xml version="1.0" encoding="utf-8"?>
<sst xmlns="http://schemas.openxmlformats.org/spreadsheetml/2006/main" count="2453" uniqueCount="884">
  <si>
    <t>Interest</t>
  </si>
  <si>
    <t>Amort</t>
  </si>
  <si>
    <t>Balance</t>
  </si>
  <si>
    <t>Amortization</t>
  </si>
  <si>
    <t>Amount</t>
  </si>
  <si>
    <t>Beginning</t>
  </si>
  <si>
    <t>Period</t>
  </si>
  <si>
    <t>Total</t>
  </si>
  <si>
    <t>Puget Sound Energy</t>
  </si>
  <si>
    <t>Net</t>
  </si>
  <si>
    <t>Month/Period</t>
  </si>
  <si>
    <t>AMA</t>
  </si>
  <si>
    <t>Monthly</t>
  </si>
  <si>
    <t>Accumulated</t>
  </si>
  <si>
    <t>Net Book</t>
  </si>
  <si>
    <t>Month</t>
  </si>
  <si>
    <t>Value</t>
  </si>
  <si>
    <t>DFIT</t>
  </si>
  <si>
    <t xml:space="preserve">13 Mon AMA </t>
  </si>
  <si>
    <t>With DFIT</t>
  </si>
  <si>
    <t>Activity</t>
  </si>
  <si>
    <t>NBV net of</t>
  </si>
  <si>
    <t>(a)</t>
  </si>
  <si>
    <t>(b)</t>
  </si>
  <si>
    <t xml:space="preserve">(c) </t>
  </si>
  <si>
    <t>(f)</t>
  </si>
  <si>
    <t>Net Balance</t>
  </si>
  <si>
    <t>AA &amp; ADFIT</t>
  </si>
  <si>
    <t>(Note 1)</t>
  </si>
  <si>
    <t>net of</t>
  </si>
  <si>
    <t>(g)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</si>
  <si>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</si>
  <si>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</si>
  <si>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</si>
  <si>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</si>
  <si>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</si>
  <si>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</si>
  <si>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</si>
  <si>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</si>
  <si>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</si>
  <si>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</si>
  <si>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</si>
  <si>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</si>
  <si>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</si>
  <si>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</si>
  <si>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</si>
  <si>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</si>
  <si>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</si>
  <si>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</si>
  <si>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</si>
  <si>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</si>
  <si>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</si>
  <si>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</si>
  <si>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</si>
  <si>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</si>
  <si>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</si>
  <si>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</si>
  <si>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</si>
  <si>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</si>
  <si>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</si>
  <si>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</si>
  <si>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</si>
  <si>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</si>
  <si>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</si>
  <si>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</si>
  <si>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</si>
  <si>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</si>
  <si>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</si>
  <si>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</si>
  <si>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</si>
  <si>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</si>
  <si>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</si>
  <si>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</si>
  <si>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</si>
  <si>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</si>
  <si>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</si>
  <si>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</si>
  <si>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</si>
  <si>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Deferral</t>
  </si>
  <si>
    <t xml:space="preserve">Monthly </t>
  </si>
  <si>
    <t>(j)</t>
  </si>
  <si>
    <t>(m)</t>
  </si>
  <si>
    <t>months</t>
  </si>
  <si>
    <t>Depreciation Method:</t>
  </si>
  <si>
    <t>Straight-line</t>
  </si>
  <si>
    <t>Date</t>
  </si>
  <si>
    <t>Accum Amort</t>
  </si>
  <si>
    <t>Net Credit Value</t>
  </si>
  <si>
    <t>NBV Diff</t>
  </si>
  <si>
    <t>ADFIT</t>
  </si>
  <si>
    <t>DFIT Expense</t>
  </si>
  <si>
    <t>Tax</t>
  </si>
  <si>
    <t>Book</t>
  </si>
  <si>
    <t>Book &gt; Tax</t>
  </si>
  <si>
    <t>(c)</t>
  </si>
  <si>
    <t>(g) = (a) + (e)</t>
  </si>
  <si>
    <t>(h) = (b) + (f)</t>
  </si>
  <si>
    <t>(i) = (h) - (g)</t>
  </si>
  <si>
    <t>(j) = - (i) * 35%</t>
  </si>
  <si>
    <t>Costs</t>
  </si>
  <si>
    <t xml:space="preserve">Mint Farm Deferral </t>
  </si>
  <si>
    <t>AMA Gross</t>
  </si>
  <si>
    <t>AMA Accum.</t>
  </si>
  <si>
    <t>Accum DFIT</t>
  </si>
  <si>
    <t>AMA net of</t>
  </si>
  <si>
    <t xml:space="preserve">(a) </t>
  </si>
  <si>
    <t xml:space="preserve">(d) = (b) / </t>
  </si>
  <si>
    <r>
      <t xml:space="preserve"> </t>
    </r>
    <r>
      <rPr>
        <sz val="10"/>
        <rFont val="Symbol"/>
        <family val="1"/>
        <charset val="2"/>
      </rPr>
      <t>å</t>
    </r>
    <r>
      <rPr>
        <sz val="10"/>
        <rFont val="Arial"/>
        <family val="2"/>
      </rPr>
      <t xml:space="preserve"> - (d) = (e)</t>
    </r>
  </si>
  <si>
    <t>(g) = (c) + (f)</t>
  </si>
  <si>
    <t>(h) = (-(a) *</t>
  </si>
  <si>
    <r>
      <t xml:space="preserve"> </t>
    </r>
    <r>
      <rPr>
        <sz val="10"/>
        <rFont val="Symbol"/>
        <family val="1"/>
        <charset val="2"/>
      </rPr>
      <t>å</t>
    </r>
    <r>
      <rPr>
        <sz val="10"/>
        <rFont val="Arial"/>
        <family val="2"/>
      </rPr>
      <t xml:space="preserve"> - (h) = (i)</t>
    </r>
  </si>
  <si>
    <t>(l) = (g) + (j)</t>
  </si>
  <si>
    <t>180 months</t>
  </si>
  <si>
    <t>35%) + ((d) * 35%)</t>
  </si>
  <si>
    <t>prior mo - (d) = (e)</t>
  </si>
  <si>
    <t xml:space="preserve"> prior mo - (h) = (i)</t>
  </si>
  <si>
    <t>Payment Received:</t>
  </si>
  <si>
    <t>Accounts:</t>
  </si>
  <si>
    <t>Contract Start Date: November 1, 2009</t>
  </si>
  <si>
    <t>Amort Period</t>
  </si>
  <si>
    <t>Payment Recived</t>
  </si>
  <si>
    <t>(k) = - curr</t>
  </si>
  <si>
    <r>
      <t xml:space="preserve">(d) = (b) </t>
    </r>
    <r>
      <rPr>
        <b/>
        <sz val="10"/>
        <rFont val="Symbol"/>
        <family val="1"/>
        <charset val="2"/>
      </rPr>
      <t>¸</t>
    </r>
    <r>
      <rPr>
        <b/>
        <sz val="10"/>
        <rFont val="Arial"/>
        <family val="2"/>
      </rPr>
      <t xml:space="preserve"> 108</t>
    </r>
  </si>
  <si>
    <t>(e) = prior</t>
  </si>
  <si>
    <t>(f) = prior</t>
  </si>
  <si>
    <t>month (j) +</t>
  </si>
  <si>
    <t>(m) = AMA on</t>
  </si>
  <si>
    <t>month - (c)</t>
  </si>
  <si>
    <t>month - (d)</t>
  </si>
  <si>
    <t>prior month (j)</t>
  </si>
  <si>
    <t>(l) = (h) + (j)</t>
  </si>
  <si>
    <t>(l)</t>
  </si>
  <si>
    <t>FB Energy</t>
  </si>
  <si>
    <t>Contract Start Date: April 1, 2010 - October 31, 2018</t>
  </si>
  <si>
    <t xml:space="preserve">AMA </t>
  </si>
  <si>
    <t xml:space="preserve">(c) = (b) / </t>
  </si>
  <si>
    <t>Balance Net</t>
  </si>
  <si>
    <t xml:space="preserve"> of Accum Amort</t>
  </si>
  <si>
    <t>(b) + (e) = (f)</t>
  </si>
  <si>
    <t>Amortization Schedule Adapted Accounting Procedures Docket NO. UE-090704</t>
  </si>
  <si>
    <t>(e)</t>
  </si>
  <si>
    <t xml:space="preserve">Chelan PUD Contract Initiation </t>
  </si>
  <si>
    <t>Amortization Schedule Adapted Accounting Procedures Docket NO. UE-060539</t>
  </si>
  <si>
    <t>240 months</t>
  </si>
  <si>
    <t># 28300561</t>
  </si>
  <si>
    <t>Carrying Costs</t>
  </si>
  <si>
    <t xml:space="preserve">Amortization starts Nov, 2011 and ends Oct, 2031 (240 months) </t>
  </si>
  <si>
    <t>GL.Bal.</t>
  </si>
  <si>
    <t xml:space="preserve">(d) </t>
  </si>
  <si>
    <t># 18230351</t>
  </si>
  <si>
    <t xml:space="preserve">(e) = (c) / </t>
  </si>
  <si>
    <r>
      <t xml:space="preserve"> </t>
    </r>
    <r>
      <rPr>
        <sz val="10"/>
        <rFont val="Symbol"/>
        <family val="1"/>
        <charset val="2"/>
      </rPr>
      <t>å</t>
    </r>
    <r>
      <rPr>
        <sz val="10"/>
        <rFont val="Arial"/>
        <family val="2"/>
      </rPr>
      <t xml:space="preserve"> - (d) = (f)</t>
    </r>
  </si>
  <si>
    <t>(h) = (c) + (g)</t>
  </si>
  <si>
    <t>(i) = (c) + (f)</t>
  </si>
  <si>
    <t>(j) = (-(a) *</t>
  </si>
  <si>
    <t>35%) + ((b) * 35%)</t>
  </si>
  <si>
    <r>
      <t xml:space="preserve"> </t>
    </r>
    <r>
      <rPr>
        <sz val="10"/>
        <rFont val="Symbol"/>
        <family val="1"/>
        <charset val="2"/>
      </rPr>
      <t>å</t>
    </r>
    <r>
      <rPr>
        <sz val="10"/>
        <rFont val="Arial"/>
        <family val="2"/>
      </rPr>
      <t xml:space="preserve"> - (j) = (k)</t>
    </r>
  </si>
  <si>
    <t>(m) = (h) + (l)</t>
  </si>
  <si>
    <t>to the carrying charges.  The need for DFIT on this Reg Asset was not identified until Aug 2008.  Therefore, the Aug &amp; Sept 2008 DFIT entries represent true-ups for April 2006 - Aug 2008.</t>
  </si>
  <si>
    <t xml:space="preserve">(Note 1) Book and Tax treatment of original payment of $89M is the same.  Tax treats $89M carrying costs as income where book treats as a deferral.  Therefore a DFIT exists related </t>
  </si>
  <si>
    <t xml:space="preserve"> </t>
  </si>
  <si>
    <t>COLSTRIP 1 and 2 PREPAYMENT</t>
  </si>
  <si>
    <t># 16599011</t>
  </si>
  <si>
    <t>Beg Bal Mar '07</t>
  </si>
  <si>
    <t>Amort. Beg Jan 2011</t>
  </si>
  <si>
    <r>
      <t xml:space="preserve">(d) = (b) </t>
    </r>
    <r>
      <rPr>
        <b/>
        <sz val="10"/>
        <rFont val="Symbol"/>
        <family val="1"/>
        <charset val="2"/>
      </rPr>
      <t>¸</t>
    </r>
    <r>
      <rPr>
        <b/>
        <sz val="10"/>
        <rFont val="Arial"/>
        <family val="2"/>
      </rPr>
      <t xml:space="preserve"> 103</t>
    </r>
  </si>
  <si>
    <t>Beg Bal May '11</t>
  </si>
  <si>
    <t>Amortization starts April, 2010 and ends March, 2025 (180 months)</t>
  </si>
  <si>
    <t>Apr 1 - 7 /10</t>
  </si>
  <si>
    <t xml:space="preserve">Beg Balance:  </t>
  </si>
  <si>
    <t>Payment Received</t>
  </si>
  <si>
    <t>25302121 &amp; 19000711 &amp; 25400191</t>
  </si>
  <si>
    <t>#25400191</t>
  </si>
  <si>
    <t>#18235521</t>
  </si>
  <si>
    <t>Bal + Accum. A</t>
  </si>
  <si>
    <t>#18600351</t>
  </si>
  <si>
    <t>#18600361</t>
  </si>
  <si>
    <t>#18600371</t>
  </si>
  <si>
    <t># 19000711</t>
  </si>
  <si>
    <t>Payment Received from FB Energy - UE-090704</t>
  </si>
  <si>
    <t>#19000151</t>
  </si>
  <si>
    <t>#12800001</t>
  </si>
  <si>
    <t>CHELAN SECURITY DEPOSIT ($18.5M will be returned a credit against PSE's final payment by Chelan after 20 yrs contract)</t>
  </si>
  <si>
    <t>PSE does not receive the benefit of any interest earned on these funds $18.5M.</t>
  </si>
  <si>
    <t xml:space="preserve">PREPAID TRANSMISSION LOWER SNAKE RIVER </t>
  </si>
  <si>
    <t xml:space="preserve">Amortization starts May, 2012 and ends April, 2037 (300 months) </t>
  </si>
  <si>
    <t>CALCULATION OF CARRYING CHARGES and RELATED RESERVE LSR BPA TRANSMISSION DEPOSITS UE-100882</t>
  </si>
  <si>
    <t xml:space="preserve">Principal </t>
  </si>
  <si>
    <t>Carrying</t>
  </si>
  <si>
    <t>Accum.</t>
  </si>
  <si>
    <t>AMA carrying</t>
  </si>
  <si>
    <t>charges Bal.</t>
  </si>
  <si>
    <t>Expense</t>
  </si>
  <si>
    <t>(c) + (e) = (g)</t>
  </si>
  <si>
    <t>(h) = current month (g)-</t>
  </si>
  <si>
    <t xml:space="preserve">prior mo(h)- </t>
  </si>
  <si>
    <t xml:space="preserve"> prior mo + (k) = (l)</t>
  </si>
  <si>
    <t>(n) = (i) + (m)</t>
  </si>
  <si>
    <t xml:space="preserve"> prior mo + (i) = (j)</t>
  </si>
  <si>
    <t># 18600581</t>
  </si>
  <si>
    <t># 18600591</t>
  </si>
  <si>
    <t>300 Mos (25yrs)</t>
  </si>
  <si>
    <t>prior month(j) * 35%)</t>
  </si>
  <si>
    <t>current mo(h) =(i)</t>
  </si>
  <si>
    <t>May 1 - 19, 2010</t>
  </si>
  <si>
    <t>May 20-31 / 2010</t>
  </si>
  <si>
    <t xml:space="preserve">March 2011 </t>
  </si>
  <si>
    <t xml:space="preserve">April 2011 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</si>
  <si>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</si>
  <si>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</si>
  <si>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</si>
  <si>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</si>
  <si>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</si>
  <si>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</si>
  <si>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</si>
  <si>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</si>
  <si>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</si>
  <si>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</si>
  <si>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</si>
  <si>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</si>
  <si>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</si>
  <si>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</si>
  <si>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</si>
  <si>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</si>
  <si>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</si>
  <si>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</si>
  <si>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</si>
  <si>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</si>
  <si>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</si>
  <si>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</si>
  <si>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</si>
  <si>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</si>
  <si>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</si>
  <si>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</si>
  <si>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</si>
  <si>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</si>
  <si>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</si>
  <si>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</si>
  <si>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</si>
  <si>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</si>
  <si>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</si>
  <si>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</si>
  <si>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</si>
  <si>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</si>
  <si>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</si>
  <si>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</si>
  <si>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</si>
  <si>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</si>
  <si>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</si>
  <si>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</si>
  <si>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</si>
  <si>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</si>
  <si>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</si>
  <si>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</si>
  <si>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</si>
  <si>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</si>
  <si>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</si>
  <si>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</si>
  <si>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</si>
  <si>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</si>
  <si>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</si>
  <si>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</si>
  <si>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</si>
  <si>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</si>
  <si>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</si>
  <si>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</si>
  <si>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</si>
  <si>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</si>
  <si>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</si>
  <si>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</si>
  <si>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</si>
  <si>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</si>
  <si>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</si>
  <si>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</si>
  <si>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</si>
  <si>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</si>
  <si>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</si>
  <si>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</si>
  <si>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</si>
  <si>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</si>
  <si>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</si>
  <si>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</si>
  <si>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</si>
  <si>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</si>
  <si>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</si>
  <si>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</si>
  <si>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</si>
  <si>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</si>
  <si>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</si>
  <si>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</si>
  <si>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</si>
  <si>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</si>
  <si>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</si>
  <si>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</si>
  <si>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</si>
  <si>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</si>
  <si>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</si>
  <si>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</si>
  <si>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</si>
  <si>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</si>
  <si>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</si>
  <si>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</si>
  <si>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</si>
  <si>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</si>
  <si>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</si>
  <si>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</si>
  <si>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</si>
  <si>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</si>
  <si>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</si>
  <si>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</si>
  <si>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</si>
  <si>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</si>
  <si>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</si>
  <si>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</si>
  <si>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</si>
  <si>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</si>
  <si>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</si>
  <si>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</si>
  <si>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</si>
  <si>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</si>
  <si>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</si>
  <si>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</si>
  <si>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</si>
  <si>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</si>
  <si>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</si>
  <si>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</si>
  <si>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</si>
  <si>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</si>
  <si>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</si>
  <si>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</si>
  <si>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</si>
  <si>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</si>
  <si>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</si>
  <si>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</si>
  <si>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</si>
  <si>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</si>
  <si>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</si>
  <si>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</si>
  <si>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</si>
  <si>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</si>
  <si>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</si>
  <si>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</si>
  <si>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</si>
  <si>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</si>
  <si>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</si>
  <si>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</si>
  <si>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</si>
  <si>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</si>
  <si>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</si>
  <si>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</si>
  <si>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</si>
  <si>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</si>
  <si>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</si>
  <si>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</si>
  <si>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</si>
  <si>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</si>
  <si>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</si>
  <si>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</si>
  <si>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</si>
  <si>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</si>
  <si>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</si>
  <si>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</si>
  <si>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</si>
  <si>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</si>
  <si>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</si>
  <si>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</si>
  <si>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</si>
  <si>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</si>
  <si>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</si>
  <si>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</si>
  <si>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</si>
  <si>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</si>
  <si>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</si>
  <si>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</si>
  <si>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July 2026</t>
  </si>
  <si>
    <t>August 2026</t>
  </si>
  <si>
    <t>September 2026</t>
  </si>
  <si>
    <t>October 2026</t>
  </si>
  <si>
    <t>November 2026</t>
  </si>
  <si>
    <t>December 2026</t>
  </si>
  <si>
    <t>January 2027</t>
  </si>
  <si>
    <t>February 2027</t>
  </si>
  <si>
    <t>March 2027</t>
  </si>
  <si>
    <t>April 2027</t>
  </si>
  <si>
    <t>May 2027</t>
  </si>
  <si>
    <t>June 2027</t>
  </si>
  <si>
    <t>July 2027</t>
  </si>
  <si>
    <t>August 2027</t>
  </si>
  <si>
    <t>September 2027</t>
  </si>
  <si>
    <t>October 2027</t>
  </si>
  <si>
    <t>November 2027</t>
  </si>
  <si>
    <t>December 2027</t>
  </si>
  <si>
    <t>January 2028</t>
  </si>
  <si>
    <t>February 2028</t>
  </si>
  <si>
    <t>March 2028</t>
  </si>
  <si>
    <t>April 2028</t>
  </si>
  <si>
    <t>May 2028</t>
  </si>
  <si>
    <t>June 2028</t>
  </si>
  <si>
    <t>July 2028</t>
  </si>
  <si>
    <t>August 2028</t>
  </si>
  <si>
    <t>September 2028</t>
  </si>
  <si>
    <t>October 2028</t>
  </si>
  <si>
    <t>November 2028</t>
  </si>
  <si>
    <t>December 2028</t>
  </si>
  <si>
    <t>January 2029</t>
  </si>
  <si>
    <t>February 2029</t>
  </si>
  <si>
    <t>March 2029</t>
  </si>
  <si>
    <t>April 2029</t>
  </si>
  <si>
    <t>May 2029</t>
  </si>
  <si>
    <t>June 2029</t>
  </si>
  <si>
    <t>July 2029</t>
  </si>
  <si>
    <t>August 2029</t>
  </si>
  <si>
    <t>September 2029</t>
  </si>
  <si>
    <t>October 2029</t>
  </si>
  <si>
    <t>November 2029</t>
  </si>
  <si>
    <t>December 2029</t>
  </si>
  <si>
    <t>January 2030</t>
  </si>
  <si>
    <t>February 2030</t>
  </si>
  <si>
    <t>March 2030</t>
  </si>
  <si>
    <t>April 2030</t>
  </si>
  <si>
    <t>May 2030</t>
  </si>
  <si>
    <t>June 2030</t>
  </si>
  <si>
    <t>July 2030</t>
  </si>
  <si>
    <t>August 2030</t>
  </si>
  <si>
    <t>September 2030</t>
  </si>
  <si>
    <t>October 2030</t>
  </si>
  <si>
    <t>November 2030</t>
  </si>
  <si>
    <t>December 2030</t>
  </si>
  <si>
    <t>January 2031</t>
  </si>
  <si>
    <t>February 2031</t>
  </si>
  <si>
    <t>March 2031</t>
  </si>
  <si>
    <t>April 2031</t>
  </si>
  <si>
    <t>May 2031</t>
  </si>
  <si>
    <t>June 2031</t>
  </si>
  <si>
    <t>July 2031</t>
  </si>
  <si>
    <t>August 2031</t>
  </si>
  <si>
    <t>September 2031</t>
  </si>
  <si>
    <t>October 2031</t>
  </si>
  <si>
    <t>November 2031</t>
  </si>
  <si>
    <t>December 2031</t>
  </si>
  <si>
    <t>January 2032</t>
  </si>
  <si>
    <t>February 2032</t>
  </si>
  <si>
    <t>March 2032</t>
  </si>
  <si>
    <t>April 2032</t>
  </si>
  <si>
    <t>May 2032</t>
  </si>
  <si>
    <t>June 2032</t>
  </si>
  <si>
    <t>July 2032</t>
  </si>
  <si>
    <t>August 2032</t>
  </si>
  <si>
    <t>September 2032</t>
  </si>
  <si>
    <t>October 2032</t>
  </si>
  <si>
    <t>November 2032</t>
  </si>
  <si>
    <t>December 2032</t>
  </si>
  <si>
    <t>January 2033</t>
  </si>
  <si>
    <t>February 2033</t>
  </si>
  <si>
    <t>March 2033</t>
  </si>
  <si>
    <t>April 2033</t>
  </si>
  <si>
    <t>May 2033</t>
  </si>
  <si>
    <t>June 2033</t>
  </si>
  <si>
    <t>July 2033</t>
  </si>
  <si>
    <t>August 2033</t>
  </si>
  <si>
    <t>September 2033</t>
  </si>
  <si>
    <t>October 2033</t>
  </si>
  <si>
    <t>November 2033</t>
  </si>
  <si>
    <t>December 2033</t>
  </si>
  <si>
    <t>January 2034</t>
  </si>
  <si>
    <t>February 2034</t>
  </si>
  <si>
    <t>March 2034</t>
  </si>
  <si>
    <t>April 2034</t>
  </si>
  <si>
    <t>May 2034</t>
  </si>
  <si>
    <t>June 2034</t>
  </si>
  <si>
    <t>July 2034</t>
  </si>
  <si>
    <t>August 2034</t>
  </si>
  <si>
    <t>September 2034</t>
  </si>
  <si>
    <t>October 2034</t>
  </si>
  <si>
    <t>November 2034</t>
  </si>
  <si>
    <t>December 2034</t>
  </si>
  <si>
    <t>January 2035</t>
  </si>
  <si>
    <t>February 2035</t>
  </si>
  <si>
    <t>March 2035</t>
  </si>
  <si>
    <t>April 2035</t>
  </si>
  <si>
    <t>May 2035</t>
  </si>
  <si>
    <t>June 2035</t>
  </si>
  <si>
    <t>July 2035</t>
  </si>
  <si>
    <t>August 2035</t>
  </si>
  <si>
    <t>September 2035</t>
  </si>
  <si>
    <t>October 2035</t>
  </si>
  <si>
    <t>November 2035</t>
  </si>
  <si>
    <t>December 2035</t>
  </si>
  <si>
    <t>January 2036</t>
  </si>
  <si>
    <t>February 2036</t>
  </si>
  <si>
    <t>March 2036</t>
  </si>
  <si>
    <t>April 2036</t>
  </si>
  <si>
    <t>May 2036</t>
  </si>
  <si>
    <t>June 2036</t>
  </si>
  <si>
    <t>July 2036</t>
  </si>
  <si>
    <t>August 2036</t>
  </si>
  <si>
    <t>September 2036</t>
  </si>
  <si>
    <t>October 2036</t>
  </si>
  <si>
    <t>November 2036</t>
  </si>
  <si>
    <t>December 2036</t>
  </si>
  <si>
    <t>January 2037</t>
  </si>
  <si>
    <t>February 2037</t>
  </si>
  <si>
    <t>March 2037</t>
  </si>
  <si>
    <t>April 2037</t>
  </si>
  <si>
    <t>May 2037</t>
  </si>
  <si>
    <t>June 2037</t>
  </si>
  <si>
    <t>July 2037</t>
  </si>
  <si>
    <t>August 2037</t>
  </si>
  <si>
    <t>September 2037</t>
  </si>
  <si>
    <t>October 2037</t>
  </si>
  <si>
    <t>November 2037</t>
  </si>
  <si>
    <t>December 2037</t>
  </si>
  <si>
    <t>January 2038</t>
  </si>
  <si>
    <t>February 2038</t>
  </si>
  <si>
    <t>March 2038</t>
  </si>
  <si>
    <t>April 2038</t>
  </si>
  <si>
    <t>May 2038</t>
  </si>
  <si>
    <t xml:space="preserve">(Note 1) Initial rate per month is from the 2012 Transmission, Ancillary and Control Area Service Rate Summary </t>
  </si>
  <si>
    <t>(Note 2) Initial rate is per 2012 Transmission, Ancillary and Control Area Service Rate Summary #4. PTP-12</t>
  </si>
  <si>
    <t xml:space="preserve">Point-To-Point (Short Term) - Effective October 1, 2011. </t>
  </si>
  <si>
    <t>Formulaically = (5 days X $60 per Mw per Day) + (Remaining # of Days in Month X $46 per Mw per Day)</t>
  </si>
  <si>
    <t>#14300311</t>
  </si>
  <si>
    <t>contra</t>
  </si>
  <si>
    <t>#14300261</t>
  </si>
  <si>
    <t>For Current Accounting and GRC Amort Sched</t>
  </si>
  <si>
    <t>LTF PTP Rate</t>
  </si>
  <si>
    <t>LT Capacity in Mw's</t>
  </si>
  <si>
    <t>STF PTP Rate</t>
  </si>
  <si>
    <t>ST Capacity in Mw's</t>
  </si>
  <si>
    <t>Estimated</t>
  </si>
  <si>
    <t xml:space="preserve">BPA Amort </t>
  </si>
  <si>
    <t xml:space="preserve">Difft </t>
  </si>
  <si>
    <t>Escalation</t>
  </si>
  <si>
    <t>BPA Credit</t>
  </si>
  <si>
    <t>Schedule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</si>
  <si>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</si>
  <si>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</si>
  <si>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</si>
  <si>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</si>
  <si>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</si>
  <si>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</si>
  <si>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</si>
  <si>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</si>
  <si>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</si>
  <si>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</si>
  <si>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r>
      <t>c x b</t>
    </r>
    <r>
      <rPr>
        <vertAlign val="superscript"/>
        <sz val="11"/>
        <color indexed="8"/>
        <rFont val="Calibri"/>
        <family val="2"/>
      </rPr>
      <t>(Note 1)</t>
    </r>
  </si>
  <si>
    <t>e + d</t>
  </si>
  <si>
    <t>(Note 2)</t>
  </si>
  <si>
    <t>= ~343 - e (Ends 6/2012)</t>
  </si>
  <si>
    <t>(c x e) + (g x i)</t>
  </si>
  <si>
    <t>--</t>
  </si>
  <si>
    <t>`</t>
  </si>
  <si>
    <t>Estimated Amortization Schedule of LSR Prepaid Network Upgrade Deposits to BPA - 3/31/2011 BPA Statement with Corrections to BPA Calculations for 2/2009 and 3/2011.</t>
  </si>
  <si>
    <t>Month within the quarter</t>
  </si>
  <si>
    <t># of days in month based on month of Invoice</t>
  </si>
  <si>
    <t>Advance date</t>
  </si>
  <si>
    <t># of days in month advance is outstanding</t>
  </si>
  <si>
    <t>Annual interest rate</t>
  </si>
  <si>
    <t>Advances</t>
  </si>
  <si>
    <t xml:space="preserve">Credits Recognized in the Amort. Schedule from BPA (a month later than the bill credits) </t>
  </si>
  <si>
    <t>Monthly balance</t>
  </si>
  <si>
    <t>Monthly balance subject to interest</t>
  </si>
  <si>
    <t>e = b - d</t>
  </si>
  <si>
    <r>
      <t>i</t>
    </r>
    <r>
      <rPr>
        <vertAlign val="superscript"/>
        <sz val="9.6999999999999993"/>
        <color indexed="8"/>
        <rFont val="Calibri"/>
        <family val="2"/>
      </rPr>
      <t>(2)</t>
    </r>
  </si>
  <si>
    <t>j = prior mo j + g + h + i</t>
  </si>
  <si>
    <r>
      <t>k</t>
    </r>
    <r>
      <rPr>
        <vertAlign val="superscript"/>
        <sz val="9.6999999999999993"/>
        <color indexed="8"/>
        <rFont val="Calibri"/>
        <family val="2"/>
      </rPr>
      <t>(1)</t>
    </r>
  </si>
  <si>
    <r>
      <t>(1)</t>
    </r>
    <r>
      <rPr>
        <sz val="8"/>
        <rFont val="Helv"/>
      </rPr>
      <t xml:space="preserve"> Column k</t>
    </r>
  </si>
  <si>
    <t>if column a = 3, then k = j</t>
  </si>
  <si>
    <t>if column a = 1, then k = j minus interest from 1st month in quarter</t>
  </si>
  <si>
    <t>if column a = 2, then k = j minus interest from first 2 month's in quarter</t>
  </si>
  <si>
    <r>
      <t>(2)</t>
    </r>
    <r>
      <rPr>
        <sz val="8"/>
        <rFont val="Helv"/>
      </rPr>
      <t xml:space="preserve"> Column i</t>
    </r>
  </si>
  <si>
    <t>Balance subject to full month's interest (everything except current month's advances)</t>
  </si>
  <si>
    <t xml:space="preserve">prior mo. k + curr mo. g </t>
  </si>
  <si>
    <t>x # of days in month</t>
  </si>
  <si>
    <t>x c</t>
  </si>
  <si>
    <t>+ Balance subject to exact # of days interest (only the current month's advances)</t>
  </si>
  <si>
    <t>current mo. g</t>
  </si>
  <si>
    <t>x # of daysin month advance is outstanding</t>
  </si>
  <si>
    <t>x e</t>
  </si>
  <si>
    <t>x Daily interest rate</t>
  </si>
  <si>
    <r>
      <t xml:space="preserve">x (f </t>
    </r>
    <r>
      <rPr>
        <sz val="9.6999999999999993"/>
        <color indexed="12"/>
        <rFont val="Calibri"/>
        <family val="2"/>
      </rPr>
      <t>÷</t>
    </r>
    <r>
      <rPr>
        <sz val="11"/>
        <color indexed="12"/>
        <rFont val="Calibri"/>
        <family val="2"/>
      </rPr>
      <t xml:space="preserve"> 365)</t>
    </r>
  </si>
  <si>
    <t>= Monthly Interest</t>
  </si>
  <si>
    <t>= ( ( ( (prior mo k + curr mo c) x c) + (curr mo g x e) ) x (f / 365) )</t>
  </si>
  <si>
    <t>Percent of ( column l + column o ) at month prior to when column i becomes 0 ===&gt;</t>
  </si>
  <si>
    <t>Allocate credits between principal and interest and interest between PSE and Customer</t>
  </si>
  <si>
    <t>First 
Alocate to PSE Interest</t>
  </si>
  <si>
    <t>Last 
Allocate to principal</t>
  </si>
  <si>
    <t>Credit</t>
  </si>
  <si>
    <t>Add Interest</t>
  </si>
  <si>
    <t>Deduct Credit</t>
  </si>
  <si>
    <t>Add Advances</t>
  </si>
  <si>
    <t>b
= i from amort sched</t>
  </si>
  <si>
    <t>c
= h from amort sched</t>
  </si>
  <si>
    <t>d
= b thru 
May 19, 2010</t>
  </si>
  <si>
    <t>e
= c up until f is 0</t>
  </si>
  <si>
    <t>f
= prior mo + d + e</t>
  </si>
  <si>
    <t>h
= c - e</t>
  </si>
  <si>
    <t>i
= prior mo + g + h</t>
  </si>
  <si>
    <t>l 
= prior mo + j + k</t>
  </si>
  <si>
    <t>m
= g from amort sched</t>
  </si>
  <si>
    <t>o
=prior mo + m + n</t>
  </si>
  <si>
    <t>Principal Bal</t>
  </si>
  <si>
    <t>Amortization starts Jan 2010 and ends Dec 2019 (120 months)</t>
  </si>
  <si>
    <t>120 mos.</t>
  </si>
  <si>
    <t xml:space="preserve">Amort. beg </t>
  </si>
  <si>
    <t>#18232301</t>
  </si>
  <si>
    <t>#18232311</t>
  </si>
  <si>
    <t>#40730101</t>
  </si>
  <si>
    <t>#18232321</t>
  </si>
  <si>
    <t># 28300081</t>
  </si>
  <si>
    <t>Redirect Capacity</t>
  </si>
  <si>
    <t xml:space="preserve"> #50106003</t>
  </si>
  <si>
    <t>Per 2011 GRC</t>
  </si>
  <si>
    <t>#25400201, #25300601 &amp; #19000151</t>
  </si>
  <si>
    <t xml:space="preserve">Month on Amotization Schedule </t>
  </si>
  <si>
    <t>240 mos (20yrs)</t>
  </si>
  <si>
    <t>Second 
Allocate to customer's current month's interest after PSE Interest paid back</t>
  </si>
  <si>
    <t>Third 
Allocate balance of credit based on ratio at time original customer interest was paid back</t>
  </si>
  <si>
    <t>g
= b from May 20, 2010 &amp; current mos Int.</t>
  </si>
  <si>
    <t>j
= b from 
Apr, 2012 until balance in i = 0</t>
  </si>
  <si>
    <t>Depreciation</t>
  </si>
  <si>
    <t>72mos.(6yrs.)</t>
  </si>
  <si>
    <t>Amortization starts November 1, 2013 and ends October 31, 2019 (72 months)</t>
  </si>
  <si>
    <t xml:space="preserve">Total - 12ME  </t>
  </si>
  <si>
    <t>Ferndale</t>
  </si>
  <si>
    <t>Snoqualmie</t>
  </si>
  <si>
    <t>Month/</t>
  </si>
  <si>
    <t>prior mo - (d)</t>
  </si>
  <si>
    <t>(h) = (-(a) * 35%)</t>
  </si>
  <si>
    <t xml:space="preserve"> prior mo - (h) </t>
  </si>
  <si>
    <t>= (e)</t>
  </si>
  <si>
    <t>+ ((d) * 35%)</t>
  </si>
  <si>
    <t>= (i)</t>
  </si>
  <si>
    <t>#18238321</t>
  </si>
  <si>
    <t>#40730131</t>
  </si>
  <si>
    <t>#18238331</t>
  </si>
  <si>
    <t>#40730141</t>
  </si>
  <si>
    <t>#18238311</t>
  </si>
  <si>
    <t>#40730121</t>
  </si>
  <si>
    <t>Actual Deferral</t>
  </si>
  <si>
    <t>DFIT - BPA Prepayment LT</t>
  </si>
  <si>
    <t>LSR Def Carrying Costs UE-100882</t>
  </si>
  <si>
    <t>LSR Deposit Def UE-100882</t>
  </si>
  <si>
    <t>Chelan PUD Contract Prepmt Requirement</t>
  </si>
  <si>
    <t>DFIT - Interest Chelan PUD Reg Asset</t>
  </si>
  <si>
    <t>Chelan PUD Contract Initiation</t>
  </si>
  <si>
    <t>Prepaid Colstrip 1&amp;2 WECo Coal Resv Ded.</t>
  </si>
  <si>
    <t>Colstrip 1 and 2 (WECo) Reservation Paymt</t>
  </si>
  <si>
    <t>DFIT - FIT MF UE090704</t>
  </si>
  <si>
    <t>DFIT - Mint Farm Fixed Costs</t>
  </si>
  <si>
    <t>DFIT - Mint Farm Variable Costs</t>
  </si>
  <si>
    <t>Mint Farm Deferral - UE-090704</t>
  </si>
  <si>
    <t>MNT Return on RB &amp; CC on Fixed Deferral UE-082128</t>
  </si>
  <si>
    <t>Misc Deferred Debits - MNT Var Costs UE-082128</t>
  </si>
  <si>
    <t>Misc Deferred Debits - MNT Fixed Costs UE-082128</t>
  </si>
  <si>
    <t>Deferred Credits -BNP</t>
  </si>
  <si>
    <t xml:space="preserve">BNP </t>
  </si>
  <si>
    <t>BNP Westcoast Pipeline Capacity-Non Core Gas</t>
  </si>
  <si>
    <t>DFIT-BNP Electric</t>
  </si>
  <si>
    <t>DFIT - Westcoast Capacity Assignment - Electric</t>
  </si>
  <si>
    <t>FBE Westcoast Pipeline Capacity- Non Core Gas</t>
  </si>
  <si>
    <t>Oth Def Cr - Non -core Gas - Pipeline Cap</t>
  </si>
  <si>
    <t>Account Description</t>
  </si>
  <si>
    <t>Account</t>
  </si>
  <si>
    <t>Rate Base Line No.</t>
  </si>
  <si>
    <t>W/C Line No.</t>
  </si>
  <si>
    <t>6m</t>
  </si>
  <si>
    <t>23</t>
  </si>
  <si>
    <t>6e</t>
  </si>
  <si>
    <t>6a</t>
  </si>
  <si>
    <t>6b</t>
  </si>
  <si>
    <t>6f</t>
  </si>
  <si>
    <t>6o</t>
  </si>
  <si>
    <t>6i</t>
  </si>
  <si>
    <t>Ferndale Reg Asset UE-130617</t>
  </si>
  <si>
    <t>Baker Reg Asset UE-130617</t>
  </si>
  <si>
    <t>Snoqualmie Reg Asset UE-130617</t>
  </si>
  <si>
    <t>Misc Dfrd DRs - Snoq Fixed UE-130559</t>
  </si>
  <si>
    <t>Snoqualmie RB Deferred Return UE-130559</t>
  </si>
  <si>
    <t>Snoqualmie Variable Deferral UE-130559</t>
  </si>
  <si>
    <t>Misc Def. Debits - Ferndale Fixed UE-121843</t>
  </si>
  <si>
    <t>BPA Trans. Dep. - LSR -100882</t>
  </si>
  <si>
    <t>Return on LSR BPA Transm. Deposit</t>
  </si>
  <si>
    <t>Ferndale RB Deferral Return UE-121843</t>
  </si>
  <si>
    <t>Ferndale Var Deferral UE-121843</t>
  </si>
  <si>
    <t>Ferndale Var Def Market Offset UE-121843</t>
  </si>
  <si>
    <t>Misc Dfrd DRs - Baker Fixed UE-131387</t>
  </si>
  <si>
    <t>Baker Rb Deferred Return UE-131387</t>
  </si>
  <si>
    <t>22</t>
  </si>
  <si>
    <t>26b</t>
  </si>
  <si>
    <t>37d</t>
  </si>
  <si>
    <t>26c</t>
  </si>
  <si>
    <t>29.1</t>
  </si>
  <si>
    <t>37m</t>
  </si>
  <si>
    <t>DFIT - Variable Deferred Cost Snoqualmie LT</t>
  </si>
  <si>
    <t>37a</t>
  </si>
  <si>
    <t>37b</t>
  </si>
  <si>
    <t>37i</t>
  </si>
  <si>
    <t>37l</t>
  </si>
  <si>
    <t>37j</t>
  </si>
  <si>
    <t>28300611</t>
  </si>
  <si>
    <t>28300661</t>
  </si>
  <si>
    <t>DFIT - Ferndale Purchase Deferrals - Long Term</t>
  </si>
  <si>
    <t>DFIT-Variable Deferred Cost Baker Upgrade_LT</t>
  </si>
  <si>
    <t>#28300091</t>
  </si>
  <si>
    <t>#28300741</t>
  </si>
  <si>
    <t>Acct #18232301</t>
  </si>
  <si>
    <t xml:space="preserve"> #56500085</t>
  </si>
  <si>
    <t xml:space="preserve"> #56500095</t>
  </si>
  <si>
    <t>Amortization starts Dec 1, 2014 and ends October 31, 2018 (47 months)</t>
  </si>
  <si>
    <t>47 mos.</t>
  </si>
  <si>
    <t>Amortization starts Dec 1, 2014 and ends Oct 31, 2018 (47 months)</t>
  </si>
  <si>
    <t>#40740171</t>
  </si>
  <si>
    <t>#43100085</t>
  </si>
  <si>
    <t>#19003011</t>
  </si>
  <si>
    <t xml:space="preserve"> + ((d) * 35%)</t>
  </si>
  <si>
    <t>prior mo - (d) =</t>
  </si>
  <si>
    <t>prior mo - (h) =</t>
  </si>
  <si>
    <t>(i)</t>
  </si>
  <si>
    <t>Amortization starts Nov 1, 2013 and ends Oct 31, 2018 (60 months)</t>
  </si>
  <si>
    <t xml:space="preserve">(e) = (c) ÷ </t>
  </si>
  <si>
    <t xml:space="preserve"> + ((b) * 35%)</t>
  </si>
  <si>
    <t>(j) = (-(a) * 35%)</t>
  </si>
  <si>
    <t xml:space="preserve">(d) = (c) ÷ </t>
  </si>
  <si>
    <t xml:space="preserve">prior mo </t>
  </si>
  <si>
    <t>- (f) = (e)</t>
  </si>
  <si>
    <t>Jun 2039</t>
  </si>
  <si>
    <t>DFIT- Deferral Snoqualmie Treasury Grant-LT</t>
  </si>
  <si>
    <t>Deferral Snoqualmie Hydro Grant</t>
  </si>
  <si>
    <t>DFIT-Int Baker Treasury Grant-LT</t>
  </si>
  <si>
    <t>Deferral Baker US Treasury Grant</t>
  </si>
  <si>
    <t xml:space="preserve">#18600801,#811 </t>
  </si>
  <si>
    <t>#4. PTP-12 Point-To-Point (Long Term) - Effective Oct 2015, the 6.10% increase for the PTP Transimission</t>
  </si>
  <si>
    <t>Electron Unrecovered Loss</t>
  </si>
  <si>
    <t>6p</t>
  </si>
  <si>
    <t>Amortization period</t>
  </si>
  <si>
    <t>Unrecovered</t>
  </si>
  <si>
    <t>net of Accum</t>
  </si>
  <si>
    <t>Plan</t>
  </si>
  <si>
    <t>DFIT - AMA</t>
  </si>
  <si>
    <t>#18220101</t>
  </si>
  <si>
    <t>#25400501</t>
  </si>
  <si>
    <t>#25400491</t>
  </si>
  <si>
    <t>FERNDALE PROJECT COST DEFERRAL  (UE-130617)</t>
  </si>
  <si>
    <t>#28302061</t>
  </si>
  <si>
    <t>AMORTIZATION OF UNRECOVERED PLANT COSTS ELECTRON (2014 PCORC UE-141141)</t>
  </si>
  <si>
    <t>SNOQUALMIE TREASURY GRANT DEFERRAL (2014 PCORC UE-141141)</t>
  </si>
  <si>
    <t>BAKER TREASURY GRANT DEFERRAL  (2014 PCORC UE-141141)</t>
  </si>
  <si>
    <t>Nov 14, 2014 sale date</t>
  </si>
  <si>
    <t>DFIT - Electron Unrecovered Loss</t>
  </si>
  <si>
    <t>#19003021</t>
  </si>
  <si>
    <t>#40740181</t>
  </si>
  <si>
    <t>#40740161</t>
  </si>
  <si>
    <t>PUGET SOUND ENERGY-ELECTRIC</t>
  </si>
  <si>
    <t>REGULATORY ASSETS AND LIABILITIES</t>
  </si>
  <si>
    <t>LINE</t>
  </si>
  <si>
    <t>NO.</t>
  </si>
  <si>
    <t>DESCRIPTION</t>
  </si>
  <si>
    <t>ADJUSTMENT</t>
  </si>
  <si>
    <t>AMA OF REGULATORY ASSET/LIABILITY NET OF ACCUM AMORT AND DFIT</t>
  </si>
  <si>
    <t>WESTCOAST PIPELINE CAPACITY - UE-082013 (FB ENERGY)</t>
  </si>
  <si>
    <t>WESTCOAST PIPELINE CAPACITY - UE-100503 (BNP PARIBUS)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</si>
  <si>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</si>
  <si>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</si>
  <si>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</si>
  <si>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</si>
  <si>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TOTAL REGULATORY ASSETS</t>
  </si>
  <si>
    <t>25300601</t>
  </si>
  <si>
    <t>25400201</t>
  </si>
  <si>
    <t>25400191</t>
  </si>
  <si>
    <t>Mint Farm Deferred</t>
  </si>
  <si>
    <t>28300601</t>
  </si>
  <si>
    <t xml:space="preserve">Chelan - Rock Island Security Deposit </t>
  </si>
  <si>
    <t>Lower Snake River Prepaid Transm Principal</t>
  </si>
  <si>
    <t>Carrying Charges on LSR Prepaid Transm</t>
  </si>
  <si>
    <t xml:space="preserve">Baker </t>
  </si>
  <si>
    <t>Baker Treasury Grant Deferral</t>
  </si>
  <si>
    <t>25400501</t>
  </si>
  <si>
    <t>19003021</t>
  </si>
  <si>
    <t>Snoqualmie Treasury Grant Deferral</t>
  </si>
  <si>
    <t>25400491</t>
  </si>
  <si>
    <t>19003011</t>
  </si>
  <si>
    <t>28302061</t>
  </si>
  <si>
    <t>60mos.(5yrs.)</t>
  </si>
  <si>
    <t>Lower Baker Powerhouse Cost Deferral  (UE-130617) (UE-141141)</t>
  </si>
  <si>
    <t>SNOQUALMIE PROJECT COST DEFERRAL COMBINED (UE-130617) (UE-141141)</t>
  </si>
  <si>
    <t>MINT FARM DEFFRED - UE-090704 (FERC 407.3)</t>
  </si>
  <si>
    <t>CARRYING CHARGES ON LSR PP TRANSM $99.8M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</si>
  <si>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</si>
  <si>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</si>
  <si>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</si>
  <si>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</si>
  <si>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</si>
  <si>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</si>
  <si>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Test Year</t>
  </si>
  <si>
    <t>Rate Year</t>
  </si>
  <si>
    <t>Adjustment</t>
  </si>
  <si>
    <t>RA/L</t>
  </si>
  <si>
    <t>NBV</t>
  </si>
  <si>
    <t>TY</t>
  </si>
  <si>
    <t>RY</t>
  </si>
  <si>
    <t>#40700014</t>
  </si>
  <si>
    <t>Payment Received from BNP - UE-100503</t>
  </si>
  <si>
    <t>AMORTIZATION OF REGULATORY ASSET/LIABILITY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</si>
  <si>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</si>
  <si>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</si>
  <si>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</si>
  <si>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</si>
  <si>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INCREASE (DECREASE) NOI</t>
  </si>
  <si>
    <t>AMA (Dec 18)</t>
  </si>
  <si>
    <t>FOR THE TWELVE MONTHS ENDED DECEMBER, 2018</t>
  </si>
  <si>
    <t>(Note 1) The adjustments for amortization of power cost related regulatory assets and liabilities</t>
  </si>
  <si>
    <t>are performed in the Power Cost Adjustment (Adjustment No. 9.01) and therefore are not adjusted here.</t>
  </si>
  <si>
    <t>(Note 2) The Components of the Adjustment are as Follows:</t>
  </si>
  <si>
    <t>Amount of Adjustment</t>
  </si>
  <si>
    <t>Balance of Regulatory Asset or Liability</t>
  </si>
  <si>
    <t>Accumulated Deferred Income Taxes</t>
  </si>
  <si>
    <t>Total Adjustment</t>
  </si>
  <si>
    <t>PUGET SOUND ENERGY</t>
  </si>
  <si>
    <t xml:space="preserve">POWER COST ONLY RATE CASE </t>
  </si>
  <si>
    <t>DETERMINATION OF RATE YEAR AMA ON WHITE RIVER PLANT COSTS NET OF ACCUMULATED AMORTIZATION AND DEFERRED TAXES</t>
  </si>
  <si>
    <t xml:space="preserve">Ratebase Rate Year AMA </t>
  </si>
  <si>
    <t>Operating Expenses</t>
  </si>
  <si>
    <t>CWA</t>
  </si>
  <si>
    <t xml:space="preserve">Other White </t>
  </si>
  <si>
    <t>Ref</t>
  </si>
  <si>
    <t>Gross Plant Costs</t>
  </si>
  <si>
    <t xml:space="preserve">Proceeds </t>
  </si>
  <si>
    <t>River Related</t>
  </si>
  <si>
    <t>Total Gross</t>
  </si>
  <si>
    <t xml:space="preserve">Accum </t>
  </si>
  <si>
    <t>Net Asset</t>
  </si>
  <si>
    <t xml:space="preserve">DFIT </t>
  </si>
  <si>
    <t>Deferred</t>
  </si>
  <si>
    <t>White River</t>
  </si>
  <si>
    <t>Asset</t>
  </si>
  <si>
    <t>AMA DFIT</t>
  </si>
  <si>
    <t>From Sales</t>
  </si>
  <si>
    <t>Accounts</t>
  </si>
  <si>
    <t>FIT</t>
  </si>
  <si>
    <t>Rate Base</t>
  </si>
  <si>
    <t>#18220011, #21</t>
  </si>
  <si>
    <t>#18220061</t>
  </si>
  <si>
    <t>Multiple 182.3 a/c's</t>
  </si>
  <si>
    <t>#18220031, #41</t>
  </si>
  <si>
    <t>#28300651</t>
  </si>
  <si>
    <t>Plant Amort</t>
  </si>
  <si>
    <t>Thru 12/31/17</t>
  </si>
  <si>
    <t>*</t>
  </si>
  <si>
    <t>1/1/2018-12/31/20</t>
  </si>
  <si>
    <t>1. Balance reflects</t>
  </si>
  <si>
    <t xml:space="preserve"> reclass of WR Lands</t>
  </si>
  <si>
    <t>1.</t>
  </si>
  <si>
    <t>Total TY 12ME Sep '16</t>
  </si>
  <si>
    <t>AMA TY 12ME Sep '16</t>
  </si>
  <si>
    <t>Total RY 12ME Dec '18</t>
  </si>
  <si>
    <t>AMA - 12ME Dec '18</t>
  </si>
  <si>
    <t xml:space="preserve">For the 2017 GRC PSE is requesting a 3 year amortization for all White River costs beginning at the start of the rate year or January 2018.  The current approved monthly amortization </t>
  </si>
  <si>
    <t xml:space="preserve">amount of $124,558 runs through December 2017 and amortization does not apply to the balance of $($30,211,680) for proceeds from White River sales or the White River Relicensing </t>
  </si>
  <si>
    <t xml:space="preserve">costs totaling $23,554,806 during that period.  As of January 2018, the $555,223 monthly amortization for the 3 year period ending 12/31/20 includes the net balance White River Plant </t>
  </si>
  <si>
    <t>Costs, the Proceeds From White River Sales and the stranded River Relicensing Costs.</t>
  </si>
  <si>
    <t>WHITE RIVER PLANT COSTS</t>
  </si>
  <si>
    <t>WHITE RIVER PLANT COSTS (2004 GRC)</t>
  </si>
  <si>
    <t>White River Plant Costs</t>
  </si>
  <si>
    <t>White River Plant Costs Reg Asset</t>
  </si>
  <si>
    <t>White River Land Reg Asset</t>
  </si>
  <si>
    <t>White River Accum Depreciation to 1/15/</t>
  </si>
  <si>
    <t>White River Accum Amort. from 1/16/04 R</t>
  </si>
  <si>
    <t>28200121 (a portion)</t>
  </si>
  <si>
    <t>Def Inc Tax - Post 1980 Additions</t>
  </si>
  <si>
    <t>Balance Carryforward</t>
  </si>
  <si>
    <t>Debit</t>
  </si>
  <si>
    <t>Account 25400501</t>
  </si>
  <si>
    <t>SAP Extract</t>
  </si>
  <si>
    <t>Account 25400491</t>
  </si>
  <si>
    <t>B/S Debit; I/S Credit</t>
  </si>
  <si>
    <t>RESTATED</t>
  </si>
  <si>
    <t>PROFORMA</t>
  </si>
  <si>
    <t>ACTUAL</t>
  </si>
  <si>
    <t>%'s</t>
  </si>
  <si>
    <t>(c)=(b)-(a)</t>
  </si>
  <si>
    <t>(d)</t>
  </si>
  <si>
    <t>(e)=(d)-(b)</t>
  </si>
  <si>
    <t>#25400201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</si>
</sst>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mmm\-yyyy"/>
    <numFmt numFmtId="168" formatCode="0.000%"/>
    <numFmt numFmtId="169" formatCode="_(* #,##0.00000_);_(* \(#,##0.00000\);_(* &quot;-&quot;??_);_(@_)"/>
    <numFmt numFmtId="170" formatCode="0.0000%"/>
    <numFmt numFmtId="171" formatCode="mm/dd/yy;@"/>
    <numFmt numFmtId="172" formatCode="[$-409]mmmm\ d\,\ yyyy;@"/>
    <numFmt numFmtId="173" formatCode="[$-409]mmm\-yy;@"/>
    <numFmt numFmtId="174" formatCode="_(* #,##0.0_);_(* \(#,##0.0\);_(* &quot;-&quot;?_);_(@_)"/>
    <numFmt numFmtId="175" formatCode="mm/dd/yy"/>
    <numFmt numFmtId="176" formatCode="&quot;ADJ&quot;\ 0.00\ &quot;ER&quot;"/>
    <numFmt numFmtId="177" formatCode="&quot;ADJ&quot;\ 0.00\ &quot;EP&quot;"/>
  </numFmts>
  <fonts count="76">
    <font>
      <sz val="8"/>
      <name val="Helv"/>
    </font>
    <font>
      <sz val="10"/>
      <name val="Arial"/>
      <family val="2"/>
    </font>
    <font>
      <sz val="8"/>
      <name val="Helv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 Unicode MS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sz val="11"/>
      <color indexed="23"/>
      <name val="Calibri"/>
      <family val="2"/>
    </font>
    <font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color indexed="12"/>
      <name val="Calibri"/>
      <family val="2"/>
    </font>
    <font>
      <b/>
      <sz val="11"/>
      <color indexed="12"/>
      <name val="Calibri"/>
      <family val="2"/>
    </font>
    <font>
      <vertAlign val="superscript"/>
      <sz val="9.6999999999999993"/>
      <color indexed="8"/>
      <name val="Calibri"/>
      <family val="2"/>
    </font>
    <font>
      <sz val="9.6999999999999993"/>
      <color indexed="12"/>
      <name val="Calibri"/>
      <family val="2"/>
    </font>
    <font>
      <b/>
      <sz val="11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sz val="8"/>
      <color indexed="12"/>
      <name val="Calibri"/>
      <family val="2"/>
    </font>
    <font>
      <sz val="11"/>
      <name val="Calibri"/>
      <family val="2"/>
    </font>
    <font>
      <sz val="8"/>
      <color indexed="12"/>
      <name val="Arial"/>
      <family val="2"/>
    </font>
    <font>
      <sz val="11"/>
      <color indexed="12"/>
      <name val="Calibri"/>
      <family val="2"/>
    </font>
    <font>
      <sz val="8"/>
      <color indexed="10"/>
      <name val="Calibri"/>
      <family val="2"/>
    </font>
    <font>
      <sz val="11"/>
      <color indexed="56"/>
      <name val="Calibri"/>
      <family val="2"/>
    </font>
    <font>
      <b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1"/>
      <color rgb="FF0000FF"/>
      <name val="Calibri"/>
      <family val="2"/>
    </font>
    <font>
      <sz val="11"/>
      <color indexed="10"/>
      <name val="Calibri"/>
      <family val="2"/>
      <scheme val="minor"/>
    </font>
    <font>
      <b/>
      <sz val="10"/>
      <name val="Helv"/>
    </font>
    <font>
      <b/>
      <sz val="11"/>
      <name val="Calibri"/>
      <family val="2"/>
      <scheme val="minor"/>
    </font>
    <font>
      <b/>
      <sz val="8"/>
      <color rgb="FF0000FF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rgb="FF0000FF"/>
      <name val="Arial"/>
      <family val="2"/>
    </font>
    <font>
      <b/>
      <sz val="14"/>
      <color rgb="FFFF0000"/>
      <name val="Arial"/>
      <family val="2"/>
    </font>
    <font>
      <sz val="10"/>
      <color rgb="FF0000FF"/>
      <name val="Arial"/>
      <family val="2"/>
    </font>
    <font>
      <sz val="10"/>
      <name val="Calibri"/>
      <family val="2"/>
      <scheme val="minor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color rgb="FF0000FF"/>
      <name val="Helv"/>
    </font>
    <font>
      <b/>
      <sz val="8"/>
      <name val="Helv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b/>
      <sz val="11"/>
      <color rgb="FF0000FF"/>
      <name val="Calibri"/>
      <family val="2"/>
    </font>
    <font>
      <i/>
      <sz val="8"/>
      <name val="Times New Roman"/>
      <family val="1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i/>
      <sz val="8"/>
      <color rgb="FF0000FF"/>
      <name val="Times New Roman"/>
      <family val="1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FF"/>
      </top>
      <bottom style="double">
        <color rgb="FF0000FF"/>
      </bottom>
      <diagonal/>
    </border>
  </borders>
  <cellStyleXfs count="1">
    <xf numFmtId="164" fontId="0" fillId="0" borderId="0">
      <alignment horizontal="left" wrapText="1"/>
    </xf>
  </cellStyleXfs>
  <cellXfs count="991">
    <xf numFmtId="0" fontId="0" fillId="0" borderId="0" xfId="0" applyNumberFormat="1" applyAlignment="1"/>
    <xf numFmtId="0" fontId="0" fillId="0" borderId="0" xfId="0" applyNumberFormat="1" applyFill="1" applyBorder="1" applyAlignment="1"/>
    <xf numFmtId="17" fontId="1" fillId="0" borderId="18" xfId="0" quotePrefix="1" applyNumberFormat="1" applyFont="1" applyFill="1" applyBorder="1" applyAlignment="1">
      <alignment horizontal="left"/>
    </xf>
    <xf numFmtId="167" fontId="1" fillId="0" borderId="18" xfId="0" quotePrefix="1" applyNumberFormat="1" applyFont="1" applyFill="1" applyBorder="1" applyAlignment="1">
      <alignment horizontal="left"/>
    </xf>
    <xf numFmtId="3" fontId="1" fillId="0" borderId="0" xfId="0" applyNumberFormat="1" applyFont="1" applyFill="1" applyAlignment="1"/>
    <xf numFmtId="164" fontId="5" fillId="0" borderId="0" xfId="0" applyFont="1" applyFill="1" applyAlignment="1">
      <alignment horizontal="left"/>
    </xf>
    <xf numFmtId="164" fontId="1" fillId="0" borderId="0" xfId="0" applyFont="1">
      <alignment horizontal="left" wrapText="1"/>
    </xf>
    <xf numFmtId="0" fontId="5" fillId="0" borderId="0" xfId="0" applyNumberFormat="1" applyFont="1" applyAlignment="1"/>
    <xf numFmtId="42" fontId="5" fillId="0" borderId="0" xfId="0" applyNumberFormat="1" applyFont="1">
      <alignment horizontal="left" wrapText="1"/>
    </xf>
    <xf numFmtId="164" fontId="5" fillId="0" borderId="0" xfId="0" applyFont="1">
      <alignment horizontal="left" wrapText="1"/>
    </xf>
    <xf numFmtId="164" fontId="5" fillId="0" borderId="0" xfId="0" applyFont="1" applyFill="1" applyAlignment="1">
      <alignment horizontal="center"/>
    </xf>
    <xf numFmtId="164" fontId="5" fillId="0" borderId="23" xfId="0" applyFont="1" applyBorder="1" applyAlignment="1">
      <alignment horizontal="center"/>
    </xf>
    <xf numFmtId="164" fontId="5" fillId="0" borderId="24" xfId="0" applyFont="1" applyBorder="1" applyAlignment="1">
      <alignment horizontal="centerContinuous" vertical="center"/>
    </xf>
    <xf numFmtId="164" fontId="5" fillId="0" borderId="25" xfId="0" applyFont="1" applyBorder="1" applyAlignment="1">
      <alignment horizontal="centerContinuous" vertical="center"/>
    </xf>
    <xf numFmtId="164" fontId="5" fillId="0" borderId="23" xfId="0" applyFont="1" applyBorder="1" applyAlignment="1">
      <alignment vertical="center"/>
    </xf>
    <xf numFmtId="164" fontId="5" fillId="0" borderId="26" xfId="0" applyFont="1" applyBorder="1" applyAlignment="1">
      <alignment horizontal="centerContinuous" vertical="center"/>
    </xf>
    <xf numFmtId="164" fontId="5" fillId="0" borderId="23" xfId="0" applyFont="1" applyBorder="1" applyAlignment="1">
      <alignment horizontal="centerContinuous"/>
    </xf>
    <xf numFmtId="164" fontId="1" fillId="0" borderId="27" xfId="0" applyFont="1" applyBorder="1">
      <alignment horizontal="left" wrapText="1"/>
    </xf>
    <xf numFmtId="164" fontId="5" fillId="0" borderId="18" xfId="0" applyFont="1" applyBorder="1" applyAlignment="1">
      <alignment horizontal="center"/>
    </xf>
    <xf numFmtId="164" fontId="5" fillId="0" borderId="22" xfId="0" applyFont="1" applyBorder="1" applyAlignment="1">
      <alignment horizontal="center"/>
    </xf>
    <xf numFmtId="164" fontId="5" fillId="0" borderId="27" xfId="0" applyFont="1" applyBorder="1" applyAlignment="1">
      <alignment horizontal="center"/>
    </xf>
    <xf numFmtId="9" fontId="5" fillId="0" borderId="27" xfId="0" applyNumberFormat="1" applyFont="1" applyBorder="1" applyAlignment="1">
      <alignment horizontal="center"/>
    </xf>
    <xf numFmtId="164" fontId="5" fillId="0" borderId="27" xfId="0" applyFont="1" applyFill="1" applyBorder="1" applyAlignment="1">
      <alignment horizontal="center"/>
    </xf>
    <xf numFmtId="164" fontId="5" fillId="0" borderId="28" xfId="0" applyFont="1" applyBorder="1" applyAlignment="1">
      <alignment horizontal="center"/>
    </xf>
    <xf numFmtId="164" fontId="5" fillId="0" borderId="29" xfId="0" applyFont="1" applyBorder="1" applyAlignment="1">
      <alignment horizontal="center"/>
    </xf>
    <xf numFmtId="164" fontId="5" fillId="0" borderId="30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8" xfId="0" quotePrefix="1" applyFont="1" applyFill="1" applyBorder="1" applyAlignment="1">
      <alignment horizontal="center"/>
    </xf>
    <xf numFmtId="42" fontId="1" fillId="0" borderId="31" xfId="0" applyNumberFormat="1" applyFont="1" applyBorder="1">
      <alignment horizontal="left" wrapText="1"/>
    </xf>
    <xf numFmtId="164" fontId="1" fillId="0" borderId="31" xfId="0" applyFont="1" applyBorder="1">
      <alignment horizontal="left" wrapText="1"/>
    </xf>
    <xf numFmtId="41" fontId="1" fillId="0" borderId="31" xfId="0" applyNumberFormat="1" applyFont="1" applyBorder="1">
      <alignment horizontal="left" wrapText="1"/>
    </xf>
    <xf numFmtId="164" fontId="1" fillId="0" borderId="32" xfId="0" applyFont="1" applyBorder="1">
      <alignment horizontal="left" wrapText="1"/>
    </xf>
    <xf numFmtId="41" fontId="1" fillId="0" borderId="32" xfId="0" applyNumberFormat="1" applyFont="1" applyBorder="1">
      <alignment horizontal="left" wrapText="1"/>
    </xf>
    <xf numFmtId="164" fontId="1" fillId="0" borderId="28" xfId="0" applyFont="1" applyBorder="1">
      <alignment horizontal="left" wrapText="1"/>
    </xf>
    <xf numFmtId="0" fontId="1" fillId="0" borderId="0" xfId="0" applyNumberFormat="1" applyFont="1" applyFill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" fillId="0" borderId="5" xfId="0" applyNumberFormat="1" applyFont="1" applyFill="1" applyBorder="1" applyAlignment="1"/>
    <xf numFmtId="0" fontId="5" fillId="0" borderId="5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Continuous"/>
    </xf>
    <xf numFmtId="0" fontId="1" fillId="0" borderId="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right"/>
    </xf>
    <xf numFmtId="6" fontId="1" fillId="0" borderId="0" xfId="0" applyNumberFormat="1" applyFont="1" applyFill="1" applyAlignment="1"/>
    <xf numFmtId="6" fontId="1" fillId="0" borderId="0" xfId="0" applyNumberFormat="1" applyFont="1" applyFill="1" applyBorder="1" applyAlignment="1">
      <alignment horizontal="center"/>
    </xf>
    <xf numFmtId="6" fontId="1" fillId="0" borderId="0" xfId="0" applyNumberFormat="1" applyFont="1" applyFill="1" applyBorder="1" applyAlignment="1"/>
    <xf numFmtId="5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17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6" fontId="1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1" fillId="0" borderId="0" xfId="0" applyNumberFormat="1" applyFont="1" applyFill="1" applyAlignment="1"/>
    <xf numFmtId="14" fontId="1" fillId="0" borderId="0" xfId="0" applyNumberFormat="1" applyFont="1" applyFill="1" applyAlignment="1"/>
    <xf numFmtId="6" fontId="1" fillId="0" borderId="0" xfId="0" applyNumberFormat="1" applyFont="1" applyFill="1" applyBorder="1" applyAlignment="1"/>
    <xf numFmtId="17" fontId="1" fillId="0" borderId="0" xfId="0" applyNumberFormat="1" applyFont="1" applyFill="1" applyAlignment="1"/>
    <xf numFmtId="17" fontId="5" fillId="0" borderId="0" xfId="0" applyNumberFormat="1" applyFont="1" applyFill="1" applyAlignment="1"/>
    <xf numFmtId="6" fontId="5" fillId="0" borderId="0" xfId="0" applyNumberFormat="1" applyFont="1" applyFill="1" applyBorder="1" applyAlignment="1"/>
    <xf numFmtId="17" fontId="1" fillId="0" borderId="0" xfId="0" applyNumberFormat="1" applyFont="1" applyFill="1" applyBorder="1" applyAlignment="1"/>
    <xf numFmtId="0" fontId="0" fillId="0" borderId="0" xfId="0" applyNumberFormat="1" applyFill="1" applyAlignment="1"/>
    <xf numFmtId="164" fontId="1" fillId="0" borderId="23" xfId="0" applyFont="1" applyBorder="1">
      <alignment horizontal="left" wrapText="1"/>
    </xf>
    <xf numFmtId="9" fontId="5" fillId="0" borderId="28" xfId="0" quotePrefix="1" applyNumberFormat="1" applyFont="1" applyBorder="1" applyAlignment="1">
      <alignment horizontal="center"/>
    </xf>
    <xf numFmtId="172" fontId="1" fillId="0" borderId="31" xfId="0" applyNumberFormat="1" applyFont="1" applyBorder="1" applyAlignment="1">
      <alignment horizontal="right"/>
    </xf>
    <xf numFmtId="172" fontId="1" fillId="0" borderId="32" xfId="0" applyNumberFormat="1" applyFont="1" applyBorder="1" applyAlignment="1">
      <alignment horizontal="right"/>
    </xf>
    <xf numFmtId="172" fontId="1" fillId="0" borderId="32" xfId="0" applyNumberFormat="1" applyFont="1" applyFill="1" applyBorder="1" applyAlignment="1">
      <alignment horizontal="right"/>
    </xf>
    <xf numFmtId="41" fontId="1" fillId="0" borderId="32" xfId="0" applyNumberFormat="1" applyFont="1" applyFill="1" applyBorder="1">
      <alignment horizontal="left" wrapText="1"/>
    </xf>
    <xf numFmtId="164" fontId="1" fillId="0" borderId="32" xfId="0" applyFont="1" applyFill="1" applyBorder="1">
      <alignment horizontal="left" wrapText="1"/>
    </xf>
    <xf numFmtId="164" fontId="1" fillId="0" borderId="0" xfId="0" applyFont="1" applyBorder="1">
      <alignment horizontal="left" wrapText="1"/>
    </xf>
    <xf numFmtId="0" fontId="16" fillId="0" borderId="5" xfId="0" applyNumberFormat="1" applyFont="1" applyFill="1" applyBorder="1" applyAlignment="1">
      <alignment horizontal="center"/>
    </xf>
    <xf numFmtId="8" fontId="1" fillId="0" borderId="0" xfId="0" applyNumberFormat="1" applyFont="1" applyFill="1" applyBorder="1" applyAlignment="1"/>
    <xf numFmtId="4" fontId="1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/>
    <xf numFmtId="6" fontId="5" fillId="0" borderId="0" xfId="0" applyNumberFormat="1" applyFont="1" applyFill="1" applyAlignment="1"/>
    <xf numFmtId="3" fontId="1" fillId="0" borderId="0" xfId="0" applyNumberFormat="1" applyFont="1" applyFill="1" applyAlignment="1">
      <alignment horizontal="center"/>
    </xf>
    <xf numFmtId="38" fontId="1" fillId="0" borderId="0" xfId="0" applyNumberFormat="1" applyFont="1" applyFill="1" applyAlignment="1"/>
    <xf numFmtId="0" fontId="1" fillId="0" borderId="6" xfId="0" applyNumberFormat="1" applyFont="1" applyFill="1" applyBorder="1" applyAlignment="1">
      <alignment horizontal="center"/>
    </xf>
    <xf numFmtId="6" fontId="1" fillId="0" borderId="0" xfId="0" applyNumberFormat="1" applyFont="1" applyFill="1" applyAlignment="1"/>
    <xf numFmtId="42" fontId="1" fillId="0" borderId="0" xfId="0" applyNumberFormat="1" applyFont="1" applyFill="1" applyAlignment="1"/>
    <xf numFmtId="0" fontId="0" fillId="0" borderId="0" xfId="0" applyNumberFormat="1" applyFont="1" applyAlignment="1"/>
    <xf numFmtId="164" fontId="1" fillId="0" borderId="0" xfId="0" applyFont="1" applyFill="1">
      <alignment horizontal="left" wrapText="1"/>
    </xf>
    <xf numFmtId="0" fontId="0" fillId="0" borderId="0" xfId="0" applyNumberFormat="1" applyBorder="1" applyAlignment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Alignment="1"/>
    <xf numFmtId="3" fontId="1" fillId="0" borderId="0" xfId="0" applyNumberFormat="1" applyFont="1" applyFill="1" applyAlignment="1"/>
    <xf numFmtId="3" fontId="1" fillId="0" borderId="0" xfId="0" applyNumberFormat="1" applyFont="1" applyFill="1" applyAlignment="1"/>
    <xf numFmtId="0" fontId="5" fillId="0" borderId="0" xfId="0" applyNumberFormat="1" applyFont="1" applyFill="1" applyAlignment="1"/>
    <xf numFmtId="42" fontId="5" fillId="0" borderId="0" xfId="0" applyNumberFormat="1" applyFont="1" applyFill="1">
      <alignment horizontal="left" wrapText="1"/>
    </xf>
    <xf numFmtId="42" fontId="5" fillId="0" borderId="0" xfId="0" applyNumberFormat="1" applyFont="1" applyFill="1" applyAlignment="1"/>
    <xf numFmtId="1" fontId="5" fillId="0" borderId="0" xfId="0" applyNumberFormat="1" applyFont="1" applyFill="1" applyAlignment="1">
      <alignment horizontal="center" wrapText="1"/>
    </xf>
    <xf numFmtId="164" fontId="5" fillId="0" borderId="0" xfId="0" applyFont="1" applyFill="1">
      <alignment horizontal="left" wrapText="1"/>
    </xf>
    <xf numFmtId="41" fontId="1" fillId="0" borderId="0" xfId="0" applyNumberFormat="1" applyFont="1" applyFill="1" applyBorder="1" applyAlignment="1"/>
    <xf numFmtId="41" fontId="5" fillId="0" borderId="0" xfId="0" applyNumberFormat="1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42" fontId="1" fillId="0" borderId="32" xfId="0" applyNumberFormat="1" applyFont="1" applyFill="1" applyBorder="1">
      <alignment horizontal="left" wrapText="1"/>
    </xf>
    <xf numFmtId="3" fontId="1" fillId="0" borderId="0" xfId="0" applyNumberFormat="1" applyFont="1" applyFill="1" applyBorder="1" applyAlignment="1"/>
    <xf numFmtId="8" fontId="1" fillId="0" borderId="0" xfId="0" applyNumberFormat="1" applyFont="1" applyFill="1" applyAlignment="1"/>
    <xf numFmtId="43" fontId="1" fillId="0" borderId="0" xfId="0" applyNumberFormat="1" applyFont="1" applyFill="1" applyAlignment="1"/>
    <xf numFmtId="43" fontId="1" fillId="0" borderId="0" xfId="0" applyNumberFormat="1" applyFont="1" applyFill="1" applyBorder="1" applyAlignment="1"/>
    <xf numFmtId="0" fontId="35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64" fontId="1" fillId="0" borderId="33" xfId="0" applyFont="1" applyFill="1" applyBorder="1">
      <alignment horizontal="left" wrapText="1"/>
    </xf>
    <xf numFmtId="165" fontId="1" fillId="0" borderId="9" xfId="0" applyNumberFormat="1" applyFont="1" applyFill="1" applyBorder="1" applyAlignment="1"/>
    <xf numFmtId="165" fontId="1" fillId="0" borderId="15" xfId="0" applyNumberFormat="1" applyFont="1" applyFill="1" applyBorder="1" applyAlignment="1"/>
    <xf numFmtId="165" fontId="1" fillId="0" borderId="10" xfId="0" applyNumberFormat="1" applyFont="1" applyFill="1" applyBorder="1" applyAlignment="1"/>
    <xf numFmtId="3" fontId="0" fillId="0" borderId="0" xfId="0" applyNumberFormat="1" applyAlignment="1"/>
    <xf numFmtId="164" fontId="1" fillId="0" borderId="0" xfId="0" applyFont="1" applyFill="1" applyBorder="1">
      <alignment horizontal="left" wrapText="1"/>
    </xf>
    <xf numFmtId="0" fontId="2" fillId="0" borderId="0" xfId="0" applyNumberFormat="1" applyFont="1" applyFill="1" applyAlignment="1"/>
    <xf numFmtId="0" fontId="2" fillId="0" borderId="5" xfId="0" applyNumberFormat="1" applyFont="1" applyFill="1" applyBorder="1" applyAlignment="1"/>
    <xf numFmtId="0" fontId="2" fillId="0" borderId="0" xfId="0" applyNumberFormat="1" applyFont="1" applyFill="1" applyBorder="1" applyAlignment="1"/>
    <xf numFmtId="17" fontId="5" fillId="0" borderId="18" xfId="0" quotePrefix="1" applyNumberFormat="1" applyFont="1" applyFill="1" applyBorder="1" applyAlignment="1">
      <alignment horizontal="left"/>
    </xf>
    <xf numFmtId="37" fontId="1" fillId="0" borderId="0" xfId="0" applyNumberFormat="1" applyFont="1" applyFill="1" applyBorder="1" applyAlignment="1">
      <alignment horizontal="center"/>
    </xf>
    <xf numFmtId="17" fontId="1" fillId="0" borderId="18" xfId="0" quotePrefix="1" applyNumberFormat="1" applyFont="1" applyFill="1" applyBorder="1" applyAlignment="1">
      <alignment horizontal="left"/>
    </xf>
    <xf numFmtId="3" fontId="2" fillId="0" borderId="0" xfId="0" applyNumberFormat="1" applyFont="1" applyFill="1" applyAlignment="1"/>
    <xf numFmtId="165" fontId="1" fillId="0" borderId="0" xfId="0" applyNumberFormat="1" applyFont="1" applyFill="1" applyAlignment="1"/>
    <xf numFmtId="0" fontId="43" fillId="0" borderId="0" xfId="0" applyNumberFormat="1" applyFont="1" applyAlignment="1"/>
    <xf numFmtId="165" fontId="12" fillId="0" borderId="0" xfId="0" applyNumberFormat="1" applyFont="1" applyAlignment="1"/>
    <xf numFmtId="0" fontId="43" fillId="0" borderId="0" xfId="0" applyNumberFormat="1" applyFont="1" applyAlignment="1">
      <alignment horizontal="centerContinuous"/>
    </xf>
    <xf numFmtId="0" fontId="43" fillId="0" borderId="8" xfId="0" applyNumberFormat="1" applyFont="1" applyFill="1" applyBorder="1" applyAlignment="1">
      <alignment horizontal="centerContinuous"/>
    </xf>
    <xf numFmtId="0" fontId="43" fillId="0" borderId="3" xfId="0" applyNumberFormat="1" applyFont="1" applyFill="1" applyBorder="1" applyAlignment="1">
      <alignment horizontal="center"/>
    </xf>
    <xf numFmtId="0" fontId="43" fillId="0" borderId="10" xfId="0" applyNumberFormat="1" applyFont="1" applyFill="1" applyBorder="1" applyAlignment="1">
      <alignment horizontal="center"/>
    </xf>
    <xf numFmtId="0" fontId="43" fillId="0" borderId="9" xfId="0" applyNumberFormat="1" applyFont="1" applyFill="1" applyBorder="1" applyAlignment="1">
      <alignment horizontal="center"/>
    </xf>
    <xf numFmtId="0" fontId="43" fillId="0" borderId="15" xfId="0" applyNumberFormat="1" applyFont="1" applyFill="1" applyBorder="1" applyAlignment="1">
      <alignment horizontal="center"/>
    </xf>
    <xf numFmtId="0" fontId="43" fillId="0" borderId="10" xfId="0" quotePrefix="1" applyNumberFormat="1" applyFont="1" applyFill="1" applyBorder="1" applyAlignment="1">
      <alignment horizontal="center"/>
    </xf>
    <xf numFmtId="0" fontId="22" fillId="0" borderId="10" xfId="0" quotePrefix="1" applyNumberFormat="1" applyFont="1" applyFill="1" applyBorder="1" applyAlignment="1">
      <alignment horizontal="centerContinuous"/>
    </xf>
    <xf numFmtId="0" fontId="43" fillId="0" borderId="10" xfId="0" applyNumberFormat="1" applyFont="1" applyFill="1" applyBorder="1" applyAlignment="1">
      <alignment horizontal="centerContinuous"/>
    </xf>
    <xf numFmtId="0" fontId="43" fillId="0" borderId="14" xfId="0" applyNumberFormat="1" applyFont="1" applyFill="1" applyBorder="1" applyAlignment="1">
      <alignment horizontal="center"/>
    </xf>
    <xf numFmtId="0" fontId="43" fillId="0" borderId="0" xfId="0" applyNumberFormat="1" applyFont="1" applyFill="1" applyBorder="1" applyAlignment="1">
      <alignment horizontal="center"/>
    </xf>
    <xf numFmtId="0" fontId="43" fillId="0" borderId="12" xfId="0" applyNumberFormat="1" applyFont="1" applyFill="1" applyBorder="1" applyAlignment="1">
      <alignment horizontal="center"/>
    </xf>
    <xf numFmtId="166" fontId="43" fillId="0" borderId="0" xfId="0" applyNumberFormat="1" applyFont="1" applyAlignment="1"/>
    <xf numFmtId="0" fontId="23" fillId="0" borderId="0" xfId="0" applyNumberFormat="1" applyFont="1" applyFill="1" applyAlignment="1"/>
    <xf numFmtId="0" fontId="43" fillId="0" borderId="0" xfId="0" applyNumberFormat="1" applyFont="1" applyFill="1" applyAlignment="1"/>
    <xf numFmtId="165" fontId="12" fillId="0" borderId="0" xfId="0" applyNumberFormat="1" applyFont="1" applyFill="1" applyAlignment="1"/>
    <xf numFmtId="166" fontId="20" fillId="4" borderId="0" xfId="0" applyNumberFormat="1" applyFont="1" applyFill="1" applyBorder="1" applyAlignment="1"/>
    <xf numFmtId="166" fontId="43" fillId="0" borderId="0" xfId="0" applyNumberFormat="1" applyFont="1" applyFill="1" applyAlignment="1"/>
    <xf numFmtId="43" fontId="12" fillId="0" borderId="13" xfId="0" quotePrefix="1" applyNumberFormat="1" applyFont="1" applyFill="1" applyBorder="1" applyAlignment="1">
      <alignment horizontal="right"/>
    </xf>
    <xf numFmtId="166" fontId="12" fillId="0" borderId="14" xfId="0" applyNumberFormat="1" applyFont="1" applyFill="1" applyBorder="1" applyAlignment="1"/>
    <xf numFmtId="165" fontId="12" fillId="0" borderId="14" xfId="0" applyNumberFormat="1" applyFont="1" applyFill="1" applyBorder="1" applyAlignment="1"/>
    <xf numFmtId="166" fontId="12" fillId="0" borderId="14" xfId="0" applyNumberFormat="1" applyFont="1" applyFill="1" applyBorder="1" applyAlignment="1">
      <alignment horizontal="center"/>
    </xf>
    <xf numFmtId="43" fontId="12" fillId="0" borderId="0" xfId="0" quotePrefix="1" applyNumberFormat="1" applyFont="1" applyFill="1" applyBorder="1" applyAlignment="1">
      <alignment horizontal="right"/>
    </xf>
    <xf numFmtId="166" fontId="43" fillId="0" borderId="15" xfId="0" applyNumberFormat="1" applyFont="1" applyFill="1" applyBorder="1" applyAlignment="1"/>
    <xf numFmtId="43" fontId="43" fillId="0" borderId="0" xfId="0" applyNumberFormat="1" applyFont="1" applyAlignment="1"/>
    <xf numFmtId="165" fontId="12" fillId="0" borderId="13" xfId="0" applyNumberFormat="1" applyFont="1" applyFill="1" applyBorder="1" applyAlignment="1"/>
    <xf numFmtId="166" fontId="43" fillId="4" borderId="0" xfId="0" applyNumberFormat="1" applyFont="1" applyFill="1" applyBorder="1" applyAlignment="1"/>
    <xf numFmtId="43" fontId="12" fillId="0" borderId="5" xfId="0" quotePrefix="1" applyNumberFormat="1" applyFont="1" applyFill="1" applyBorder="1" applyAlignment="1">
      <alignment horizontal="right"/>
    </xf>
    <xf numFmtId="165" fontId="12" fillId="0" borderId="17" xfId="0" applyNumberFormat="1" applyFont="1" applyFill="1" applyBorder="1" applyAlignment="1"/>
    <xf numFmtId="14" fontId="43" fillId="0" borderId="0" xfId="0" applyNumberFormat="1" applyFont="1" applyAlignment="1"/>
    <xf numFmtId="0" fontId="43" fillId="0" borderId="0" xfId="0" applyNumberFormat="1" applyFont="1" applyBorder="1" applyAlignment="1"/>
    <xf numFmtId="0" fontId="43" fillId="0" borderId="0" xfId="0" applyNumberFormat="1" applyFont="1" applyFill="1" applyBorder="1" applyAlignment="1"/>
    <xf numFmtId="0" fontId="14" fillId="0" borderId="0" xfId="0" applyNumberFormat="1" applyFont="1" applyAlignment="1"/>
    <xf numFmtId="0" fontId="24" fillId="0" borderId="0" xfId="0" applyNumberFormat="1" applyFont="1" applyFill="1" applyAlignment="1"/>
    <xf numFmtId="165" fontId="12" fillId="0" borderId="3" xfId="0" applyNumberFormat="1" applyFont="1" applyBorder="1" applyAlignment="1">
      <alignment horizontal="center" wrapText="1"/>
    </xf>
    <xf numFmtId="0" fontId="43" fillId="0" borderId="3" xfId="0" applyNumberFormat="1" applyFont="1" applyBorder="1" applyAlignment="1">
      <alignment horizontal="center" wrapText="1"/>
    </xf>
    <xf numFmtId="0" fontId="24" fillId="0" borderId="3" xfId="0" applyNumberFormat="1" applyFont="1" applyFill="1" applyBorder="1" applyAlignment="1">
      <alignment horizontal="center" wrapText="1"/>
    </xf>
    <xf numFmtId="165" fontId="19" fillId="0" borderId="3" xfId="0" applyNumberFormat="1" applyFont="1" applyBorder="1" applyAlignment="1">
      <alignment horizontal="center" wrapText="1"/>
    </xf>
    <xf numFmtId="14" fontId="19" fillId="0" borderId="3" xfId="0" applyNumberFormat="1" applyFont="1" applyBorder="1" applyAlignment="1">
      <alignment horizontal="center" wrapText="1"/>
    </xf>
    <xf numFmtId="165" fontId="19" fillId="0" borderId="3" xfId="0" applyNumberFormat="1" applyFont="1" applyFill="1" applyBorder="1" applyAlignment="1">
      <alignment horizontal="center" wrapText="1"/>
    </xf>
    <xf numFmtId="0" fontId="19" fillId="0" borderId="3" xfId="0" applyNumberFormat="1" applyFont="1" applyFill="1" applyBorder="1" applyAlignment="1">
      <alignment horizontal="center"/>
    </xf>
    <xf numFmtId="165" fontId="12" fillId="0" borderId="3" xfId="0" applyNumberFormat="1" applyFont="1" applyFill="1" applyBorder="1" applyAlignment="1">
      <alignment horizontal="center" wrapText="1"/>
    </xf>
    <xf numFmtId="165" fontId="12" fillId="0" borderId="0" xfId="0" applyNumberFormat="1" applyFont="1" applyBorder="1" applyAlignment="1">
      <alignment horizontal="center" wrapText="1"/>
    </xf>
    <xf numFmtId="0" fontId="43" fillId="0" borderId="3" xfId="0" applyNumberFormat="1" applyFont="1" applyBorder="1" applyAlignment="1">
      <alignment horizontal="center" wrapText="1"/>
    </xf>
    <xf numFmtId="14" fontId="43" fillId="0" borderId="3" xfId="0" applyNumberFormat="1" applyFont="1" applyBorder="1" applyAlignment="1">
      <alignment horizontal="center" wrapText="1"/>
    </xf>
    <xf numFmtId="0" fontId="43" fillId="0" borderId="3" xfId="0" applyNumberFormat="1" applyFont="1" applyFill="1" applyBorder="1" applyAlignment="1">
      <alignment horizontal="center" wrapText="1"/>
    </xf>
    <xf numFmtId="0" fontId="24" fillId="0" borderId="3" xfId="0" applyNumberFormat="1" applyFont="1" applyFill="1" applyBorder="1" applyAlignment="1">
      <alignment horizontal="center" wrapText="1"/>
    </xf>
    <xf numFmtId="0" fontId="43" fillId="0" borderId="0" xfId="0" applyNumberFormat="1" applyFont="1" applyBorder="1" applyAlignment="1">
      <alignment horizontal="center" wrapText="1"/>
    </xf>
    <xf numFmtId="0" fontId="43" fillId="0" borderId="0" xfId="0" applyNumberFormat="1" applyFont="1" applyAlignment="1">
      <alignment horizontal="center"/>
    </xf>
    <xf numFmtId="43" fontId="12" fillId="0" borderId="0" xfId="0" applyNumberFormat="1" applyFont="1" applyFill="1" applyAlignment="1"/>
    <xf numFmtId="43" fontId="24" fillId="0" borderId="0" xfId="0" applyNumberFormat="1" applyFont="1" applyFill="1" applyAlignment="1"/>
    <xf numFmtId="43" fontId="12" fillId="0" borderId="0" xfId="0" applyNumberFormat="1" applyFont="1" applyAlignment="1"/>
    <xf numFmtId="170" fontId="12" fillId="0" borderId="0" xfId="0" applyNumberFormat="1" applyFont="1" applyFill="1" applyAlignment="1"/>
    <xf numFmtId="165" fontId="24" fillId="0" borderId="0" xfId="0" applyNumberFormat="1" applyFont="1" applyFill="1" applyAlignment="1"/>
    <xf numFmtId="165" fontId="19" fillId="0" borderId="0" xfId="0" applyNumberFormat="1" applyFont="1" applyFill="1" applyBorder="1" applyAlignment="1"/>
    <xf numFmtId="0" fontId="43" fillId="0" borderId="0" xfId="0" applyNumberFormat="1" applyFont="1" applyFill="1" applyAlignment="1">
      <alignment horizontal="center"/>
    </xf>
    <xf numFmtId="14" fontId="43" fillId="0" borderId="0" xfId="0" applyNumberFormat="1" applyFont="1" applyFill="1" applyAlignment="1"/>
    <xf numFmtId="170" fontId="19" fillId="0" borderId="0" xfId="0" applyNumberFormat="1" applyFont="1" applyFill="1" applyBorder="1" applyAlignment="1"/>
    <xf numFmtId="43" fontId="19" fillId="0" borderId="0" xfId="0" applyNumberFormat="1" applyFont="1" applyFill="1" applyAlignment="1"/>
    <xf numFmtId="170" fontId="19" fillId="0" borderId="39" xfId="0" applyNumberFormat="1" applyFont="1" applyFill="1" applyBorder="1" applyAlignment="1"/>
    <xf numFmtId="0" fontId="43" fillId="0" borderId="40" xfId="0" applyNumberFormat="1" applyFont="1" applyBorder="1" applyAlignment="1">
      <alignment horizontal="center"/>
    </xf>
    <xf numFmtId="14" fontId="43" fillId="0" borderId="40" xfId="0" applyNumberFormat="1" applyFont="1" applyBorder="1" applyAlignment="1"/>
    <xf numFmtId="165" fontId="12" fillId="0" borderId="40" xfId="0" applyNumberFormat="1" applyFont="1" applyBorder="1" applyAlignment="1"/>
    <xf numFmtId="43" fontId="12" fillId="0" borderId="40" xfId="0" applyNumberFormat="1" applyFont="1" applyFill="1" applyBorder="1" applyAlignment="1"/>
    <xf numFmtId="165" fontId="24" fillId="0" borderId="40" xfId="0" applyNumberFormat="1" applyFont="1" applyFill="1" applyBorder="1" applyAlignment="1"/>
    <xf numFmtId="165" fontId="12" fillId="0" borderId="40" xfId="0" applyNumberFormat="1" applyFont="1" applyFill="1" applyBorder="1" applyAlignment="1"/>
    <xf numFmtId="165" fontId="19" fillId="0" borderId="0" xfId="0" applyNumberFormat="1" applyFont="1" applyFill="1" applyAlignment="1"/>
    <xf numFmtId="0" fontId="19" fillId="0" borderId="0" xfId="0" applyNumberFormat="1" applyFont="1" applyFill="1" applyAlignment="1"/>
    <xf numFmtId="170" fontId="12" fillId="0" borderId="0" xfId="0" applyNumberFormat="1" applyFont="1" applyFill="1" applyAlignment="1"/>
    <xf numFmtId="0" fontId="26" fillId="0" borderId="0" xfId="0" quotePrefix="1" applyNumberFormat="1" applyFont="1" applyAlignment="1"/>
    <xf numFmtId="0" fontId="43" fillId="0" borderId="0" xfId="0" applyNumberFormat="1" applyFont="1" applyAlignment="1">
      <alignment horizontal="left" indent="2"/>
    </xf>
    <xf numFmtId="0" fontId="26" fillId="0" borderId="0" xfId="0" quotePrefix="1" applyNumberFormat="1" applyFont="1" applyAlignment="1">
      <alignment horizontal="left"/>
    </xf>
    <xf numFmtId="0" fontId="43" fillId="0" borderId="0" xfId="0" quotePrefix="1" applyNumberFormat="1" applyFont="1" applyAlignment="1">
      <alignment horizontal="left" indent="2"/>
    </xf>
    <xf numFmtId="0" fontId="43" fillId="0" borderId="0" xfId="0" quotePrefix="1" applyNumberFormat="1" applyFont="1" applyAlignment="1">
      <alignment horizontal="left" indent="1"/>
    </xf>
    <xf numFmtId="43" fontId="24" fillId="0" borderId="0" xfId="0" quotePrefix="1" applyNumberFormat="1" applyFont="1" applyFill="1" applyAlignment="1"/>
    <xf numFmtId="0" fontId="12" fillId="0" borderId="0" xfId="0" applyNumberFormat="1" applyFont="1" applyFill="1" applyAlignment="1"/>
    <xf numFmtId="43" fontId="43" fillId="0" borderId="0" xfId="0" applyNumberFormat="1" applyFont="1" applyFill="1" applyBorder="1" applyAlignment="1">
      <alignment horizontal="left"/>
    </xf>
    <xf numFmtId="0" fontId="43" fillId="0" borderId="0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/>
    <xf numFmtId="10" fontId="25" fillId="0" borderId="0" xfId="0" applyNumberFormat="1" applyFont="1" applyFill="1" applyBorder="1" applyAlignment="1"/>
    <xf numFmtId="10" fontId="14" fillId="0" borderId="5" xfId="0" applyNumberFormat="1" applyFont="1" applyFill="1" applyBorder="1" applyAlignment="1"/>
    <xf numFmtId="0" fontId="14" fillId="0" borderId="5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>
      <alignment horizontal="center"/>
    </xf>
    <xf numFmtId="43" fontId="12" fillId="0" borderId="0" xfId="0" applyNumberFormat="1" applyFont="1" applyFill="1" applyBorder="1" applyAlignment="1"/>
    <xf numFmtId="0" fontId="14" fillId="0" borderId="0" xfId="0" applyNumberFormat="1" applyFont="1" applyFill="1" applyAlignment="1"/>
    <xf numFmtId="0" fontId="43" fillId="0" borderId="7" xfId="0" applyNumberFormat="1" applyFont="1" applyFill="1" applyBorder="1" applyAlignment="1">
      <alignment horizontal="centerContinuous"/>
    </xf>
    <xf numFmtId="0" fontId="43" fillId="0" borderId="2" xfId="0" applyNumberFormat="1" applyFont="1" applyFill="1" applyBorder="1" applyAlignment="1">
      <alignment horizontal="centerContinuous"/>
    </xf>
    <xf numFmtId="0" fontId="43" fillId="0" borderId="3" xfId="0" applyNumberFormat="1" applyFont="1" applyFill="1" applyBorder="1" applyAlignment="1">
      <alignment horizontal="centerContinuous"/>
    </xf>
    <xf numFmtId="14" fontId="43" fillId="0" borderId="15" xfId="0" applyNumberFormat="1" applyFont="1" applyFill="1" applyBorder="1" applyAlignment="1"/>
    <xf numFmtId="14" fontId="43" fillId="0" borderId="9" xfId="0" applyNumberFormat="1" applyFont="1" applyFill="1" applyBorder="1" applyAlignment="1"/>
    <xf numFmtId="14" fontId="43" fillId="0" borderId="13" xfId="0" applyNumberFormat="1" applyFont="1" applyFill="1" applyBorder="1" applyAlignment="1"/>
    <xf numFmtId="14" fontId="43" fillId="0" borderId="14" xfId="0" applyNumberFormat="1" applyFont="1" applyFill="1" applyBorder="1" applyAlignment="1"/>
    <xf numFmtId="0" fontId="43" fillId="0" borderId="11" xfId="0" applyNumberFormat="1" applyFont="1" applyFill="1" applyBorder="1" applyAlignment="1"/>
    <xf numFmtId="0" fontId="43" fillId="0" borderId="6" xfId="0" applyNumberFormat="1" applyFont="1" applyFill="1" applyBorder="1" applyAlignment="1"/>
    <xf numFmtId="0" fontId="43" fillId="0" borderId="12" xfId="0" applyNumberFormat="1" applyFont="1" applyFill="1" applyBorder="1" applyAlignment="1"/>
    <xf numFmtId="0" fontId="43" fillId="0" borderId="9" xfId="0" applyNumberFormat="1" applyFont="1" applyFill="1" applyBorder="1" applyAlignment="1"/>
    <xf numFmtId="43" fontId="43" fillId="0" borderId="0" xfId="0" applyNumberFormat="1" applyFont="1" applyFill="1" applyAlignment="1"/>
    <xf numFmtId="165" fontId="43" fillId="0" borderId="13" xfId="0" applyNumberFormat="1" applyFont="1" applyFill="1" applyBorder="1" applyAlignment="1"/>
    <xf numFmtId="165" fontId="43" fillId="0" borderId="0" xfId="0" applyNumberFormat="1" applyFont="1" applyFill="1" applyBorder="1" applyAlignment="1"/>
    <xf numFmtId="165" fontId="43" fillId="0" borderId="14" xfId="0" applyNumberFormat="1" applyFont="1" applyFill="1" applyBorder="1" applyAlignment="1"/>
    <xf numFmtId="165" fontId="43" fillId="0" borderId="15" xfId="0" applyNumberFormat="1" applyFont="1" applyFill="1" applyBorder="1" applyAlignment="1"/>
    <xf numFmtId="165" fontId="19" fillId="0" borderId="15" xfId="0" applyNumberFormat="1" applyFont="1" applyFill="1" applyBorder="1" applyAlignment="1"/>
    <xf numFmtId="43" fontId="43" fillId="0" borderId="0" xfId="0" applyNumberFormat="1" applyFont="1" applyFill="1" applyBorder="1" applyAlignment="1"/>
    <xf numFmtId="43" fontId="43" fillId="0" borderId="15" xfId="0" applyNumberFormat="1" applyFont="1" applyFill="1" applyBorder="1" applyAlignment="1"/>
    <xf numFmtId="165" fontId="43" fillId="0" borderId="0" xfId="0" applyNumberFormat="1" applyFont="1" applyFill="1" applyAlignment="1"/>
    <xf numFmtId="43" fontId="43" fillId="0" borderId="10" xfId="0" applyNumberFormat="1" applyFont="1" applyFill="1" applyBorder="1" applyAlignment="1"/>
    <xf numFmtId="165" fontId="43" fillId="0" borderId="5" xfId="0" applyNumberFormat="1" applyFont="1" applyFill="1" applyBorder="1" applyAlignment="1"/>
    <xf numFmtId="165" fontId="43" fillId="0" borderId="17" xfId="0" applyNumberFormat="1" applyFont="1" applyFill="1" applyBorder="1" applyAlignment="1"/>
    <xf numFmtId="165" fontId="43" fillId="0" borderId="16" xfId="0" applyNumberFormat="1" applyFont="1" applyFill="1" applyBorder="1" applyAlignment="1"/>
    <xf numFmtId="165" fontId="19" fillId="0" borderId="10" xfId="0" applyNumberFormat="1" applyFont="1" applyFill="1" applyBorder="1" applyAlignment="1"/>
    <xf numFmtId="165" fontId="28" fillId="0" borderId="0" xfId="0" applyNumberFormat="1" applyFont="1" applyFill="1" applyAlignment="1"/>
    <xf numFmtId="10" fontId="1" fillId="0" borderId="0" xfId="0" applyNumberFormat="1" applyFont="1" applyFill="1" applyAlignment="1"/>
    <xf numFmtId="0" fontId="0" fillId="0" borderId="0" xfId="0" applyNumberFormat="1" applyFont="1" applyFill="1" applyAlignment="1"/>
    <xf numFmtId="43" fontId="12" fillId="0" borderId="0" xfId="0" quotePrefix="1" applyNumberFormat="1" applyFont="1" applyFill="1" applyAlignment="1">
      <alignment horizontal="right"/>
    </xf>
    <xf numFmtId="166" fontId="12" fillId="0" borderId="0" xfId="0" applyNumberFormat="1" applyFont="1" applyFill="1" applyAlignment="1"/>
    <xf numFmtId="165" fontId="1" fillId="0" borderId="0" xfId="0" applyNumberFormat="1" applyFont="1" applyFill="1" applyAlignment="1"/>
    <xf numFmtId="43" fontId="1" fillId="0" borderId="0" xfId="0" applyNumberFormat="1" applyFont="1" applyFill="1" applyAlignment="1"/>
    <xf numFmtId="166" fontId="43" fillId="0" borderId="0" xfId="0" applyNumberFormat="1" applyFont="1" applyFill="1" applyBorder="1" applyAlignment="1"/>
    <xf numFmtId="166" fontId="43" fillId="0" borderId="14" xfId="0" applyNumberFormat="1" applyFont="1" applyFill="1" applyBorder="1" applyAlignment="1"/>
    <xf numFmtId="14" fontId="19" fillId="0" borderId="0" xfId="0" applyNumberFormat="1" applyFont="1" applyFill="1" applyAlignment="1"/>
    <xf numFmtId="43" fontId="12" fillId="0" borderId="5" xfId="0" applyNumberFormat="1" applyFont="1" applyFill="1" applyBorder="1" applyAlignment="1">
      <alignment horizontal="left"/>
    </xf>
    <xf numFmtId="166" fontId="12" fillId="0" borderId="5" xfId="0" applyNumberFormat="1" applyFont="1" applyFill="1" applyBorder="1" applyAlignment="1"/>
    <xf numFmtId="166" fontId="43" fillId="4" borderId="5" xfId="0" applyNumberFormat="1" applyFont="1" applyFill="1" applyBorder="1" applyAlignment="1"/>
    <xf numFmtId="0" fontId="43" fillId="0" borderId="17" xfId="0" applyNumberFormat="1" applyFont="1" applyFill="1" applyBorder="1" applyAlignment="1"/>
    <xf numFmtId="166" fontId="34" fillId="0" borderId="41" xfId="0" applyNumberFormat="1" applyFont="1" applyFill="1" applyBorder="1" applyAlignment="1"/>
    <xf numFmtId="165" fontId="12" fillId="0" borderId="0" xfId="0" applyNumberFormat="1" applyFont="1" applyBorder="1" applyAlignment="1"/>
    <xf numFmtId="165" fontId="12" fillId="0" borderId="0" xfId="0" applyNumberFormat="1" applyFont="1" applyFill="1" applyBorder="1" applyAlignment="1"/>
    <xf numFmtId="165" fontId="12" fillId="0" borderId="5" xfId="0" applyNumberFormat="1" applyFont="1" applyFill="1" applyBorder="1" applyAlignment="1"/>
    <xf numFmtId="165" fontId="14" fillId="0" borderId="0" xfId="0" applyNumberFormat="1" applyFont="1" applyFill="1" applyAlignment="1">
      <alignment horizontal="left"/>
    </xf>
    <xf numFmtId="17" fontId="6" fillId="0" borderId="5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43" fillId="0" borderId="11" xfId="0" applyNumberFormat="1" applyFont="1" applyFill="1" applyBorder="1" applyAlignment="1">
      <alignment horizontal="center"/>
    </xf>
    <xf numFmtId="0" fontId="33" fillId="0" borderId="3" xfId="0" applyNumberFormat="1" applyFont="1" applyFill="1" applyBorder="1" applyAlignment="1">
      <alignment horizontal="center" vertical="top" wrapText="1"/>
    </xf>
    <xf numFmtId="0" fontId="33" fillId="0" borderId="2" xfId="0" applyNumberFormat="1" applyFont="1" applyFill="1" applyBorder="1" applyAlignment="1">
      <alignment horizontal="center" vertical="top" wrapText="1"/>
    </xf>
    <xf numFmtId="0" fontId="33" fillId="0" borderId="7" xfId="0" applyNumberFormat="1" applyFont="1" applyFill="1" applyBorder="1" applyAlignment="1">
      <alignment horizontal="centerContinuous" vertical="top"/>
    </xf>
    <xf numFmtId="0" fontId="33" fillId="0" borderId="8" xfId="0" applyNumberFormat="1" applyFont="1" applyFill="1" applyBorder="1" applyAlignment="1">
      <alignment horizontal="centerContinuous" vertical="top"/>
    </xf>
    <xf numFmtId="0" fontId="33" fillId="0" borderId="2" xfId="0" applyNumberFormat="1" applyFont="1" applyFill="1" applyBorder="1" applyAlignment="1">
      <alignment horizontal="centerContinuous" vertical="top"/>
    </xf>
    <xf numFmtId="0" fontId="33" fillId="0" borderId="8" xfId="0" applyNumberFormat="1" applyFont="1" applyFill="1" applyBorder="1" applyAlignment="1">
      <alignment horizontal="center" vertical="top"/>
    </xf>
    <xf numFmtId="0" fontId="33" fillId="0" borderId="3" xfId="0" applyNumberFormat="1" applyFont="1" applyFill="1" applyBorder="1" applyAlignment="1">
      <alignment horizontal="centerContinuous" vertical="top"/>
    </xf>
    <xf numFmtId="0" fontId="33" fillId="0" borderId="0" xfId="0" applyNumberFormat="1" applyFont="1" applyFill="1" applyAlignment="1"/>
    <xf numFmtId="0" fontId="33" fillId="0" borderId="7" xfId="0" applyNumberFormat="1" applyFont="1" applyFill="1" applyBorder="1" applyAlignment="1">
      <alignment horizontal="centerContinuous" vertical="top" wrapText="1"/>
    </xf>
    <xf numFmtId="0" fontId="33" fillId="0" borderId="8" xfId="0" applyNumberFormat="1" applyFont="1" applyFill="1" applyBorder="1" applyAlignment="1">
      <alignment horizontal="center" vertical="top" wrapText="1"/>
    </xf>
    <xf numFmtId="0" fontId="33" fillId="0" borderId="11" xfId="0" applyNumberFormat="1" applyFont="1" applyFill="1" applyBorder="1" applyAlignment="1">
      <alignment horizontal="center" vertical="top" wrapText="1"/>
    </xf>
    <xf numFmtId="0" fontId="33" fillId="0" borderId="6" xfId="0" applyNumberFormat="1" applyFont="1" applyFill="1" applyBorder="1" applyAlignment="1">
      <alignment horizontal="center" vertical="top" wrapText="1"/>
    </xf>
    <xf numFmtId="0" fontId="33" fillId="0" borderId="12" xfId="0" applyNumberFormat="1" applyFont="1" applyFill="1" applyBorder="1" applyAlignment="1">
      <alignment horizontal="center" vertical="top" wrapText="1"/>
    </xf>
    <xf numFmtId="0" fontId="33" fillId="0" borderId="10" xfId="0" applyNumberFormat="1" applyFont="1" applyFill="1" applyBorder="1" applyAlignment="1">
      <alignment horizontal="center" vertical="top" wrapText="1"/>
    </xf>
    <xf numFmtId="165" fontId="12" fillId="0" borderId="4" xfId="0" applyNumberFormat="1" applyFont="1" applyFill="1" applyBorder="1" applyAlignment="1"/>
    <xf numFmtId="165" fontId="39" fillId="0" borderId="4" xfId="0" applyNumberFormat="1" applyFont="1" applyFill="1" applyBorder="1" applyAlignment="1"/>
    <xf numFmtId="14" fontId="43" fillId="0" borderId="0" xfId="0" applyNumberFormat="1" applyFont="1" applyBorder="1" applyAlignment="1"/>
    <xf numFmtId="14" fontId="43" fillId="0" borderId="5" xfId="0" applyNumberFormat="1" applyFont="1" applyBorder="1" applyAlignment="1"/>
    <xf numFmtId="165" fontId="12" fillId="0" borderId="16" xfId="0" applyNumberFormat="1" applyFont="1" applyFill="1" applyBorder="1" applyAlignment="1"/>
    <xf numFmtId="166" fontId="20" fillId="2" borderId="0" xfId="0" applyNumberFormat="1" applyFont="1" applyFill="1" applyBorder="1" applyAlignment="1"/>
    <xf numFmtId="0" fontId="20" fillId="2" borderId="13" xfId="0" applyNumberFormat="1" applyFont="1" applyFill="1" applyBorder="1" applyAlignment="1">
      <alignment horizontal="center"/>
    </xf>
    <xf numFmtId="0" fontId="20" fillId="2" borderId="0" xfId="0" applyNumberFormat="1" applyFont="1" applyFill="1" applyBorder="1" applyAlignment="1">
      <alignment horizontal="center"/>
    </xf>
    <xf numFmtId="166" fontId="20" fillId="2" borderId="13" xfId="0" applyNumberFormat="1" applyFont="1" applyFill="1" applyBorder="1" applyAlignment="1"/>
    <xf numFmtId="38" fontId="1" fillId="0" borderId="0" xfId="0" applyNumberFormat="1" applyFont="1" applyFill="1" applyAlignment="1"/>
    <xf numFmtId="38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165" fontId="17" fillId="0" borderId="0" xfId="0" applyNumberFormat="1" applyFont="1" applyFill="1" applyBorder="1" applyAlignment="1"/>
    <xf numFmtId="17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/>
    <xf numFmtId="165" fontId="12" fillId="0" borderId="0" xfId="0" applyNumberFormat="1" applyFont="1" applyFill="1" applyAlignment="1"/>
    <xf numFmtId="17" fontId="1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3" fillId="0" borderId="0" xfId="0" applyNumberFormat="1" applyFont="1" applyAlignment="1"/>
    <xf numFmtId="165" fontId="29" fillId="0" borderId="0" xfId="0" applyNumberFormat="1" applyFont="1" applyFill="1" applyBorder="1" applyAlignment="1"/>
    <xf numFmtId="165" fontId="29" fillId="0" borderId="1" xfId="0" applyNumberFormat="1" applyFont="1" applyFill="1" applyBorder="1" applyAlignment="1"/>
    <xf numFmtId="0" fontId="30" fillId="0" borderId="0" xfId="0" applyNumberFormat="1" applyFont="1" applyFill="1" applyAlignment="1"/>
    <xf numFmtId="0" fontId="31" fillId="0" borderId="0" xfId="0" applyNumberFormat="1" applyFont="1" applyFill="1" applyAlignment="1"/>
    <xf numFmtId="0" fontId="31" fillId="0" borderId="0" xfId="0" applyNumberFormat="1" applyFont="1" applyFill="1" applyBorder="1" applyAlignment="1"/>
    <xf numFmtId="0" fontId="31" fillId="0" borderId="0" xfId="0" applyNumberFormat="1" applyFont="1" applyFill="1" applyAlignment="1"/>
    <xf numFmtId="0" fontId="30" fillId="0" borderId="0" xfId="0" applyNumberFormat="1" applyFont="1" applyFill="1" applyBorder="1" applyAlignment="1">
      <alignment horizontal="center"/>
    </xf>
    <xf numFmtId="0" fontId="31" fillId="0" borderId="5" xfId="0" applyNumberFormat="1" applyFont="1" applyFill="1" applyBorder="1" applyAlignment="1">
      <alignment horizontal="center"/>
    </xf>
    <xf numFmtId="0" fontId="31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Border="1" applyAlignment="1">
      <alignment horizontal="center"/>
    </xf>
    <xf numFmtId="0" fontId="31" fillId="0" borderId="23" xfId="0" applyNumberFormat="1" applyFont="1" applyFill="1" applyBorder="1" applyAlignment="1">
      <alignment horizontal="center"/>
    </xf>
    <xf numFmtId="0" fontId="31" fillId="0" borderId="0" xfId="0" applyNumberFormat="1" applyFont="1" applyFill="1" applyBorder="1" applyAlignment="1">
      <alignment horizontal="centerContinuous"/>
    </xf>
    <xf numFmtId="0" fontId="31" fillId="0" borderId="27" xfId="0" applyNumberFormat="1" applyFont="1" applyFill="1" applyBorder="1" applyAlignment="1">
      <alignment horizontal="center"/>
    </xf>
    <xf numFmtId="0" fontId="31" fillId="0" borderId="5" xfId="0" applyNumberFormat="1" applyFont="1" applyFill="1" applyBorder="1" applyAlignment="1">
      <alignment horizontal="centerContinuous"/>
    </xf>
    <xf numFmtId="0" fontId="31" fillId="0" borderId="5" xfId="0" applyNumberFormat="1" applyFont="1" applyFill="1" applyBorder="1" applyAlignment="1">
      <alignment horizontal="center"/>
    </xf>
    <xf numFmtId="0" fontId="31" fillId="0" borderId="38" xfId="0" applyNumberFormat="1" applyFont="1" applyFill="1" applyBorder="1" applyAlignment="1"/>
    <xf numFmtId="6" fontId="31" fillId="0" borderId="0" xfId="0" applyNumberFormat="1" applyFont="1" applyFill="1" applyBorder="1" applyAlignment="1">
      <alignment horizontal="center"/>
    </xf>
    <xf numFmtId="6" fontId="31" fillId="0" borderId="0" xfId="0" applyNumberFormat="1" applyFont="1" applyFill="1" applyBorder="1" applyAlignment="1"/>
    <xf numFmtId="5" fontId="31" fillId="0" borderId="0" xfId="0" applyNumberFormat="1" applyFont="1" applyFill="1" applyBorder="1" applyAlignment="1"/>
    <xf numFmtId="165" fontId="31" fillId="0" borderId="27" xfId="0" applyNumberFormat="1" applyFont="1" applyFill="1" applyBorder="1" applyAlignment="1"/>
    <xf numFmtId="165" fontId="31" fillId="0" borderId="0" xfId="0" applyNumberFormat="1" applyFont="1" applyFill="1" applyBorder="1" applyAlignment="1"/>
    <xf numFmtId="17" fontId="31" fillId="0" borderId="0" xfId="0" applyNumberFormat="1" applyFont="1" applyFill="1" applyBorder="1" applyAlignment="1"/>
    <xf numFmtId="165" fontId="31" fillId="0" borderId="0" xfId="0" applyNumberFormat="1" applyFont="1" applyFill="1" applyBorder="1" applyAlignment="1"/>
    <xf numFmtId="0" fontId="31" fillId="0" borderId="27" xfId="0" applyNumberFormat="1" applyFont="1" applyFill="1" applyBorder="1" applyAlignment="1"/>
    <xf numFmtId="173" fontId="30" fillId="0" borderId="41" xfId="0" applyNumberFormat="1" applyFont="1" applyFill="1" applyBorder="1" applyAlignment="1">
      <alignment horizontal="center"/>
    </xf>
    <xf numFmtId="17" fontId="31" fillId="0" borderId="1" xfId="0" applyNumberFormat="1" applyFont="1" applyFill="1" applyBorder="1" applyAlignment="1"/>
    <xf numFmtId="165" fontId="31" fillId="0" borderId="1" xfId="0" applyNumberFormat="1" applyFont="1" applyFill="1" applyBorder="1" applyAlignment="1"/>
    <xf numFmtId="165" fontId="31" fillId="0" borderId="1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NumberFormat="1" applyFont="1" applyBorder="1" applyAlignment="1"/>
    <xf numFmtId="41" fontId="1" fillId="0" borderId="0" xfId="0" applyNumberFormat="1" applyFont="1" applyFill="1" applyBorder="1" applyAlignment="1"/>
    <xf numFmtId="41" fontId="31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0" fontId="42" fillId="0" borderId="3" xfId="0" applyNumberFormat="1" applyFont="1" applyFill="1" applyBorder="1" applyAlignment="1">
      <alignment horizontal="center" vertical="top"/>
    </xf>
    <xf numFmtId="0" fontId="42" fillId="0" borderId="8" xfId="0" applyNumberFormat="1" applyFont="1" applyFill="1" applyBorder="1" applyAlignment="1">
      <alignment horizontal="centerContinuous" vertical="top"/>
    </xf>
    <xf numFmtId="0" fontId="42" fillId="0" borderId="7" xfId="0" applyNumberFormat="1" applyFont="1" applyFill="1" applyBorder="1" applyAlignment="1">
      <alignment horizontal="centerContinuous" vertical="top" wrapText="1"/>
    </xf>
    <xf numFmtId="0" fontId="42" fillId="0" borderId="2" xfId="0" applyNumberFormat="1" applyFont="1" applyFill="1" applyBorder="1" applyAlignment="1">
      <alignment horizontal="centerContinuous" vertical="top" wrapText="1"/>
    </xf>
    <xf numFmtId="0" fontId="42" fillId="0" borderId="8" xfId="0" applyNumberFormat="1" applyFont="1" applyFill="1" applyBorder="1" applyAlignment="1">
      <alignment horizontal="centerContinuous" vertical="top" wrapText="1"/>
    </xf>
    <xf numFmtId="0" fontId="38" fillId="0" borderId="3" xfId="0" applyNumberFormat="1" applyFont="1" applyFill="1" applyBorder="1" applyAlignment="1">
      <alignment horizontal="center" wrapText="1"/>
    </xf>
    <xf numFmtId="0" fontId="42" fillId="0" borderId="0" xfId="0" applyNumberFormat="1" applyFont="1" applyFill="1" applyAlignment="1"/>
    <xf numFmtId="43" fontId="42" fillId="0" borderId="0" xfId="0" applyNumberFormat="1" applyFont="1" applyFill="1" applyAlignment="1"/>
    <xf numFmtId="0" fontId="33" fillId="0" borderId="17" xfId="0" applyNumberFormat="1" applyFont="1" applyFill="1" applyBorder="1" applyAlignment="1">
      <alignment horizontal="centerContinuous" vertical="top"/>
    </xf>
    <xf numFmtId="43" fontId="1" fillId="0" borderId="0" xfId="0" applyNumberFormat="1" applyFont="1" applyFill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/>
    <xf numFmtId="0" fontId="5" fillId="0" borderId="5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Continuous"/>
    </xf>
    <xf numFmtId="0" fontId="1" fillId="0" borderId="5" xfId="0" applyNumberFormat="1" applyFont="1" applyFill="1" applyBorder="1" applyAlignment="1">
      <alignment horizontal="center"/>
    </xf>
    <xf numFmtId="0" fontId="1" fillId="0" borderId="5" xfId="0" quotePrefix="1" applyNumberFormat="1" applyFont="1" applyFill="1" applyBorder="1" applyAlignment="1">
      <alignment horizontal="center"/>
    </xf>
    <xf numFmtId="6" fontId="1" fillId="0" borderId="0" xfId="0" applyNumberFormat="1" applyFont="1" applyFill="1" applyAlignment="1"/>
    <xf numFmtId="6" fontId="1" fillId="0" borderId="0" xfId="0" applyNumberFormat="1" applyFont="1" applyFill="1" applyBorder="1" applyAlignment="1">
      <alignment horizontal="center"/>
    </xf>
    <xf numFmtId="6" fontId="1" fillId="0" borderId="0" xfId="0" applyNumberFormat="1" applyFont="1" applyFill="1" applyBorder="1" applyAlignment="1"/>
    <xf numFmtId="5" fontId="1" fillId="0" borderId="0" xfId="0" applyNumberFormat="1" applyFont="1" applyFill="1" applyBorder="1" applyAlignment="1"/>
    <xf numFmtId="17" fontId="1" fillId="0" borderId="0" xfId="0" applyNumberFormat="1" applyFont="1" applyFill="1" applyBorder="1" applyAlignment="1"/>
    <xf numFmtId="17" fontId="1" fillId="0" borderId="0" xfId="0" applyNumberFormat="1" applyFont="1" applyFill="1" applyAlignment="1"/>
    <xf numFmtId="38" fontId="1" fillId="0" borderId="0" xfId="0" applyNumberFormat="1" applyFont="1" applyFill="1" applyAlignment="1"/>
    <xf numFmtId="41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6" fontId="1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6" fontId="1" fillId="0" borderId="0" xfId="0" applyNumberFormat="1" applyFont="1" applyFill="1" applyBorder="1" applyAlignment="1"/>
    <xf numFmtId="17" fontId="1" fillId="0" borderId="0" xfId="0" applyNumberFormat="1" applyFont="1" applyFill="1" applyBorder="1" applyAlignment="1"/>
    <xf numFmtId="14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17" fontId="1" fillId="0" borderId="0" xfId="0" applyNumberFormat="1" applyFont="1" applyFill="1" applyAlignment="1"/>
    <xf numFmtId="165" fontId="1" fillId="0" borderId="0" xfId="0" applyNumberFormat="1" applyFont="1" applyFill="1" applyAlignment="1"/>
    <xf numFmtId="0" fontId="1" fillId="0" borderId="21" xfId="0" applyNumberFormat="1" applyFont="1" applyFill="1" applyBorder="1" applyAlignment="1"/>
    <xf numFmtId="0" fontId="31" fillId="0" borderId="19" xfId="0" applyNumberFormat="1" applyFont="1" applyFill="1" applyBorder="1" applyAlignment="1"/>
    <xf numFmtId="0" fontId="31" fillId="0" borderId="19" xfId="0" applyNumberFormat="1" applyFont="1" applyFill="1" applyBorder="1" applyAlignment="1">
      <alignment horizontal="center"/>
    </xf>
    <xf numFmtId="0" fontId="31" fillId="0" borderId="19" xfId="0" applyNumberFormat="1" applyFont="1" applyFill="1" applyBorder="1" applyAlignment="1">
      <alignment horizontal="center"/>
    </xf>
    <xf numFmtId="0" fontId="1" fillId="0" borderId="18" xfId="0" applyNumberFormat="1" applyFont="1" applyFill="1" applyBorder="1" applyAlignment="1"/>
    <xf numFmtId="0" fontId="1" fillId="0" borderId="42" xfId="0" applyNumberFormat="1" applyFont="1" applyFill="1" applyBorder="1" applyAlignment="1"/>
    <xf numFmtId="0" fontId="31" fillId="0" borderId="0" xfId="0" applyNumberFormat="1" applyFont="1" applyFill="1" applyBorder="1" applyAlignment="1">
      <alignment horizontal="right"/>
    </xf>
    <xf numFmtId="14" fontId="31" fillId="0" borderId="0" xfId="0" applyNumberFormat="1" applyFont="1" applyFill="1" applyBorder="1" applyAlignment="1"/>
    <xf numFmtId="0" fontId="3" fillId="0" borderId="18" xfId="0" applyNumberFormat="1" applyFont="1" applyBorder="1" applyAlignment="1"/>
    <xf numFmtId="0" fontId="31" fillId="0" borderId="0" xfId="0" applyNumberFormat="1" applyFont="1" applyFill="1" applyBorder="1" applyAlignment="1"/>
    <xf numFmtId="0" fontId="1" fillId="0" borderId="45" xfId="0" applyNumberFormat="1" applyFont="1" applyFill="1" applyBorder="1" applyAlignment="1"/>
    <xf numFmtId="0" fontId="31" fillId="0" borderId="41" xfId="0" applyNumberFormat="1" applyFont="1" applyFill="1" applyBorder="1" applyAlignment="1"/>
    <xf numFmtId="0" fontId="31" fillId="0" borderId="43" xfId="0" applyNumberFormat="1" applyFont="1" applyFill="1" applyBorder="1" applyAlignment="1"/>
    <xf numFmtId="0" fontId="1" fillId="0" borderId="13" xfId="0" applyNumberFormat="1" applyFont="1" applyFill="1" applyBorder="1" applyAlignment="1"/>
    <xf numFmtId="0" fontId="1" fillId="0" borderId="13" xfId="0" applyNumberFormat="1" applyFont="1" applyFill="1" applyBorder="1" applyAlignment="1"/>
    <xf numFmtId="165" fontId="1" fillId="0" borderId="15" xfId="0" applyNumberFormat="1" applyFont="1" applyBorder="1" applyAlignment="1"/>
    <xf numFmtId="165" fontId="1" fillId="0" borderId="14" xfId="0" applyNumberFormat="1" applyFont="1" applyFill="1" applyBorder="1" applyAlignment="1"/>
    <xf numFmtId="165" fontId="46" fillId="0" borderId="0" xfId="0" applyNumberFormat="1" applyFont="1" applyFill="1" applyBorder="1" applyAlignment="1"/>
    <xf numFmtId="165" fontId="46" fillId="0" borderId="5" xfId="0" applyNumberFormat="1" applyFont="1" applyFill="1" applyBorder="1" applyAlignment="1"/>
    <xf numFmtId="0" fontId="53" fillId="0" borderId="0" xfId="0" applyNumberFormat="1" applyFont="1" applyAlignment="1"/>
    <xf numFmtId="165" fontId="46" fillId="0" borderId="0" xfId="0" applyNumberFormat="1" applyFont="1" applyFill="1" applyAlignment="1"/>
    <xf numFmtId="0" fontId="54" fillId="0" borderId="11" xfId="0" applyNumberFormat="1" applyFont="1" applyFill="1" applyBorder="1" applyAlignment="1"/>
    <xf numFmtId="0" fontId="54" fillId="0" borderId="6" xfId="0" applyNumberFormat="1" applyFont="1" applyFill="1" applyBorder="1" applyAlignment="1"/>
    <xf numFmtId="0" fontId="54" fillId="0" borderId="6" xfId="0" applyNumberFormat="1" applyFont="1" applyFill="1" applyBorder="1" applyAlignment="1">
      <alignment horizontal="center"/>
    </xf>
    <xf numFmtId="0" fontId="54" fillId="0" borderId="6" xfId="0" applyNumberFormat="1" applyFont="1" applyFill="1" applyBorder="1" applyAlignment="1">
      <alignment horizontal="center"/>
    </xf>
    <xf numFmtId="0" fontId="54" fillId="0" borderId="12" xfId="0" applyNumberFormat="1" applyFont="1" applyFill="1" applyBorder="1" applyAlignment="1">
      <alignment horizontal="center"/>
    </xf>
    <xf numFmtId="0" fontId="54" fillId="0" borderId="9" xfId="0" applyNumberFormat="1" applyFont="1" applyFill="1" applyBorder="1" applyAlignment="1">
      <alignment horizontal="center"/>
    </xf>
    <xf numFmtId="0" fontId="54" fillId="0" borderId="13" xfId="0" applyNumberFormat="1" applyFont="1" applyFill="1" applyBorder="1" applyAlignment="1"/>
    <xf numFmtId="0" fontId="54" fillId="0" borderId="0" xfId="0" applyNumberFormat="1" applyFont="1" applyFill="1" applyBorder="1" applyAlignment="1">
      <alignment horizontal="center"/>
    </xf>
    <xf numFmtId="0" fontId="54" fillId="0" borderId="0" xfId="0" applyNumberFormat="1" applyFont="1" applyFill="1" applyBorder="1" applyAlignment="1">
      <alignment horizontal="centerContinuous"/>
    </xf>
    <xf numFmtId="0" fontId="54" fillId="0" borderId="0" xfId="0" applyNumberFormat="1" applyFont="1" applyFill="1" applyBorder="1" applyAlignment="1">
      <alignment horizontal="center"/>
    </xf>
    <xf numFmtId="0" fontId="54" fillId="0" borderId="14" xfId="0" applyNumberFormat="1" applyFont="1" applyFill="1" applyBorder="1" applyAlignment="1">
      <alignment horizontal="center"/>
    </xf>
    <xf numFmtId="0" fontId="54" fillId="0" borderId="15" xfId="0" applyNumberFormat="1" applyFont="1" applyFill="1" applyBorder="1" applyAlignment="1">
      <alignment horizontal="center"/>
    </xf>
    <xf numFmtId="0" fontId="54" fillId="0" borderId="16" xfId="0" applyNumberFormat="1" applyFont="1" applyFill="1" applyBorder="1" applyAlignment="1"/>
    <xf numFmtId="0" fontId="54" fillId="0" borderId="5" xfId="0" applyNumberFormat="1" applyFont="1" applyFill="1" applyBorder="1" applyAlignment="1">
      <alignment horizontal="centerContinuous"/>
    </xf>
    <xf numFmtId="0" fontId="54" fillId="0" borderId="5" xfId="0" applyNumberFormat="1" applyFont="1" applyFill="1" applyBorder="1" applyAlignment="1">
      <alignment horizontal="center"/>
    </xf>
    <xf numFmtId="0" fontId="54" fillId="0" borderId="5" xfId="0" applyNumberFormat="1" applyFont="1" applyFill="1" applyBorder="1" applyAlignment="1">
      <alignment horizontal="center"/>
    </xf>
    <xf numFmtId="0" fontId="54" fillId="0" borderId="5" xfId="0" quotePrefix="1" applyNumberFormat="1" applyFont="1" applyFill="1" applyBorder="1" applyAlignment="1">
      <alignment horizontal="center"/>
    </xf>
    <xf numFmtId="0" fontId="54" fillId="0" borderId="17" xfId="0" applyNumberFormat="1" applyFont="1" applyFill="1" applyBorder="1" applyAlignment="1">
      <alignment horizontal="center"/>
    </xf>
    <xf numFmtId="0" fontId="54" fillId="0" borderId="10" xfId="0" applyNumberFormat="1" applyFont="1" applyFill="1" applyBorder="1" applyAlignment="1"/>
    <xf numFmtId="0" fontId="54" fillId="0" borderId="0" xfId="0" applyNumberFormat="1" applyFont="1" applyFill="1" applyBorder="1" applyAlignment="1">
      <alignment horizontal="right"/>
    </xf>
    <xf numFmtId="0" fontId="54" fillId="0" borderId="0" xfId="0" applyNumberFormat="1" applyFont="1" applyFill="1" applyBorder="1" applyAlignment="1"/>
    <xf numFmtId="6" fontId="54" fillId="0" borderId="0" xfId="0" applyNumberFormat="1" applyFont="1" applyFill="1" applyBorder="1" applyAlignment="1"/>
    <xf numFmtId="6" fontId="54" fillId="0" borderId="0" xfId="0" applyNumberFormat="1" applyFont="1" applyFill="1" applyBorder="1" applyAlignment="1">
      <alignment horizontal="center"/>
    </xf>
    <xf numFmtId="5" fontId="54" fillId="0" borderId="0" xfId="0" applyNumberFormat="1" applyFont="1" applyFill="1" applyBorder="1" applyAlignment="1"/>
    <xf numFmtId="5" fontId="54" fillId="0" borderId="14" xfId="0" applyNumberFormat="1" applyFont="1" applyFill="1" applyBorder="1" applyAlignment="1"/>
    <xf numFmtId="0" fontId="54" fillId="0" borderId="15" xfId="0" applyNumberFormat="1" applyFont="1" applyBorder="1" applyAlignment="1"/>
    <xf numFmtId="17" fontId="54" fillId="0" borderId="0" xfId="0" applyNumberFormat="1" applyFont="1" applyFill="1" applyBorder="1" applyAlignment="1"/>
    <xf numFmtId="38" fontId="54" fillId="0" borderId="0" xfId="0" applyNumberFormat="1" applyFont="1" applyFill="1" applyBorder="1" applyAlignment="1"/>
    <xf numFmtId="41" fontId="54" fillId="0" borderId="0" xfId="0" applyNumberFormat="1" applyFont="1" applyFill="1" applyBorder="1" applyAlignment="1"/>
    <xf numFmtId="165" fontId="54" fillId="0" borderId="0" xfId="0" applyNumberFormat="1" applyFont="1" applyFill="1" applyBorder="1" applyAlignment="1"/>
    <xf numFmtId="165" fontId="54" fillId="0" borderId="15" xfId="0" applyNumberFormat="1" applyFont="1" applyBorder="1" applyAlignment="1"/>
    <xf numFmtId="165" fontId="54" fillId="0" borderId="14" xfId="0" applyNumberFormat="1" applyFont="1" applyFill="1" applyBorder="1" applyAlignment="1"/>
    <xf numFmtId="14" fontId="54" fillId="0" borderId="0" xfId="0" applyNumberFormat="1" applyFont="1" applyFill="1" applyBorder="1" applyAlignment="1"/>
    <xf numFmtId="41" fontId="54" fillId="0" borderId="0" xfId="0" applyNumberFormat="1" applyFont="1" applyFill="1" applyBorder="1" applyAlignment="1"/>
    <xf numFmtId="0" fontId="54" fillId="0" borderId="13" xfId="0" applyNumberFormat="1" applyFont="1" applyBorder="1" applyAlignment="1"/>
    <xf numFmtId="0" fontId="54" fillId="0" borderId="0" xfId="0" applyNumberFormat="1" applyFont="1" applyBorder="1" applyAlignment="1"/>
    <xf numFmtId="0" fontId="54" fillId="0" borderId="16" xfId="0" applyNumberFormat="1" applyFont="1" applyBorder="1" applyAlignment="1"/>
    <xf numFmtId="0" fontId="54" fillId="0" borderId="5" xfId="0" applyNumberFormat="1" applyFont="1" applyBorder="1" applyAlignment="1"/>
    <xf numFmtId="0" fontId="54" fillId="0" borderId="17" xfId="0" applyNumberFormat="1" applyFont="1" applyBorder="1" applyAlignment="1"/>
    <xf numFmtId="0" fontId="54" fillId="0" borderId="10" xfId="0" applyNumberFormat="1" applyFont="1" applyBorder="1" applyAlignment="1"/>
    <xf numFmtId="0" fontId="54" fillId="0" borderId="0" xfId="0" applyNumberFormat="1" applyFont="1" applyAlignment="1"/>
    <xf numFmtId="9" fontId="31" fillId="0" borderId="0" xfId="0" applyNumberFormat="1" applyFont="1" applyFill="1" applyAlignment="1"/>
    <xf numFmtId="0" fontId="0" fillId="0" borderId="13" xfId="0" applyNumberFormat="1" applyBorder="1" applyAlignment="1"/>
    <xf numFmtId="0" fontId="0" fillId="0" borderId="16" xfId="0" applyNumberFormat="1" applyBorder="1" applyAlignment="1"/>
    <xf numFmtId="0" fontId="0" fillId="0" borderId="5" xfId="0" applyNumberFormat="1" applyBorder="1" applyAlignment="1"/>
    <xf numFmtId="0" fontId="0" fillId="0" borderId="17" xfId="0" applyNumberFormat="1" applyBorder="1" applyAlignment="1"/>
    <xf numFmtId="165" fontId="1" fillId="0" borderId="10" xfId="0" applyNumberFormat="1" applyFont="1" applyBorder="1" applyAlignment="1"/>
    <xf numFmtId="0" fontId="49" fillId="0" borderId="5" xfId="0" applyNumberFormat="1" applyFont="1" applyFill="1" applyBorder="1" applyAlignment="1">
      <alignment horizontal="center"/>
    </xf>
    <xf numFmtId="0" fontId="54" fillId="0" borderId="10" xfId="0" applyNumberFormat="1" applyFont="1" applyFill="1" applyBorder="1" applyAlignment="1">
      <alignment horizontal="center"/>
    </xf>
    <xf numFmtId="0" fontId="54" fillId="0" borderId="9" xfId="0" applyNumberFormat="1" applyFont="1" applyBorder="1" applyAlignment="1"/>
    <xf numFmtId="165" fontId="54" fillId="0" borderId="0" xfId="0" applyNumberFormat="1" applyFont="1" applyFill="1" applyBorder="1" applyAlignment="1"/>
    <xf numFmtId="0" fontId="54" fillId="0" borderId="15" xfId="0" applyNumberFormat="1" applyFont="1" applyBorder="1" applyAlignment="1"/>
    <xf numFmtId="165" fontId="51" fillId="0" borderId="0" xfId="0" applyNumberFormat="1" applyFont="1" applyFill="1" applyBorder="1" applyAlignment="1"/>
    <xf numFmtId="165" fontId="54" fillId="0" borderId="15" xfId="0" applyNumberFormat="1" applyFont="1" applyFill="1" applyBorder="1" applyAlignment="1"/>
    <xf numFmtId="41" fontId="54" fillId="0" borderId="0" xfId="0" applyNumberFormat="1" applyFont="1" applyFill="1" applyBorder="1" applyAlignment="1"/>
    <xf numFmtId="1" fontId="5" fillId="0" borderId="0" xfId="0" applyNumberFormat="1" applyFont="1" applyAlignment="1">
      <alignment horizontal="right" wrapText="1" indent="1"/>
    </xf>
    <xf numFmtId="164" fontId="1" fillId="0" borderId="46" xfId="0" applyFont="1" applyBorder="1">
      <alignment horizontal="left" wrapText="1"/>
    </xf>
    <xf numFmtId="9" fontId="0" fillId="0" borderId="0" xfId="0" applyNumberFormat="1" applyFont="1" applyFill="1" applyAlignment="1"/>
    <xf numFmtId="0" fontId="1" fillId="0" borderId="11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/>
    <xf numFmtId="0" fontId="1" fillId="0" borderId="14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/>
    <xf numFmtId="0" fontId="1" fillId="0" borderId="17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38" fontId="1" fillId="0" borderId="0" xfId="0" applyNumberFormat="1" applyFont="1" applyFill="1" applyBorder="1" applyAlignment="1"/>
    <xf numFmtId="38" fontId="1" fillId="0" borderId="0" xfId="0" applyNumberFormat="1" applyFont="1" applyFill="1" applyBorder="1" applyAlignment="1"/>
    <xf numFmtId="165" fontId="1" fillId="0" borderId="14" xfId="0" applyNumberFormat="1" applyFont="1" applyFill="1" applyBorder="1" applyAlignment="1"/>
    <xf numFmtId="14" fontId="1" fillId="0" borderId="0" xfId="0" applyNumberFormat="1" applyFont="1" applyFill="1" applyBorder="1" applyAlignment="1"/>
    <xf numFmtId="0" fontId="1" fillId="0" borderId="13" xfId="0" applyNumberFormat="1" applyFont="1" applyFill="1" applyBorder="1" applyAlignment="1"/>
    <xf numFmtId="17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center"/>
    </xf>
    <xf numFmtId="17" fontId="1" fillId="3" borderId="0" xfId="0" applyNumberFormat="1" applyFont="1" applyFill="1" applyBorder="1" applyAlignment="1"/>
    <xf numFmtId="4" fontId="1" fillId="0" borderId="5" xfId="0" applyNumberFormat="1" applyFont="1" applyFill="1" applyBorder="1" applyAlignment="1">
      <alignment horizontal="center"/>
    </xf>
    <xf numFmtId="6" fontId="1" fillId="0" borderId="5" xfId="0" applyNumberFormat="1" applyFont="1" applyFill="1" applyBorder="1" applyAlignment="1"/>
    <xf numFmtId="165" fontId="1" fillId="0" borderId="5" xfId="0" applyNumberFormat="1" applyFont="1" applyFill="1" applyBorder="1" applyAlignment="1"/>
    <xf numFmtId="165" fontId="1" fillId="0" borderId="5" xfId="0" applyNumberFormat="1" applyFont="1" applyFill="1" applyBorder="1" applyAlignment="1"/>
    <xf numFmtId="5" fontId="1" fillId="0" borderId="5" xfId="0" applyNumberFormat="1" applyFont="1" applyFill="1" applyBorder="1" applyAlignment="1"/>
    <xf numFmtId="0" fontId="1" fillId="0" borderId="17" xfId="0" applyNumberFormat="1" applyFont="1" applyFill="1" applyBorder="1" applyAlignment="1"/>
    <xf numFmtId="9" fontId="1" fillId="0" borderId="0" xfId="0" applyNumberFormat="1" applyFont="1" applyFill="1" applyBorder="1" applyAlignment="1"/>
    <xf numFmtId="165" fontId="19" fillId="0" borderId="47" xfId="0" applyNumberFormat="1" applyFont="1" applyFill="1" applyBorder="1" applyAlignment="1"/>
    <xf numFmtId="0" fontId="38" fillId="0" borderId="7" xfId="0" applyNumberFormat="1" applyFont="1" applyFill="1" applyBorder="1" applyAlignment="1">
      <alignment horizontal="left"/>
    </xf>
    <xf numFmtId="14" fontId="54" fillId="0" borderId="15" xfId="0" applyNumberFormat="1" applyFont="1" applyFill="1" applyBorder="1" applyAlignment="1"/>
    <xf numFmtId="43" fontId="54" fillId="0" borderId="0" xfId="0" applyNumberFormat="1" applyFont="1" applyFill="1" applyBorder="1" applyAlignment="1"/>
    <xf numFmtId="165" fontId="19" fillId="0" borderId="13" xfId="0" applyNumberFormat="1" applyFont="1" applyFill="1" applyBorder="1" applyAlignment="1"/>
    <xf numFmtId="165" fontId="19" fillId="0" borderId="14" xfId="0" applyNumberFormat="1" applyFont="1" applyFill="1" applyBorder="1" applyAlignment="1"/>
    <xf numFmtId="165" fontId="54" fillId="0" borderId="13" xfId="0" applyNumberFormat="1" applyFont="1" applyFill="1" applyBorder="1" applyAlignment="1"/>
    <xf numFmtId="165" fontId="54" fillId="0" borderId="0" xfId="0" applyNumberFormat="1" applyFont="1" applyFill="1" applyBorder="1" applyAlignment="1"/>
    <xf numFmtId="165" fontId="54" fillId="0" borderId="14" xfId="0" applyNumberFormat="1" applyFont="1" applyFill="1" applyBorder="1" applyAlignment="1"/>
    <xf numFmtId="165" fontId="51" fillId="0" borderId="14" xfId="0" applyNumberFormat="1" applyFont="1" applyFill="1" applyBorder="1" applyAlignment="1"/>
    <xf numFmtId="165" fontId="28" fillId="0" borderId="15" xfId="0" applyNumberFormat="1" applyFont="1" applyFill="1" applyBorder="1" applyAlignment="1"/>
    <xf numFmtId="14" fontId="54" fillId="0" borderId="47" xfId="0" applyNumberFormat="1" applyFont="1" applyFill="1" applyBorder="1" applyAlignment="1"/>
    <xf numFmtId="43" fontId="54" fillId="0" borderId="34" xfId="0" applyNumberFormat="1" applyFont="1" applyFill="1" applyBorder="1" applyAlignment="1"/>
    <xf numFmtId="165" fontId="19" fillId="0" borderId="48" xfId="0" applyNumberFormat="1" applyFont="1" applyFill="1" applyBorder="1" applyAlignment="1"/>
    <xf numFmtId="165" fontId="19" fillId="0" borderId="49" xfId="0" applyNumberFormat="1" applyFont="1" applyFill="1" applyBorder="1" applyAlignment="1"/>
    <xf numFmtId="165" fontId="54" fillId="0" borderId="48" xfId="0" applyNumberFormat="1" applyFont="1" applyFill="1" applyBorder="1" applyAlignment="1"/>
    <xf numFmtId="165" fontId="54" fillId="0" borderId="34" xfId="0" applyNumberFormat="1" applyFont="1" applyFill="1" applyBorder="1" applyAlignment="1"/>
    <xf numFmtId="165" fontId="54" fillId="0" borderId="49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/>
    <xf numFmtId="0" fontId="1" fillId="0" borderId="5" xfId="0" quotePrefix="1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/>
    <xf numFmtId="41" fontId="1" fillId="0" borderId="0" xfId="0" applyNumberFormat="1" applyFont="1" applyFill="1" applyBorder="1" applyAlignment="1"/>
    <xf numFmtId="41" fontId="1" fillId="0" borderId="14" xfId="0" applyNumberFormat="1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/>
    <xf numFmtId="17" fontId="1" fillId="0" borderId="42" xfId="0" quotePrefix="1" applyNumberFormat="1" applyFont="1" applyFill="1" applyBorder="1" applyAlignment="1">
      <alignment horizontal="left"/>
    </xf>
    <xf numFmtId="41" fontId="2" fillId="0" borderId="5" xfId="0" applyNumberFormat="1" applyFont="1" applyFill="1" applyBorder="1" applyAlignment="1"/>
    <xf numFmtId="41" fontId="1" fillId="0" borderId="5" xfId="0" applyNumberFormat="1" applyFont="1" applyFill="1" applyBorder="1" applyAlignment="1"/>
    <xf numFmtId="41" fontId="1" fillId="0" borderId="5" xfId="0" applyNumberFormat="1" applyFont="1" applyFill="1" applyBorder="1" applyAlignment="1"/>
    <xf numFmtId="41" fontId="1" fillId="0" borderId="5" xfId="0" applyNumberFormat="1" applyFont="1" applyFill="1" applyBorder="1" applyAlignment="1"/>
    <xf numFmtId="41" fontId="1" fillId="0" borderId="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17" xfId="0" applyNumberFormat="1" applyFont="1" applyFill="1" applyBorder="1" applyAlignment="1"/>
    <xf numFmtId="41" fontId="2" fillId="0" borderId="14" xfId="0" applyNumberFormat="1" applyFont="1" applyFill="1" applyBorder="1" applyAlignment="1"/>
    <xf numFmtId="41" fontId="2" fillId="0" borderId="0" xfId="0" applyNumberFormat="1" applyFont="1" applyFill="1" applyBorder="1" applyAlignment="1"/>
    <xf numFmtId="41" fontId="2" fillId="0" borderId="14" xfId="0" applyNumberFormat="1" applyFont="1" applyFill="1" applyBorder="1" applyAlignment="1"/>
    <xf numFmtId="0" fontId="2" fillId="0" borderId="0" xfId="0" applyNumberFormat="1" applyFont="1" applyFill="1" applyAlignment="1"/>
    <xf numFmtId="41" fontId="2" fillId="0" borderId="0" xfId="0" applyNumberFormat="1" applyFont="1" applyFill="1" applyAlignment="1"/>
    <xf numFmtId="41" fontId="1" fillId="0" borderId="5" xfId="0" applyNumberFormat="1" applyFont="1" applyFill="1" applyBorder="1" applyAlignment="1"/>
    <xf numFmtId="41" fontId="1" fillId="0" borderId="17" xfId="0" applyNumberFormat="1" applyFont="1" applyFill="1" applyBorder="1" applyAlignment="1"/>
    <xf numFmtId="9" fontId="2" fillId="0" borderId="0" xfId="0" applyNumberFormat="1" applyFont="1" applyFill="1" applyAlignment="1"/>
    <xf numFmtId="17" fontId="1" fillId="0" borderId="0" xfId="0" quotePrefix="1" applyNumberFormat="1" applyFont="1" applyFill="1" applyBorder="1" applyAlignment="1">
      <alignment horizontal="left"/>
    </xf>
    <xf numFmtId="41" fontId="1" fillId="0" borderId="0" xfId="0" applyNumberFormat="1" applyFont="1" applyFill="1" applyBorder="1" applyAlignment="1"/>
    <xf numFmtId="0" fontId="2" fillId="0" borderId="0" xfId="0" applyNumberFormat="1" applyFont="1" applyFill="1" applyAlignment="1"/>
    <xf numFmtId="0" fontId="2" fillId="0" borderId="0" xfId="0" applyNumberFormat="1" applyFont="1" applyAlignment="1"/>
    <xf numFmtId="0" fontId="56" fillId="0" borderId="0" xfId="0" applyNumberFormat="1" applyFont="1" applyFill="1" applyAlignment="1">
      <alignment horizontal="centerContinuous"/>
    </xf>
    <xf numFmtId="0" fontId="44" fillId="0" borderId="0" xfId="0" applyNumberFormat="1" applyFont="1" applyFill="1" applyAlignment="1">
      <alignment horizontal="center"/>
    </xf>
    <xf numFmtId="0" fontId="1" fillId="0" borderId="5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6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0" fontId="2" fillId="0" borderId="0" xfId="0" applyNumberFormat="1" applyFont="1" applyFill="1" applyAlignment="1"/>
    <xf numFmtId="41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Alignment="1">
      <alignment horizontal="center"/>
    </xf>
    <xf numFmtId="41" fontId="1" fillId="0" borderId="0" xfId="0" applyNumberFormat="1" applyFont="1" applyFill="1" applyBorder="1" applyAlignment="1"/>
    <xf numFmtId="41" fontId="1" fillId="0" borderId="0" xfId="0" applyNumberFormat="1" applyFont="1" applyFill="1" applyAlignment="1"/>
    <xf numFmtId="41" fontId="1" fillId="0" borderId="0" xfId="0" applyNumberFormat="1" applyFont="1" applyFill="1" applyBorder="1" applyAlignment="1"/>
    <xf numFmtId="166" fontId="20" fillId="5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horizontal="center"/>
    </xf>
    <xf numFmtId="0" fontId="1" fillId="0" borderId="0" xfId="0" quotePrefix="1" applyNumberFormat="1" applyFont="1" applyFill="1" applyBorder="1" applyAlignment="1">
      <alignment horizontal="center"/>
    </xf>
    <xf numFmtId="43" fontId="1" fillId="0" borderId="0" xfId="0" applyNumberFormat="1" applyFont="1" applyFill="1" applyBorder="1" applyAlignment="1"/>
    <xf numFmtId="165" fontId="1" fillId="0" borderId="0" xfId="0" applyNumberFormat="1" applyFont="1" applyFill="1" applyAlignment="1">
      <alignment horizontal="center"/>
    </xf>
    <xf numFmtId="41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166" fontId="43" fillId="5" borderId="0" xfId="0" applyNumberFormat="1" applyFont="1" applyFill="1" applyBorder="1" applyAlignment="1"/>
    <xf numFmtId="166" fontId="28" fillId="0" borderId="0" xfId="0" applyNumberFormat="1" applyFont="1" applyFill="1" applyBorder="1" applyAlignment="1"/>
    <xf numFmtId="166" fontId="12" fillId="0" borderId="0" xfId="0" applyNumberFormat="1" applyFont="1" applyFill="1" applyBorder="1" applyAlignment="1">
      <alignment horizontal="center"/>
    </xf>
    <xf numFmtId="166" fontId="43" fillId="0" borderId="0" xfId="0" applyNumberFormat="1" applyFont="1" applyBorder="1" applyAlignment="1"/>
    <xf numFmtId="165" fontId="58" fillId="0" borderId="0" xfId="0" applyNumberFormat="1" applyFont="1" applyFill="1" applyBorder="1" applyAlignment="1"/>
    <xf numFmtId="165" fontId="58" fillId="0" borderId="14" xfId="0" applyNumberFormat="1" applyFont="1" applyFill="1" applyBorder="1" applyAlignment="1"/>
    <xf numFmtId="165" fontId="58" fillId="0" borderId="15" xfId="0" applyNumberFormat="1" applyFont="1" applyBorder="1" applyAlignment="1"/>
    <xf numFmtId="41" fontId="58" fillId="0" borderId="0" xfId="0" applyNumberFormat="1" applyFont="1" applyFill="1" applyBorder="1" applyAlignment="1"/>
    <xf numFmtId="0" fontId="53" fillId="0" borderId="0" xfId="0" applyNumberFormat="1" applyFont="1" applyBorder="1" applyAlignment="1"/>
    <xf numFmtId="0" fontId="53" fillId="0" borderId="5" xfId="0" applyNumberFormat="1" applyFont="1" applyBorder="1" applyAlignment="1"/>
    <xf numFmtId="0" fontId="53" fillId="0" borderId="0" xfId="0" applyNumberFormat="1" applyFont="1" applyAlignment="1"/>
    <xf numFmtId="165" fontId="58" fillId="0" borderId="15" xfId="0" applyNumberFormat="1" applyFont="1" applyFill="1" applyBorder="1" applyAlignment="1"/>
    <xf numFmtId="0" fontId="0" fillId="0" borderId="13" xfId="0" applyNumberFormat="1" applyFill="1" applyBorder="1" applyAlignment="1"/>
    <xf numFmtId="164" fontId="59" fillId="0" borderId="0" xfId="0" applyFont="1" applyFill="1">
      <alignment horizontal="left" wrapText="1"/>
    </xf>
    <xf numFmtId="164" fontId="47" fillId="0" borderId="0" xfId="0" applyFont="1" applyFill="1">
      <alignment horizontal="left" wrapText="1"/>
    </xf>
    <xf numFmtId="164" fontId="59" fillId="0" borderId="0" xfId="0" applyFont="1" applyFill="1" applyAlignment="1">
      <alignment horizontal="right"/>
    </xf>
    <xf numFmtId="164" fontId="59" fillId="0" borderId="0" xfId="0" applyFont="1" applyFill="1" applyAlignment="1" applyProtection="1">
      <alignment horizontal="centerContinuous"/>
      <protection locked="0"/>
    </xf>
    <xf numFmtId="164" fontId="59" fillId="0" borderId="0" xfId="0" applyFont="1" applyFill="1" applyAlignment="1">
      <alignment horizontal="centerContinuous"/>
    </xf>
    <xf numFmtId="15" fontId="59" fillId="0" borderId="0" xfId="0" applyNumberFormat="1" applyFont="1" applyFill="1" applyAlignment="1">
      <alignment horizontal="centerContinuous"/>
    </xf>
    <xf numFmtId="164" fontId="59" fillId="0" borderId="0" xfId="0" applyFont="1" applyFill="1" applyAlignment="1" applyProtection="1">
      <alignment horizontal="centerContinuous" vertical="center"/>
      <protection locked="0"/>
    </xf>
    <xf numFmtId="18" fontId="59" fillId="0" borderId="0" xfId="0" applyNumberFormat="1" applyFont="1" applyFill="1" applyAlignment="1">
      <alignment horizontal="centerContinuous"/>
    </xf>
    <xf numFmtId="164" fontId="59" fillId="0" borderId="0" xfId="0" applyFont="1" applyFill="1" applyAlignment="1" applyProtection="1">
      <alignment horizontal="center"/>
      <protection locked="0"/>
    </xf>
    <xf numFmtId="164" fontId="59" fillId="0" borderId="5" xfId="0" applyFont="1" applyFill="1" applyBorder="1" applyAlignment="1">
      <alignment horizontal="center"/>
    </xf>
    <xf numFmtId="164" fontId="59" fillId="0" borderId="5" xfId="0" applyFont="1" applyFill="1" applyBorder="1">
      <alignment horizontal="left" wrapText="1"/>
    </xf>
    <xf numFmtId="0" fontId="47" fillId="0" borderId="0" xfId="0" applyNumberFormat="1" applyFont="1" applyFill="1" applyAlignment="1">
      <alignment horizontal="center"/>
    </xf>
    <xf numFmtId="164" fontId="60" fillId="0" borderId="0" xfId="0" applyFont="1" applyFill="1" applyAlignment="1">
      <alignment horizontal="left"/>
    </xf>
    <xf numFmtId="166" fontId="47" fillId="0" borderId="0" xfId="0" applyNumberFormat="1" applyFont="1" applyFill="1" applyBorder="1" applyAlignment="1"/>
    <xf numFmtId="164" fontId="47" fillId="0" borderId="0" xfId="0" applyFont="1" applyFill="1" applyAlignment="1">
      <alignment horizontal="left"/>
    </xf>
    <xf numFmtId="165" fontId="47" fillId="0" borderId="0" xfId="0" applyNumberFormat="1" applyFont="1" applyFill="1" applyBorder="1" applyAlignment="1"/>
    <xf numFmtId="3" fontId="0" fillId="0" borderId="0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12" xfId="0" applyNumberFormat="1" applyFont="1" applyFill="1" applyBorder="1" applyAlignment="1"/>
    <xf numFmtId="0" fontId="1" fillId="0" borderId="0" xfId="0" applyNumberFormat="1" applyFont="1" applyFill="1" applyAlignment="1"/>
    <xf numFmtId="49" fontId="5" fillId="0" borderId="50" xfId="0" applyNumberFormat="1" applyFont="1" applyFill="1" applyBorder="1" applyAlignment="1">
      <alignment horizontal="centerContinuous" vertical="center"/>
    </xf>
    <xf numFmtId="17" fontId="5" fillId="0" borderId="50" xfId="0" applyNumberFormat="1" applyFont="1" applyFill="1" applyBorder="1" applyAlignment="1">
      <alignment horizontal="centerContinuous" vertical="center"/>
    </xf>
    <xf numFmtId="49" fontId="5" fillId="0" borderId="50" xfId="0" applyNumberFormat="1" applyFont="1" applyFill="1" applyBorder="1" applyAlignment="1">
      <alignment horizontal="center" wrapText="1"/>
    </xf>
    <xf numFmtId="49" fontId="5" fillId="0" borderId="18" xfId="0" applyNumberFormat="1" applyFont="1" applyFill="1" applyBorder="1" applyAlignment="1"/>
    <xf numFmtId="0" fontId="5" fillId="0" borderId="37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32" xfId="0" quotePrefix="1" applyNumberFormat="1" applyFont="1" applyFill="1" applyBorder="1" applyAlignment="1">
      <alignment horizontal="center"/>
    </xf>
    <xf numFmtId="49" fontId="5" fillId="0" borderId="22" xfId="0" applyNumberFormat="1" applyFont="1" applyFill="1" applyBorder="1" applyAlignment="1">
      <alignment horizontal="center" wrapText="1"/>
    </xf>
    <xf numFmtId="49" fontId="1" fillId="0" borderId="18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/>
    <xf numFmtId="49" fontId="1" fillId="0" borderId="22" xfId="0" applyNumberFormat="1" applyFont="1" applyFill="1" applyBorder="1" applyAlignment="1">
      <alignment horizontal="center"/>
    </xf>
    <xf numFmtId="165" fontId="5" fillId="0" borderId="51" xfId="0" applyNumberFormat="1" applyFont="1" applyFill="1" applyBorder="1" applyAlignment="1"/>
    <xf numFmtId="164" fontId="1" fillId="0" borderId="0" xfId="0" applyFont="1" applyFill="1" applyAlignment="1"/>
    <xf numFmtId="165" fontId="5" fillId="0" borderId="32" xfId="0" applyNumberFormat="1" applyFont="1" applyFill="1" applyBorder="1" applyAlignment="1"/>
    <xf numFmtId="0" fontId="1" fillId="0" borderId="18" xfId="0" applyNumberFormat="1" applyFont="1" applyFill="1" applyBorder="1" applyAlignment="1"/>
    <xf numFmtId="0" fontId="1" fillId="0" borderId="22" xfId="0" applyNumberFormat="1" applyFont="1" applyFill="1" applyBorder="1" applyAlignment="1">
      <alignment horizontal="center"/>
    </xf>
    <xf numFmtId="165" fontId="1" fillId="0" borderId="32" xfId="0" applyNumberFormat="1" applyFont="1" applyFill="1" applyBorder="1" applyAlignment="1"/>
    <xf numFmtId="165" fontId="5" fillId="0" borderId="32" xfId="0" applyNumberFormat="1" applyFont="1" applyFill="1" applyBorder="1" applyAlignment="1"/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 applyAlignment="1" applyProtection="1">
      <alignment horizontal="left"/>
      <protection locked="0"/>
    </xf>
    <xf numFmtId="0" fontId="5" fillId="0" borderId="37" xfId="0" applyNumberFormat="1" applyFont="1" applyFill="1" applyBorder="1" applyAlignment="1"/>
    <xf numFmtId="0" fontId="1" fillId="0" borderId="22" xfId="0" applyNumberFormat="1" applyFont="1" applyFill="1" applyBorder="1" applyAlignment="1"/>
    <xf numFmtId="49" fontId="1" fillId="0" borderId="0" xfId="0" applyNumberFormat="1" applyFont="1" applyFill="1" applyAlignment="1">
      <alignment horizontal="left"/>
    </xf>
    <xf numFmtId="0" fontId="1" fillId="0" borderId="35" xfId="0" applyNumberFormat="1" applyFont="1" applyFill="1" applyBorder="1" applyAlignment="1"/>
    <xf numFmtId="0" fontId="5" fillId="0" borderId="52" xfId="0" applyNumberFormat="1" applyFont="1" applyFill="1" applyBorder="1" applyAlignment="1">
      <alignment horizontal="center"/>
    </xf>
    <xf numFmtId="165" fontId="1" fillId="0" borderId="53" xfId="0" applyNumberFormat="1" applyFont="1" applyFill="1" applyBorder="1" applyAlignment="1"/>
    <xf numFmtId="0" fontId="1" fillId="0" borderId="36" xfId="0" applyNumberFormat="1" applyFont="1" applyFill="1" applyBorder="1" applyAlignment="1"/>
    <xf numFmtId="0" fontId="1" fillId="0" borderId="0" xfId="0" applyNumberFormat="1" applyFont="1" applyFill="1" applyAlignment="1">
      <alignment horizontal="left"/>
    </xf>
    <xf numFmtId="4" fontId="5" fillId="0" borderId="45" xfId="0" applyNumberFormat="1" applyFont="1" applyFill="1" applyBorder="1" applyAlignment="1"/>
    <xf numFmtId="165" fontId="5" fillId="0" borderId="44" xfId="0" applyNumberFormat="1" applyFont="1" applyFill="1" applyBorder="1" applyAlignment="1"/>
    <xf numFmtId="0" fontId="57" fillId="0" borderId="0" xfId="0" applyNumberFormat="1" applyFont="1" applyFill="1" applyAlignment="1"/>
    <xf numFmtId="165" fontId="55" fillId="0" borderId="0" xfId="0" applyNumberFormat="1" applyFont="1" applyFill="1" applyAlignment="1"/>
    <xf numFmtId="165" fontId="55" fillId="0" borderId="19" xfId="0" applyNumberFormat="1" applyFont="1" applyFill="1" applyBorder="1" applyAlignment="1"/>
    <xf numFmtId="165" fontId="61" fillId="0" borderId="0" xfId="0" applyNumberFormat="1" applyFont="1" applyFill="1" applyBorder="1" applyAlignment="1"/>
    <xf numFmtId="41" fontId="2" fillId="0" borderId="0" xfId="0" applyNumberFormat="1" applyFont="1" applyFill="1" applyAlignment="1"/>
    <xf numFmtId="173" fontId="5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61" fillId="0" borderId="0" xfId="0" applyNumberFormat="1" applyFont="1" applyFill="1" applyAlignment="1">
      <alignment horizontal="center"/>
    </xf>
    <xf numFmtId="0" fontId="61" fillId="0" borderId="0" xfId="0" applyNumberFormat="1" applyFont="1" applyFill="1" applyAlignment="1">
      <alignment horizontal="left"/>
    </xf>
    <xf numFmtId="0" fontId="61" fillId="0" borderId="0" xfId="0" applyNumberFormat="1" applyFont="1" applyFill="1" applyAlignment="1"/>
    <xf numFmtId="0" fontId="61" fillId="0" borderId="0" xfId="0" quotePrefix="1" applyNumberFormat="1" applyFont="1" applyFill="1" applyAlignment="1"/>
    <xf numFmtId="0" fontId="61" fillId="0" borderId="0" xfId="0" quotePrefix="1" applyNumberFormat="1" applyFont="1" applyFill="1" applyAlignment="1">
      <alignment horizontal="left"/>
    </xf>
    <xf numFmtId="0" fontId="61" fillId="0" borderId="0" xfId="0" applyNumberFormat="1" applyFont="1" applyFill="1" applyAlignment="1">
      <alignment horizontal="centerContinuous"/>
    </xf>
    <xf numFmtId="165" fontId="1" fillId="0" borderId="54" xfId="0" applyNumberFormat="1" applyFont="1" applyFill="1" applyBorder="1" applyAlignment="1"/>
    <xf numFmtId="165" fontId="5" fillId="0" borderId="55" xfId="0" applyNumberFormat="1" applyFont="1" applyFill="1" applyBorder="1" applyAlignment="1"/>
    <xf numFmtId="165" fontId="5" fillId="0" borderId="54" xfId="0" quotePrefix="1" applyNumberFormat="1" applyFont="1" applyFill="1" applyBorder="1" applyAlignment="1">
      <alignment horizontal="center"/>
    </xf>
    <xf numFmtId="165" fontId="5" fillId="0" borderId="54" xfId="0" applyNumberFormat="1" applyFont="1" applyFill="1" applyBorder="1" applyAlignment="1"/>
    <xf numFmtId="165" fontId="1" fillId="0" borderId="56" xfId="0" applyNumberFormat="1" applyFont="1" applyFill="1" applyBorder="1" applyAlignment="1"/>
    <xf numFmtId="165" fontId="0" fillId="0" borderId="0" xfId="0" applyNumberFormat="1" applyAlignment="1"/>
    <xf numFmtId="0" fontId="52" fillId="0" borderId="5" xfId="0" applyNumberFormat="1" applyFont="1" applyFill="1" applyBorder="1" applyAlignment="1">
      <alignment horizontal="center"/>
    </xf>
    <xf numFmtId="0" fontId="57" fillId="0" borderId="5" xfId="0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>
      <alignment horizontal="center" wrapText="1"/>
    </xf>
    <xf numFmtId="0" fontId="45" fillId="0" borderId="0" xfId="0" applyNumberFormat="1" applyFont="1" applyFill="1" applyBorder="1" applyAlignment="1">
      <alignment horizontal="center" wrapText="1"/>
    </xf>
    <xf numFmtId="0" fontId="45" fillId="0" borderId="5" xfId="0" applyNumberFormat="1" applyFont="1" applyFill="1" applyBorder="1" applyAlignment="1">
      <alignment horizontal="center"/>
    </xf>
    <xf numFmtId="165" fontId="43" fillId="0" borderId="27" xfId="0" applyNumberFormat="1" applyFont="1" applyFill="1" applyBorder="1" applyAlignment="1"/>
    <xf numFmtId="0" fontId="48" fillId="0" borderId="9" xfId="0" applyNumberFormat="1" applyFont="1" applyFill="1" applyBorder="1" applyAlignment="1">
      <alignment horizontal="center"/>
    </xf>
    <xf numFmtId="0" fontId="48" fillId="0" borderId="10" xfId="0" applyNumberFormat="1" applyFont="1" applyFill="1" applyBorder="1" applyAlignment="1">
      <alignment horizontal="center"/>
    </xf>
    <xf numFmtId="0" fontId="48" fillId="0" borderId="7" xfId="0" applyNumberFormat="1" applyFont="1" applyFill="1" applyBorder="1" applyAlignment="1">
      <alignment horizontal="centerContinuous"/>
    </xf>
    <xf numFmtId="0" fontId="63" fillId="0" borderId="8" xfId="0" applyNumberFormat="1" applyFont="1" applyFill="1" applyBorder="1" applyAlignment="1">
      <alignment horizontal="centerContinuous"/>
    </xf>
    <xf numFmtId="0" fontId="45" fillId="0" borderId="0" xfId="0" applyNumberFormat="1" applyFont="1" applyFill="1" applyAlignment="1"/>
    <xf numFmtId="0" fontId="45" fillId="0" borderId="0" xfId="0" applyNumberFormat="1" applyFont="1" applyFill="1" applyAlignment="1">
      <alignment horizontal="centerContinuous"/>
    </xf>
    <xf numFmtId="14" fontId="45" fillId="0" borderId="0" xfId="0" applyNumberFormat="1" applyFont="1" applyFill="1" applyAlignment="1">
      <alignment horizontal="centerContinuous"/>
    </xf>
    <xf numFmtId="0" fontId="45" fillId="0" borderId="0" xfId="0" applyNumberFormat="1" applyFont="1" applyFill="1" applyAlignment="1">
      <alignment horizontal="center"/>
    </xf>
    <xf numFmtId="0" fontId="55" fillId="0" borderId="0" xfId="0" applyNumberFormat="1" applyFont="1" applyFill="1" applyAlignment="1">
      <alignment horizontal="center"/>
    </xf>
    <xf numFmtId="0" fontId="52" fillId="0" borderId="0" xfId="0" applyNumberFormat="1" applyFont="1" applyFill="1" applyBorder="1" applyAlignment="1"/>
    <xf numFmtId="0" fontId="45" fillId="0" borderId="0" xfId="0" applyNumberFormat="1" applyFont="1" applyFill="1" applyBorder="1" applyAlignment="1">
      <alignment wrapText="1"/>
    </xf>
    <xf numFmtId="0" fontId="45" fillId="0" borderId="0" xfId="0" applyNumberFormat="1" applyFont="1" applyFill="1" applyBorder="1" applyAlignment="1">
      <alignment horizontal="center"/>
    </xf>
    <xf numFmtId="0" fontId="55" fillId="0" borderId="0" xfId="0" applyNumberFormat="1" applyFont="1" applyFill="1" applyBorder="1" applyAlignment="1">
      <alignment horizontal="center"/>
    </xf>
    <xf numFmtId="0" fontId="64" fillId="0" borderId="5" xfId="0" applyNumberFormat="1" applyFont="1" applyFill="1" applyBorder="1" applyAlignment="1">
      <alignment horizontal="center"/>
    </xf>
    <xf numFmtId="0" fontId="55" fillId="0" borderId="0" xfId="0" applyNumberFormat="1" applyFont="1" applyFill="1" applyBorder="1" applyAlignment="1">
      <alignment horizontal="center"/>
    </xf>
    <xf numFmtId="0" fontId="54" fillId="0" borderId="0" xfId="0" applyNumberFormat="1" applyFont="1" applyFill="1" applyBorder="1" applyAlignment="1"/>
    <xf numFmtId="0" fontId="65" fillId="0" borderId="0" xfId="0" applyNumberFormat="1" applyFont="1" applyFill="1" applyAlignment="1"/>
    <xf numFmtId="0" fontId="65" fillId="0" borderId="0" xfId="0" applyNumberFormat="1" applyFont="1" applyFill="1" applyAlignment="1">
      <alignment horizontal="center"/>
    </xf>
    <xf numFmtId="0" fontId="66" fillId="0" borderId="0" xfId="0" applyNumberFormat="1" applyFont="1" applyFill="1" applyAlignment="1">
      <alignment horizontal="center"/>
    </xf>
    <xf numFmtId="0" fontId="65" fillId="0" borderId="0" xfId="0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>
      <alignment wrapText="1"/>
    </xf>
    <xf numFmtId="0" fontId="66" fillId="0" borderId="0" xfId="0" applyNumberFormat="1" applyFont="1" applyFill="1" applyBorder="1" applyAlignment="1">
      <alignment horizontal="center"/>
    </xf>
    <xf numFmtId="0" fontId="65" fillId="0" borderId="5" xfId="0" applyNumberFormat="1" applyFont="1" applyFill="1" applyBorder="1" applyAlignment="1">
      <alignment horizontal="center"/>
    </xf>
    <xf numFmtId="0" fontId="45" fillId="0" borderId="0" xfId="0" applyNumberFormat="1" applyFont="1" applyFill="1" applyAlignment="1"/>
    <xf numFmtId="0" fontId="52" fillId="0" borderId="5" xfId="0" applyNumberFormat="1" applyFont="1" applyFill="1" applyBorder="1" applyAlignment="1">
      <alignment horizontal="center"/>
    </xf>
    <xf numFmtId="0" fontId="45" fillId="0" borderId="0" xfId="0" applyNumberFormat="1" applyFont="1" applyFill="1" applyAlignment="1">
      <alignment horizontal="center"/>
    </xf>
    <xf numFmtId="0" fontId="57" fillId="0" borderId="0" xfId="0" applyNumberFormat="1" applyFont="1" applyFill="1" applyAlignment="1"/>
    <xf numFmtId="164" fontId="52" fillId="0" borderId="0" xfId="0" applyFont="1" applyAlignment="1">
      <alignment horizontal="center" wrapText="1"/>
    </xf>
    <xf numFmtId="164" fontId="55" fillId="0" borderId="0" xfId="0" applyFont="1">
      <alignment horizontal="left" wrapText="1"/>
    </xf>
    <xf numFmtId="0" fontId="52" fillId="0" borderId="0" xfId="0" applyNumberFormat="1" applyFont="1" applyFill="1" applyBorder="1" applyAlignment="1">
      <alignment horizontal="center"/>
    </xf>
    <xf numFmtId="164" fontId="57" fillId="0" borderId="0" xfId="0" applyFont="1">
      <alignment horizontal="left" wrapText="1"/>
    </xf>
    <xf numFmtId="0" fontId="57" fillId="0" borderId="0" xfId="0" applyNumberFormat="1" applyFont="1" applyFill="1" applyBorder="1" applyAlignment="1"/>
    <xf numFmtId="10" fontId="57" fillId="0" borderId="0" xfId="0" applyNumberFormat="1" applyFont="1" applyFill="1" applyBorder="1" applyAlignment="1"/>
    <xf numFmtId="0" fontId="52" fillId="0" borderId="0" xfId="0" applyNumberFormat="1" applyFont="1" applyFill="1" applyBorder="1" applyAlignment="1">
      <alignment horizontal="center"/>
    </xf>
    <xf numFmtId="0" fontId="52" fillId="0" borderId="5" xfId="0" applyNumberFormat="1" applyFont="1" applyFill="1" applyBorder="1" applyAlignment="1">
      <alignment horizontal="center" wrapText="1"/>
    </xf>
    <xf numFmtId="0" fontId="57" fillId="0" borderId="0" xfId="0" applyNumberFormat="1" applyFont="1" applyFill="1" applyBorder="1" applyAlignment="1">
      <alignment horizontal="center"/>
    </xf>
    <xf numFmtId="0" fontId="67" fillId="0" borderId="7" xfId="0" applyNumberFormat="1" applyFont="1" applyFill="1" applyBorder="1" applyAlignment="1">
      <alignment horizontal="center" vertical="top"/>
    </xf>
    <xf numFmtId="0" fontId="67" fillId="0" borderId="8" xfId="0" applyNumberFormat="1" applyFont="1" applyFill="1" applyBorder="1" applyAlignment="1">
      <alignment horizontal="center" vertical="top"/>
    </xf>
    <xf numFmtId="0" fontId="67" fillId="0" borderId="7" xfId="0" applyNumberFormat="1" applyFont="1" applyFill="1" applyBorder="1" applyAlignment="1">
      <alignment horizontal="center" vertical="top" wrapText="1"/>
    </xf>
    <xf numFmtId="0" fontId="67" fillId="0" borderId="2" xfId="0" applyNumberFormat="1" applyFont="1" applyFill="1" applyBorder="1" applyAlignment="1">
      <alignment horizontal="center" vertical="top" wrapText="1"/>
    </xf>
    <xf numFmtId="0" fontId="67" fillId="0" borderId="8" xfId="0" applyNumberFormat="1" applyFont="1" applyFill="1" applyBorder="1" applyAlignment="1">
      <alignment horizontal="center" vertical="top" wrapText="1"/>
    </xf>
    <xf numFmtId="0" fontId="67" fillId="0" borderId="7" xfId="0" applyNumberFormat="1" applyFont="1" applyFill="1" applyBorder="1" applyAlignment="1">
      <alignment horizontal="centerContinuous" vertical="top" wrapText="1"/>
    </xf>
    <xf numFmtId="0" fontId="67" fillId="0" borderId="2" xfId="0" applyNumberFormat="1" applyFont="1" applyFill="1" applyBorder="1" applyAlignment="1">
      <alignment horizontal="centerContinuous" vertical="top" wrapText="1"/>
    </xf>
    <xf numFmtId="0" fontId="67" fillId="0" borderId="8" xfId="0" applyNumberFormat="1" applyFont="1" applyFill="1" applyBorder="1" applyAlignment="1">
      <alignment horizontal="centerContinuous" vertical="top" wrapText="1"/>
    </xf>
    <xf numFmtId="0" fontId="57" fillId="0" borderId="0" xfId="0" applyNumberFormat="1" applyFont="1" applyFill="1" applyAlignment="1"/>
    <xf numFmtId="0" fontId="55" fillId="0" borderId="0" xfId="0" applyNumberFormat="1" applyFont="1" applyFill="1" applyAlignment="1">
      <alignment horizontal="left"/>
    </xf>
    <xf numFmtId="0" fontId="62" fillId="0" borderId="0" xfId="0" applyNumberFormat="1" applyFont="1" applyFill="1" applyAlignment="1"/>
    <xf numFmtId="168" fontId="50" fillId="0" borderId="0" xfId="0" applyNumberFormat="1" applyFont="1" applyFill="1" applyAlignment="1"/>
    <xf numFmtId="165" fontId="0" fillId="0" borderId="0" xfId="0" applyNumberFormat="1" applyFont="1" applyFill="1" applyAlignment="1"/>
    <xf numFmtId="42" fontId="68" fillId="0" borderId="0" xfId="0" applyNumberFormat="1" applyFont="1" applyFill="1" applyAlignment="1"/>
    <xf numFmtId="17" fontId="5" fillId="0" borderId="0" xfId="0" applyNumberFormat="1" applyFont="1" applyFill="1" applyAlignment="1">
      <alignment horizontal="center"/>
    </xf>
    <xf numFmtId="0" fontId="30" fillId="0" borderId="0" xfId="0" applyNumberFormat="1" applyFont="1" applyFill="1" applyAlignment="1">
      <alignment horizontal="center"/>
    </xf>
    <xf numFmtId="165" fontId="31" fillId="0" borderId="0" xfId="0" applyNumberFormat="1" applyFont="1" applyFill="1" applyAlignment="1"/>
    <xf numFmtId="17" fontId="5" fillId="0" borderId="0" xfId="0" applyNumberFormat="1" applyFont="1" applyFill="1" applyBorder="1" applyAlignment="1">
      <alignment horizontal="center"/>
    </xf>
    <xf numFmtId="165" fontId="1" fillId="0" borderId="57" xfId="0" applyNumberFormat="1" applyFont="1" applyFill="1" applyBorder="1" applyAlignment="1"/>
    <xf numFmtId="17" fontId="5" fillId="0" borderId="23" xfId="0" applyNumberFormat="1" applyFont="1" applyFill="1" applyBorder="1" applyAlignment="1">
      <alignment horizontal="center"/>
    </xf>
    <xf numFmtId="17" fontId="5" fillId="0" borderId="38" xfId="0" applyNumberFormat="1" applyFont="1" applyFill="1" applyBorder="1" applyAlignment="1">
      <alignment horizontal="center"/>
    </xf>
    <xf numFmtId="165" fontId="1" fillId="0" borderId="23" xfId="0" applyNumberFormat="1" applyFont="1" applyFill="1" applyBorder="1" applyAlignment="1"/>
    <xf numFmtId="165" fontId="1" fillId="0" borderId="38" xfId="0" applyNumberFormat="1" applyFont="1" applyFill="1" applyBorder="1" applyAlignment="1"/>
    <xf numFmtId="17" fontId="61" fillId="0" borderId="0" xfId="0" applyNumberFormat="1" applyFont="1" applyFill="1" applyAlignment="1"/>
    <xf numFmtId="174" fontId="61" fillId="0" borderId="0" xfId="0" applyNumberFormat="1" applyFont="1" applyFill="1" applyAlignment="1"/>
    <xf numFmtId="17" fontId="0" fillId="0" borderId="0" xfId="0" applyNumberFormat="1" applyFill="1" applyAlignment="1"/>
    <xf numFmtId="165" fontId="0" fillId="0" borderId="0" xfId="0" applyNumberFormat="1" applyFill="1" applyAlignment="1"/>
    <xf numFmtId="43" fontId="31" fillId="0" borderId="0" xfId="0" applyNumberFormat="1" applyFont="1" applyFill="1" applyBorder="1" applyAlignment="1"/>
    <xf numFmtId="165" fontId="66" fillId="0" borderId="0" xfId="0" applyNumberFormat="1" applyFont="1" applyFill="1" applyBorder="1" applyAlignment="1"/>
    <xf numFmtId="0" fontId="3" fillId="0" borderId="0" xfId="0" applyNumberFormat="1" applyFont="1" applyAlignment="1"/>
    <xf numFmtId="43" fontId="58" fillId="0" borderId="0" xfId="0" applyNumberFormat="1" applyFont="1" applyFill="1" applyBorder="1" applyAlignment="1"/>
    <xf numFmtId="4" fontId="5" fillId="0" borderId="0" xfId="0" applyNumberFormat="1" applyFont="1" applyFill="1" applyBorder="1" applyAlignment="1">
      <alignment horizontal="center"/>
    </xf>
    <xf numFmtId="0" fontId="45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/>
    <xf numFmtId="0" fontId="3" fillId="0" borderId="0" xfId="0" applyNumberFormat="1" applyFont="1" applyAlignment="1"/>
    <xf numFmtId="0" fontId="2" fillId="0" borderId="0" xfId="0" applyNumberFormat="1" applyFont="1" applyFill="1" applyBorder="1" applyAlignment="1"/>
    <xf numFmtId="10" fontId="2" fillId="0" borderId="0" xfId="0" applyNumberFormat="1" applyFont="1" applyFill="1" applyAlignment="1"/>
    <xf numFmtId="42" fontId="45" fillId="0" borderId="0" xfId="0" applyNumberFormat="1" applyFont="1" applyAlignment="1"/>
    <xf numFmtId="164" fontId="16" fillId="0" borderId="0" xfId="0" applyFont="1" applyAlignment="1">
      <alignment horizontal="center" wrapText="1"/>
    </xf>
    <xf numFmtId="164" fontId="45" fillId="0" borderId="0" xfId="0" applyFont="1" applyAlignment="1">
      <alignment horizontal="center" wrapText="1"/>
    </xf>
    <xf numFmtId="43" fontId="0" fillId="0" borderId="0" xfId="0" applyNumberFormat="1" applyFill="1" applyAlignment="1"/>
    <xf numFmtId="0" fontId="57" fillId="0" borderId="0" xfId="0" applyNumberFormat="1" applyFont="1" applyFill="1" applyAlignment="1">
      <alignment horizontal="center"/>
    </xf>
    <xf numFmtId="164" fontId="60" fillId="0" borderId="0" xfId="0" applyFont="1" applyFill="1" applyBorder="1" applyAlignment="1">
      <alignment horizontal="left"/>
    </xf>
    <xf numFmtId="165" fontId="69" fillId="0" borderId="0" xfId="0" applyNumberFormat="1" applyFont="1" applyFill="1" applyBorder="1" applyAlignment="1">
      <alignment horizontal="centerContinuous"/>
    </xf>
    <xf numFmtId="165" fontId="47" fillId="0" borderId="0" xfId="0" applyNumberFormat="1" applyFont="1" applyFill="1" applyBorder="1" applyAlignment="1">
      <alignment horizontal="centerContinuous"/>
    </xf>
    <xf numFmtId="165" fontId="70" fillId="0" borderId="0" xfId="0" applyNumberFormat="1" applyFont="1" applyFill="1" applyBorder="1" applyAlignment="1">
      <alignment horizontal="centerContinuous"/>
    </xf>
    <xf numFmtId="0" fontId="47" fillId="0" borderId="0" xfId="0" applyNumberFormat="1" applyFont="1" applyFill="1" applyAlignment="1"/>
    <xf numFmtId="165" fontId="47" fillId="0" borderId="6" xfId="0" applyNumberFormat="1" applyFont="1" applyFill="1" applyBorder="1">
      <alignment horizontal="left" wrapText="1"/>
    </xf>
    <xf numFmtId="9" fontId="47" fillId="0" borderId="0" xfId="0" applyNumberFormat="1" applyFont="1" applyFill="1" applyAlignment="1"/>
    <xf numFmtId="41" fontId="47" fillId="0" borderId="0" xfId="0" applyNumberFormat="1" applyFont="1" applyFill="1" applyBorder="1" applyAlignment="1"/>
    <xf numFmtId="3" fontId="47" fillId="0" borderId="0" xfId="0" applyNumberFormat="1" applyFont="1" applyFill="1" applyBorder="1" applyAlignment="1"/>
    <xf numFmtId="9" fontId="47" fillId="0" borderId="0" xfId="0" applyNumberFormat="1" applyFont="1" applyFill="1" applyAlignment="1">
      <alignment horizontal="center"/>
    </xf>
    <xf numFmtId="37" fontId="47" fillId="0" borderId="5" xfId="0" applyNumberFormat="1" applyFont="1" applyFill="1" applyBorder="1" applyAlignment="1"/>
    <xf numFmtId="166" fontId="47" fillId="0" borderId="20" xfId="0" applyNumberFormat="1" applyFont="1" applyFill="1" applyBorder="1" applyAlignment="1"/>
    <xf numFmtId="37" fontId="71" fillId="0" borderId="0" xfId="0" applyNumberFormat="1" applyFont="1" applyFill="1" applyAlignment="1"/>
    <xf numFmtId="37" fontId="71" fillId="0" borderId="0" xfId="0" applyNumberFormat="1" applyFont="1" applyFill="1" applyAlignment="1">
      <alignment horizontal="center"/>
    </xf>
    <xf numFmtId="0" fontId="0" fillId="6" borderId="0" xfId="0" applyNumberFormat="1" applyFill="1" applyAlignment="1"/>
    <xf numFmtId="37" fontId="47" fillId="0" borderId="0" xfId="0" applyNumberFormat="1" applyFont="1" applyFill="1" applyAlignment="1"/>
    <xf numFmtId="37" fontId="71" fillId="0" borderId="0" xfId="0" applyNumberFormat="1" applyFont="1" applyFill="1" applyAlignment="1">
      <alignment horizontal="left" indent="2"/>
    </xf>
    <xf numFmtId="42" fontId="71" fillId="0" borderId="0" xfId="0" applyNumberFormat="1" applyFont="1" applyFill="1" applyAlignment="1"/>
    <xf numFmtId="41" fontId="71" fillId="0" borderId="0" xfId="0" applyNumberFormat="1" applyFont="1" applyFill="1" applyAlignment="1"/>
    <xf numFmtId="41" fontId="71" fillId="0" borderId="58" xfId="0" applyNumberFormat="1" applyFont="1" applyFill="1" applyBorder="1" applyAlignment="1"/>
    <xf numFmtId="165" fontId="1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Continuous"/>
    </xf>
    <xf numFmtId="0" fontId="1" fillId="0" borderId="0" xfId="0" applyNumberFormat="1" applyFont="1" applyAlignment="1">
      <alignment horizontal="centerContinuous"/>
    </xf>
    <xf numFmtId="0" fontId="1" fillId="0" borderId="0" xfId="0" applyNumberFormat="1" applyFont="1" applyAlignment="1"/>
    <xf numFmtId="41" fontId="1" fillId="0" borderId="0" xfId="0" applyNumberFormat="1" applyFont="1" applyAlignment="1"/>
    <xf numFmtId="0" fontId="2" fillId="0" borderId="0" xfId="0" applyNumberFormat="1" applyFont="1" applyAlignment="1"/>
    <xf numFmtId="3" fontId="1" fillId="0" borderId="0" xfId="0" applyNumberFormat="1" applyFont="1" applyAlignment="1"/>
    <xf numFmtId="0" fontId="5" fillId="2" borderId="7" xfId="0" applyNumberFormat="1" applyFont="1" applyFill="1" applyBorder="1" applyAlignment="1">
      <alignment horizontal="centerContinuous"/>
    </xf>
    <xf numFmtId="0" fontId="5" fillId="2" borderId="2" xfId="0" applyNumberFormat="1" applyFont="1" applyFill="1" applyBorder="1" applyAlignment="1">
      <alignment horizontal="centerContinuous"/>
    </xf>
    <xf numFmtId="0" fontId="5" fillId="2" borderId="8" xfId="0" applyNumberFormat="1" applyFont="1" applyFill="1" applyBorder="1" applyAlignment="1">
      <alignment horizontal="centerContinuous"/>
    </xf>
    <xf numFmtId="0" fontId="2" fillId="0" borderId="6" xfId="0" applyNumberFormat="1" applyFont="1" applyBorder="1" applyAlignment="1"/>
    <xf numFmtId="0" fontId="5" fillId="0" borderId="9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0" fontId="5" fillId="0" borderId="12" xfId="0" applyNumberFormat="1" applyFont="1" applyFill="1" applyBorder="1" applyAlignment="1">
      <alignment horizontal="centerContinuous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Continuous"/>
    </xf>
    <xf numFmtId="0" fontId="2" fillId="0" borderId="0" xfId="0" applyNumberFormat="1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/>
    </xf>
    <xf numFmtId="0" fontId="1" fillId="0" borderId="13" xfId="0" applyNumberFormat="1" applyFont="1" applyBorder="1" applyAlignment="1"/>
    <xf numFmtId="0" fontId="1" fillId="0" borderId="0" xfId="0" applyNumberFormat="1" applyFont="1" applyBorder="1" applyAlignment="1"/>
    <xf numFmtId="0" fontId="1" fillId="0" borderId="14" xfId="0" applyNumberFormat="1" applyFont="1" applyBorder="1" applyAlignment="1"/>
    <xf numFmtId="0" fontId="1" fillId="7" borderId="11" xfId="0" applyNumberFormat="1" applyFont="1" applyFill="1" applyBorder="1" applyAlignment="1"/>
    <xf numFmtId="0" fontId="1" fillId="7" borderId="6" xfId="0" applyNumberFormat="1" applyFont="1" applyFill="1" applyBorder="1" applyAlignment="1"/>
    <xf numFmtId="0" fontId="1" fillId="7" borderId="12" xfId="0" applyNumberFormat="1" applyFont="1" applyFill="1" applyBorder="1" applyAlignment="1"/>
    <xf numFmtId="0" fontId="1" fillId="0" borderId="8" xfId="0" applyNumberFormat="1" applyFont="1" applyBorder="1" applyAlignment="1">
      <alignment horizontal="centerContinuous"/>
    </xf>
    <xf numFmtId="0" fontId="1" fillId="7" borderId="13" xfId="0" applyNumberFormat="1" applyFont="1" applyFill="1" applyBorder="1" applyAlignment="1"/>
    <xf numFmtId="0" fontId="1" fillId="7" borderId="0" xfId="0" applyNumberFormat="1" applyFont="1" applyFill="1" applyBorder="1" applyAlignment="1"/>
    <xf numFmtId="0" fontId="1" fillId="7" borderId="14" xfId="0" applyNumberFormat="1" applyFont="1" applyFill="1" applyBorder="1" applyAlignment="1"/>
    <xf numFmtId="0" fontId="1" fillId="0" borderId="12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5" fontId="1" fillId="0" borderId="8" xfId="0" applyNumberFormat="1" applyFont="1" applyBorder="1" applyAlignment="1">
      <alignment horizontal="center"/>
    </xf>
    <xf numFmtId="0" fontId="1" fillId="7" borderId="13" xfId="0" applyNumberFormat="1" applyFont="1" applyFill="1" applyBorder="1" applyAlignment="1">
      <alignment horizontal="left"/>
    </xf>
    <xf numFmtId="0" fontId="73" fillId="7" borderId="0" xfId="0" applyNumberFormat="1" applyFont="1" applyFill="1" applyBorder="1" applyAlignment="1">
      <alignment horizontal="left"/>
    </xf>
    <xf numFmtId="0" fontId="1" fillId="7" borderId="16" xfId="0" applyNumberFormat="1" applyFont="1" applyFill="1" applyBorder="1" applyAlignment="1"/>
    <xf numFmtId="0" fontId="1" fillId="7" borderId="5" xfId="0" applyNumberFormat="1" applyFont="1" applyFill="1" applyBorder="1" applyAlignment="1"/>
    <xf numFmtId="0" fontId="1" fillId="7" borderId="17" xfId="0" applyNumberFormat="1" applyFont="1" applyFill="1" applyBorder="1" applyAlignment="1"/>
    <xf numFmtId="0" fontId="1" fillId="7" borderId="16" xfId="0" applyNumberFormat="1" applyFont="1" applyFill="1" applyBorder="1" applyAlignment="1">
      <alignment horizontal="left"/>
    </xf>
    <xf numFmtId="0" fontId="44" fillId="7" borderId="5" xfId="0" applyNumberFormat="1" applyFont="1" applyFill="1" applyBorder="1" applyAlignment="1">
      <alignment horizontal="left"/>
    </xf>
    <xf numFmtId="0" fontId="2" fillId="0" borderId="15" xfId="0" applyNumberFormat="1" applyFont="1" applyBorder="1" applyAlignment="1"/>
    <xf numFmtId="0" fontId="1" fillId="0" borderId="13" xfId="0" applyNumberFormat="1" applyFont="1" applyFill="1" applyBorder="1" applyAlignment="1">
      <alignment horizontal="left"/>
    </xf>
    <xf numFmtId="175" fontId="1" fillId="0" borderId="0" xfId="0" applyNumberFormat="1" applyFont="1" applyFill="1" applyBorder="1" applyAlignment="1">
      <alignment horizontal="left"/>
    </xf>
    <xf numFmtId="41" fontId="1" fillId="0" borderId="0" xfId="0" applyNumberFormat="1" applyFont="1" applyFill="1" applyBorder="1" applyAlignment="1"/>
    <xf numFmtId="41" fontId="1" fillId="0" borderId="0" xfId="0" applyNumberFormat="1" applyFont="1" applyBorder="1" applyAlignment="1"/>
    <xf numFmtId="41" fontId="2" fillId="0" borderId="0" xfId="0" applyNumberFormat="1" applyFont="1" applyFill="1" applyBorder="1" applyAlignment="1"/>
    <xf numFmtId="37" fontId="1" fillId="0" borderId="0" xfId="0" applyNumberFormat="1" applyFont="1" applyAlignment="1"/>
    <xf numFmtId="41" fontId="1" fillId="0" borderId="14" xfId="0" applyNumberFormat="1" applyFont="1" applyFill="1" applyBorder="1" applyAlignment="1"/>
    <xf numFmtId="0" fontId="1" fillId="0" borderId="0" xfId="0" applyNumberFormat="1" applyFont="1" applyFill="1" applyAlignment="1"/>
    <xf numFmtId="0" fontId="1" fillId="0" borderId="13" xfId="0" applyNumberFormat="1" applyFont="1" applyBorder="1" applyAlignment="1">
      <alignment horizontal="left"/>
    </xf>
    <xf numFmtId="175" fontId="1" fillId="0" borderId="0" xfId="0" applyNumberFormat="1" applyFont="1" applyBorder="1" applyAlignment="1">
      <alignment horizontal="left"/>
    </xf>
    <xf numFmtId="168" fontId="1" fillId="0" borderId="0" xfId="0" applyNumberFormat="1" applyFont="1" applyAlignment="1"/>
    <xf numFmtId="171" fontId="1" fillId="0" borderId="0" xfId="0" applyNumberFormat="1" applyFont="1" applyBorder="1" applyAlignment="1">
      <alignment horizontal="left"/>
    </xf>
    <xf numFmtId="43" fontId="1" fillId="0" borderId="0" xfId="0" applyNumberFormat="1" applyFont="1" applyAlignment="1"/>
    <xf numFmtId="0" fontId="1" fillId="0" borderId="16" xfId="0" applyNumberFormat="1" applyFont="1" applyBorder="1" applyAlignment="1">
      <alignment horizontal="left"/>
    </xf>
    <xf numFmtId="175" fontId="1" fillId="0" borderId="5" xfId="0" applyNumberFormat="1" applyFont="1" applyBorder="1" applyAlignment="1">
      <alignment horizontal="left"/>
    </xf>
    <xf numFmtId="41" fontId="1" fillId="0" borderId="5" xfId="0" applyNumberFormat="1" applyFont="1" applyBorder="1" applyAlignment="1"/>
    <xf numFmtId="41" fontId="1" fillId="0" borderId="5" xfId="0" applyNumberFormat="1" applyFont="1" applyFill="1" applyBorder="1" applyAlignment="1"/>
    <xf numFmtId="41" fontId="2" fillId="0" borderId="5" xfId="0" applyNumberFormat="1" applyFont="1" applyFill="1" applyBorder="1" applyAlignment="1"/>
    <xf numFmtId="41" fontId="1" fillId="0" borderId="17" xfId="0" applyNumberFormat="1" applyFont="1" applyFill="1" applyBorder="1" applyAlignment="1"/>
    <xf numFmtId="175" fontId="1" fillId="7" borderId="0" xfId="0" applyNumberFormat="1" applyFont="1" applyFill="1" applyBorder="1" applyAlignment="1">
      <alignment horizontal="left"/>
    </xf>
    <xf numFmtId="41" fontId="1" fillId="7" borderId="0" xfId="0" applyNumberFormat="1" applyFont="1" applyFill="1" applyBorder="1" applyAlignment="1"/>
    <xf numFmtId="37" fontId="1" fillId="7" borderId="0" xfId="0" applyNumberFormat="1" applyFont="1" applyFill="1" applyBorder="1" applyAlignment="1"/>
    <xf numFmtId="0" fontId="2" fillId="7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41" fontId="1" fillId="7" borderId="14" xfId="0" applyNumberFormat="1" applyFont="1" applyFill="1" applyBorder="1" applyAlignment="1"/>
    <xf numFmtId="171" fontId="1" fillId="7" borderId="0" xfId="0" applyNumberFormat="1" applyFont="1" applyFill="1" applyBorder="1" applyAlignment="1">
      <alignment horizontal="left"/>
    </xf>
    <xf numFmtId="0" fontId="1" fillId="7" borderId="42" xfId="0" applyNumberFormat="1" applyFont="1" applyFill="1" applyBorder="1" applyAlignment="1">
      <alignment horizontal="left"/>
    </xf>
    <xf numFmtId="175" fontId="1" fillId="7" borderId="5" xfId="0" applyNumberFormat="1" applyFont="1" applyFill="1" applyBorder="1" applyAlignment="1">
      <alignment horizontal="left"/>
    </xf>
    <xf numFmtId="41" fontId="1" fillId="7" borderId="5" xfId="0" applyNumberFormat="1" applyFont="1" applyFill="1" applyBorder="1" applyAlignment="1"/>
    <xf numFmtId="42" fontId="5" fillId="0" borderId="5" xfId="0" applyNumberFormat="1" applyFont="1" applyFill="1" applyBorder="1" applyAlignment="1"/>
    <xf numFmtId="0" fontId="2" fillId="7" borderId="5" xfId="0" applyNumberFormat="1" applyFont="1" applyFill="1" applyBorder="1" applyAlignment="1"/>
    <xf numFmtId="41" fontId="1" fillId="7" borderId="17" xfId="0" applyNumberFormat="1" applyFont="1" applyFill="1" applyBorder="1" applyAlignment="1"/>
    <xf numFmtId="0" fontId="1" fillId="0" borderId="19" xfId="0" applyNumberFormat="1" applyFont="1" applyBorder="1" applyAlignment="1"/>
    <xf numFmtId="0" fontId="1" fillId="0" borderId="6" xfId="0" applyNumberFormat="1" applyFont="1" applyBorder="1" applyAlignment="1">
      <alignment horizontal="left"/>
    </xf>
    <xf numFmtId="37" fontId="1" fillId="0" borderId="0" xfId="0" applyNumberFormat="1" applyFont="1" applyFill="1" applyBorder="1" applyAlignment="1"/>
    <xf numFmtId="41" fontId="1" fillId="0" borderId="6" xfId="0" applyNumberFormat="1" applyFont="1" applyFill="1" applyBorder="1" applyAlignment="1"/>
    <xf numFmtId="0" fontId="73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left"/>
    </xf>
    <xf numFmtId="0" fontId="5" fillId="0" borderId="32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center"/>
    </xf>
    <xf numFmtId="44" fontId="5" fillId="0" borderId="32" xfId="0" applyNumberFormat="1" applyFont="1" applyFill="1" applyBorder="1" applyAlignment="1"/>
    <xf numFmtId="49" fontId="5" fillId="0" borderId="32" xfId="0" applyNumberFormat="1" applyFont="1" applyFill="1" applyBorder="1" applyAlignment="1">
      <alignment horizontal="center" wrapText="1"/>
    </xf>
    <xf numFmtId="0" fontId="1" fillId="0" borderId="32" xfId="0" applyNumberFormat="1" applyFont="1" applyFill="1" applyBorder="1" applyAlignment="1"/>
    <xf numFmtId="43" fontId="1" fillId="0" borderId="0" xfId="0" applyNumberFormat="1" applyFont="1" applyFill="1" applyBorder="1" applyAlignment="1"/>
    <xf numFmtId="49" fontId="1" fillId="0" borderId="32" xfId="0" applyNumberFormat="1" applyFont="1" applyFill="1" applyBorder="1" applyAlignment="1">
      <alignment horizontal="center"/>
    </xf>
    <xf numFmtId="0" fontId="1" fillId="0" borderId="18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/>
    <xf numFmtId="43" fontId="1" fillId="0" borderId="32" xfId="0" applyNumberFormat="1" applyFont="1" applyFill="1" applyBorder="1" applyAlignment="1"/>
    <xf numFmtId="44" fontId="5" fillId="0" borderId="51" xfId="0" applyNumberFormat="1" applyFont="1" applyFill="1" applyBorder="1" applyAlignment="1"/>
    <xf numFmtId="173" fontId="5" fillId="0" borderId="23" xfId="0" applyNumberFormat="1" applyFont="1" applyBorder="1" applyAlignment="1">
      <alignment horizontal="left"/>
    </xf>
    <xf numFmtId="173" fontId="5" fillId="0" borderId="41" xfId="0" applyNumberFormat="1" applyFont="1" applyBorder="1" applyAlignment="1">
      <alignment horizontal="left"/>
    </xf>
    <xf numFmtId="165" fontId="1" fillId="0" borderId="11" xfId="0" applyNumberFormat="1" applyFont="1" applyFill="1" applyBorder="1" applyAlignment="1"/>
    <xf numFmtId="165" fontId="1" fillId="0" borderId="6" xfId="0" applyNumberFormat="1" applyFont="1" applyFill="1" applyBorder="1" applyAlignment="1"/>
    <xf numFmtId="165" fontId="1" fillId="0" borderId="6" xfId="0" applyNumberFormat="1" applyFont="1" applyFill="1" applyBorder="1" applyAlignment="1"/>
    <xf numFmtId="165" fontId="1" fillId="0" borderId="12" xfId="0" applyNumberFormat="1" applyFont="1" applyFill="1" applyBorder="1" applyAlignment="1"/>
    <xf numFmtId="165" fontId="1" fillId="0" borderId="13" xfId="0" applyNumberFormat="1" applyFont="1" applyFill="1" applyBorder="1" applyAlignment="1"/>
    <xf numFmtId="165" fontId="1" fillId="0" borderId="14" xfId="0" applyNumberFormat="1" applyFont="1" applyFill="1" applyBorder="1" applyAlignment="1"/>
    <xf numFmtId="0" fontId="2" fillId="0" borderId="13" xfId="0" applyNumberFormat="1" applyFont="1" applyBorder="1" applyAlignment="1"/>
    <xf numFmtId="165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Border="1" applyAlignment="1"/>
    <xf numFmtId="0" fontId="2" fillId="0" borderId="14" xfId="0" applyNumberFormat="1" applyFont="1" applyBorder="1" applyAlignment="1"/>
    <xf numFmtId="0" fontId="2" fillId="0" borderId="16" xfId="0" applyNumberFormat="1" applyFont="1" applyBorder="1" applyAlignment="1"/>
    <xf numFmtId="0" fontId="2" fillId="0" borderId="5" xfId="0" applyNumberFormat="1" applyFont="1" applyBorder="1" applyAlignment="1"/>
    <xf numFmtId="0" fontId="2" fillId="0" borderId="17" xfId="0" applyNumberFormat="1" applyFont="1" applyBorder="1" applyAlignment="1"/>
    <xf numFmtId="4" fontId="2" fillId="0" borderId="0" xfId="0" applyNumberFormat="1" applyFont="1" applyAlignment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4" fontId="47" fillId="0" borderId="0" xfId="0" applyFont="1" applyFill="1" applyAlignment="1">
      <alignment horizontal="left" wrapText="1"/>
    </xf>
    <xf numFmtId="164" fontId="59" fillId="0" borderId="0" xfId="0" quotePrefix="1" applyFont="1" applyFill="1" applyBorder="1" applyAlignment="1">
      <alignment horizontal="right"/>
    </xf>
    <xf numFmtId="164" fontId="59" fillId="0" borderId="0" xfId="0" applyNumberFormat="1" applyFont="1" applyFill="1" applyAlignment="1" applyProtection="1">
      <alignment horizontal="centerContinuous"/>
      <protection locked="0"/>
    </xf>
    <xf numFmtId="176" fontId="59" fillId="0" borderId="41" xfId="0" applyNumberFormat="1" applyFont="1" applyFill="1" applyBorder="1" applyAlignment="1">
      <alignment horizontal="center"/>
    </xf>
    <xf numFmtId="164" fontId="74" fillId="0" borderId="0" xfId="0" applyFont="1" applyAlignment="1"/>
    <xf numFmtId="177" fontId="59" fillId="0" borderId="41" xfId="0" applyNumberFormat="1" applyFont="1" applyFill="1" applyBorder="1" applyAlignment="1">
      <alignment horizontal="center"/>
    </xf>
    <xf numFmtId="164" fontId="59" fillId="0" borderId="0" xfId="0" applyFont="1" applyFill="1" applyBorder="1" applyAlignment="1" applyProtection="1">
      <protection locked="0"/>
    </xf>
    <xf numFmtId="0" fontId="59" fillId="0" borderId="0" xfId="0" applyNumberFormat="1" applyFont="1" applyFill="1" applyBorder="1" applyAlignment="1">
      <alignment horizontal="center"/>
    </xf>
    <xf numFmtId="0" fontId="59" fillId="0" borderId="0" xfId="0" applyNumberFormat="1" applyFont="1" applyFill="1" applyBorder="1" applyAlignment="1">
      <alignment horizontal="centerContinuous"/>
    </xf>
    <xf numFmtId="0" fontId="59" fillId="0" borderId="0" xfId="0" applyNumberFormat="1" applyFont="1" applyFill="1" applyBorder="1" applyAlignment="1" applyProtection="1">
      <alignment horizontal="center"/>
      <protection locked="0"/>
    </xf>
    <xf numFmtId="164" fontId="59" fillId="0" borderId="0" xfId="0" applyFont="1" applyFill="1" applyBorder="1" applyAlignment="1"/>
    <xf numFmtId="164" fontId="59" fillId="0" borderId="5" xfId="0" quotePrefix="1" applyFont="1" applyFill="1" applyBorder="1" applyAlignment="1" applyProtection="1">
      <alignment horizontal="center"/>
      <protection locked="0"/>
    </xf>
    <xf numFmtId="164" fontId="75" fillId="0" borderId="5" xfId="0" applyFont="1" applyBorder="1" applyAlignment="1">
      <alignment horizontal="center"/>
    </xf>
    <xf numFmtId="0" fontId="59" fillId="0" borderId="5" xfId="0" applyNumberFormat="1" applyFont="1" applyFill="1" applyBorder="1" applyAlignment="1" applyProtection="1">
      <alignment horizontal="center"/>
      <protection locked="0"/>
    </xf>
    <xf numFmtId="166" fontId="47" fillId="0" borderId="6" xfId="0" applyNumberFormat="1" applyFont="1" applyFill="1" applyBorder="1" applyAlignment="1"/>
    <xf numFmtId="0" fontId="45" fillId="0" borderId="0" xfId="0" applyNumberFormat="1" applyFont="1" applyFill="1" applyBorder="1" applyAlignment="1">
      <alignment horizontal="center" wrapText="1"/>
    </xf>
    <xf numFmtId="0" fontId="45" fillId="0" borderId="5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center"/>
    </xf>
    <xf numFmtId="0" fontId="1" fillId="0" borderId="53" xfId="0" applyNumberFormat="1" applyFont="1" applyFill="1" applyBorder="1" applyAlignment="1"/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wrapText="1"/>
    </xf>
    <xf numFmtId="37" fontId="1" fillId="0" borderId="0" xfId="0" applyNumberFormat="1" applyFont="1" applyFill="1" applyAlignment="1"/>
    <xf numFmtId="171" fontId="1" fillId="0" borderId="0" xfId="0" applyNumberFormat="1" applyFont="1" applyFill="1" applyBorder="1" applyAlignment="1">
      <alignment horizontal="left"/>
    </xf>
    <xf numFmtId="41" fontId="1" fillId="0" borderId="0" xfId="0" quotePrefix="1" applyNumberFormat="1" applyFont="1" applyFill="1" applyBorder="1" applyAlignment="1">
      <alignment horizontal="right"/>
    </xf>
    <xf numFmtId="0" fontId="62" fillId="0" borderId="0" xfId="0" applyNumberFormat="1" applyFont="1" applyFill="1" applyBorder="1" applyAlignment="1"/>
    <xf numFmtId="175" fontId="6" fillId="0" borderId="0" xfId="0" applyNumberFormat="1" applyFont="1" applyBorder="1" applyAlignment="1">
      <alignment horizontal="left"/>
    </xf>
    <xf numFmtId="41" fontId="6" fillId="0" borderId="0" xfId="0" applyNumberFormat="1" applyFont="1" applyBorder="1" applyAlignment="1"/>
    <xf numFmtId="41" fontId="6" fillId="0" borderId="0" xfId="0" applyNumberFormat="1" applyFont="1" applyFill="1" applyBorder="1" applyAlignment="1"/>
    <xf numFmtId="37" fontId="6" fillId="0" borderId="0" xfId="0" applyNumberFormat="1" applyFont="1" applyFill="1" applyBorder="1" applyAlignment="1"/>
    <xf numFmtId="0" fontId="4" fillId="0" borderId="0" xfId="0" applyNumberFormat="1" applyFont="1" applyBorder="1" applyAlignment="1"/>
    <xf numFmtId="0" fontId="3" fillId="0" borderId="0" xfId="0" applyNumberFormat="1" applyFont="1" applyFill="1" applyAlignment="1"/>
    <xf numFmtId="0" fontId="3" fillId="0" borderId="18" xfId="0" applyNumberFormat="1" applyFont="1" applyFill="1" applyBorder="1" applyAlignment="1"/>
    <xf numFmtId="0" fontId="57" fillId="0" borderId="0" xfId="0" applyNumberFormat="1" applyFont="1" applyFill="1" applyAlignment="1">
      <alignment horizontal="left"/>
    </xf>
    <xf numFmtId="17" fontId="1" fillId="0" borderId="0" xfId="0" applyNumberFormat="1" applyFont="1" applyFill="1" applyAlignment="1">
      <alignment horizontal="right"/>
    </xf>
    <xf numFmtId="17" fontId="1" fillId="0" borderId="14" xfId="0" applyNumberFormat="1" applyFont="1" applyFill="1" applyBorder="1" applyAlignment="1"/>
    <xf numFmtId="0" fontId="63" fillId="0" borderId="5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Continuous"/>
    </xf>
    <xf numFmtId="0" fontId="1" fillId="0" borderId="13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31" fillId="0" borderId="12" xfId="0" applyNumberFormat="1" applyFont="1" applyFill="1" applyBorder="1" applyAlignment="1">
      <alignment horizontal="center"/>
    </xf>
    <xf numFmtId="0" fontId="31" fillId="0" borderId="14" xfId="0" applyNumberFormat="1" applyFont="1" applyFill="1" applyBorder="1" applyAlignment="1">
      <alignment horizontal="center"/>
    </xf>
    <xf numFmtId="0" fontId="31" fillId="0" borderId="17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52" fillId="0" borderId="0" xfId="0" applyNumberFormat="1" applyFont="1" applyFill="1" applyAlignment="1">
      <alignment horizontal="left"/>
    </xf>
    <xf numFmtId="0" fontId="52" fillId="0" borderId="0" xfId="0" applyNumberFormat="1" applyFont="1" applyFill="1" applyAlignment="1">
      <alignment horizontal="center"/>
    </xf>
    <xf numFmtId="1" fontId="45" fillId="0" borderId="0" xfId="0" applyNumberFormat="1" applyFont="1" applyAlignment="1">
      <alignment horizontal="center" wrapText="1"/>
    </xf>
    <xf numFmtId="165" fontId="5" fillId="0" borderId="14" xfId="0" applyNumberFormat="1" applyFont="1" applyFill="1" applyBorder="1" applyAlignment="1"/>
    <xf numFmtId="0" fontId="19" fillId="0" borderId="0" xfId="0" applyNumberFormat="1" applyFont="1" applyFill="1" applyAlignment="1">
      <alignment horizontal="center"/>
    </xf>
    <xf numFmtId="0" fontId="41" fillId="0" borderId="0" xfId="0" applyNumberFormat="1" applyFont="1" applyFill="1" applyAlignment="1"/>
    <xf numFmtId="169" fontId="12" fillId="0" borderId="0" xfId="0" applyNumberFormat="1" applyFont="1" applyFill="1" applyAlignment="1"/>
    <xf numFmtId="165" fontId="43" fillId="0" borderId="23" xfId="0" applyNumberFormat="1" applyFont="1" applyFill="1" applyBorder="1" applyAlignment="1"/>
    <xf numFmtId="165" fontId="43" fillId="0" borderId="38" xfId="0" applyNumberFormat="1" applyFont="1" applyFill="1" applyBorder="1" applyAlignment="1"/>
    <xf numFmtId="0" fontId="43" fillId="0" borderId="0" xfId="0" applyNumberFormat="1" applyFont="1" applyFill="1" applyAlignment="1">
      <alignment horizontal="left" indent="4"/>
    </xf>
    <xf numFmtId="0" fontId="43" fillId="0" borderId="0" xfId="0" applyNumberFormat="1" applyFont="1" applyFill="1" applyAlignment="1">
      <alignment horizontal="centerContinuous"/>
    </xf>
    <xf numFmtId="0" fontId="37" fillId="0" borderId="3" xfId="0" applyNumberFormat="1" applyFont="1" applyFill="1" applyBorder="1" applyAlignment="1">
      <alignment horizontal="center"/>
    </xf>
    <xf numFmtId="0" fontId="37" fillId="0" borderId="9" xfId="0" applyNumberFormat="1" applyFon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43" fillId="0" borderId="6" xfId="0" applyNumberFormat="1" applyFont="1" applyFill="1" applyBorder="1" applyAlignment="1">
      <alignment horizontal="center"/>
    </xf>
    <xf numFmtId="171" fontId="43" fillId="0" borderId="15" xfId="0" applyNumberFormat="1" applyFont="1" applyFill="1" applyBorder="1" applyAlignment="1">
      <alignment horizontal="center"/>
    </xf>
    <xf numFmtId="41" fontId="12" fillId="0" borderId="14" xfId="0" applyNumberFormat="1" applyFont="1" applyFill="1" applyBorder="1" applyAlignment="1">
      <alignment horizontal="center"/>
    </xf>
    <xf numFmtId="166" fontId="37" fillId="0" borderId="15" xfId="0" applyNumberFormat="1" applyFont="1" applyFill="1" applyBorder="1" applyAlignment="1"/>
    <xf numFmtId="41" fontId="19" fillId="0" borderId="13" xfId="0" quotePrefix="1" applyNumberFormat="1" applyFont="1" applyFill="1" applyBorder="1" applyAlignment="1">
      <alignment horizontal="right"/>
    </xf>
    <xf numFmtId="166" fontId="19" fillId="0" borderId="14" xfId="0" applyNumberFormat="1" applyFont="1" applyFill="1" applyBorder="1" applyAlignment="1">
      <alignment horizontal="center"/>
    </xf>
    <xf numFmtId="165" fontId="12" fillId="0" borderId="13" xfId="0" quotePrefix="1" applyNumberFormat="1" applyFont="1" applyFill="1" applyBorder="1" applyAlignment="1">
      <alignment horizontal="right"/>
    </xf>
    <xf numFmtId="166" fontId="39" fillId="0" borderId="14" xfId="0" applyNumberFormat="1" applyFont="1" applyFill="1" applyBorder="1" applyAlignment="1"/>
    <xf numFmtId="171" fontId="43" fillId="0" borderId="0" xfId="0" applyNumberFormat="1" applyFont="1" applyFill="1" applyBorder="1" applyAlignment="1">
      <alignment horizontal="center"/>
    </xf>
    <xf numFmtId="171" fontId="43" fillId="0" borderId="13" xfId="0" applyNumberFormat="1" applyFont="1" applyFill="1" applyBorder="1" applyAlignment="1">
      <alignment horizontal="center"/>
    </xf>
    <xf numFmtId="171" fontId="54" fillId="0" borderId="0" xfId="0" applyNumberFormat="1" applyFont="1" applyFill="1" applyBorder="1" applyAlignment="1">
      <alignment horizontal="center"/>
    </xf>
    <xf numFmtId="9" fontId="48" fillId="0" borderId="13" xfId="0" applyNumberFormat="1" applyFont="1" applyFill="1" applyBorder="1" applyAlignment="1"/>
    <xf numFmtId="43" fontId="19" fillId="0" borderId="0" xfId="0" quotePrefix="1" applyNumberFormat="1" applyFont="1" applyFill="1" applyBorder="1" applyAlignment="1">
      <alignment horizontal="right"/>
    </xf>
    <xf numFmtId="166" fontId="19" fillId="0" borderId="0" xfId="0" applyNumberFormat="1" applyFont="1" applyFill="1" applyBorder="1" applyAlignment="1">
      <alignment horizontal="center"/>
    </xf>
    <xf numFmtId="43" fontId="19" fillId="0" borderId="13" xfId="0" quotePrefix="1" applyNumberFormat="1" applyFont="1" applyFill="1" applyBorder="1" applyAlignment="1">
      <alignment horizontal="right"/>
    </xf>
    <xf numFmtId="166" fontId="54" fillId="0" borderId="0" xfId="0" applyNumberFormat="1" applyFont="1" applyFill="1" applyBorder="1" applyAlignment="1"/>
    <xf numFmtId="166" fontId="28" fillId="0" borderId="14" xfId="0" applyNumberFormat="1" applyFont="1" applyFill="1" applyBorder="1" applyAlignment="1"/>
    <xf numFmtId="9" fontId="12" fillId="0" borderId="13" xfId="0" applyNumberFormat="1" applyFont="1" applyFill="1" applyBorder="1" applyAlignment="1"/>
    <xf numFmtId="171" fontId="43" fillId="0" borderId="10" xfId="0" applyNumberFormat="1" applyFont="1" applyFill="1" applyBorder="1" applyAlignment="1">
      <alignment horizontal="center"/>
    </xf>
    <xf numFmtId="0" fontId="18" fillId="0" borderId="0" xfId="0" applyNumberFormat="1" applyFont="1" applyFill="1" applyAlignment="1"/>
    <xf numFmtId="0" fontId="19" fillId="0" borderId="0" xfId="0" applyNumberFormat="1" applyFont="1" applyFill="1" applyAlignment="1">
      <alignment horizontal="right"/>
    </xf>
    <xf numFmtId="0" fontId="48" fillId="0" borderId="0" xfId="0" applyNumberFormat="1" applyFont="1" applyFill="1" applyAlignment="1">
      <alignment horizontal="right"/>
    </xf>
    <xf numFmtId="0" fontId="48" fillId="0" borderId="0" xfId="0" applyNumberFormat="1" applyFont="1" applyFill="1" applyAlignment="1"/>
    <xf numFmtId="0" fontId="13" fillId="0" borderId="0" xfId="0" applyNumberFormat="1" applyFont="1" applyFill="1" applyAlignment="1"/>
    <xf numFmtId="0" fontId="43" fillId="0" borderId="10" xfId="0" applyNumberFormat="1" applyFont="1" applyFill="1" applyBorder="1" applyAlignment="1"/>
    <xf numFmtId="0" fontId="43" fillId="0" borderId="15" xfId="0" applyNumberFormat="1" applyFont="1" applyFill="1" applyBorder="1" applyAlignment="1"/>
    <xf numFmtId="0" fontId="43" fillId="0" borderId="15" xfId="0" applyNumberFormat="1" applyFont="1" applyFill="1" applyBorder="1" applyAlignment="1">
      <alignment horizontal="right"/>
    </xf>
    <xf numFmtId="6" fontId="33" fillId="0" borderId="15" xfId="0" applyNumberFormat="1" applyFont="1" applyFill="1" applyBorder="1" applyAlignment="1"/>
    <xf numFmtId="3" fontId="33" fillId="0" borderId="15" xfId="0" applyNumberFormat="1" applyFont="1" applyFill="1" applyBorder="1" applyAlignment="1"/>
    <xf numFmtId="41" fontId="43" fillId="0" borderId="15" xfId="0" applyNumberFormat="1" applyFont="1" applyFill="1" applyBorder="1" applyAlignment="1"/>
    <xf numFmtId="43" fontId="36" fillId="0" borderId="0" xfId="0" applyNumberFormat="1" applyFont="1" applyFill="1" applyAlignment="1"/>
    <xf numFmtId="37" fontId="43" fillId="0" borderId="15" xfId="0" applyNumberFormat="1" applyFont="1" applyFill="1" applyBorder="1" applyAlignment="1"/>
    <xf numFmtId="43" fontId="40" fillId="0" borderId="0" xfId="0" applyNumberFormat="1" applyFont="1" applyFill="1" applyAlignment="1"/>
    <xf numFmtId="37" fontId="43" fillId="0" borderId="0" xfId="0" applyNumberFormat="1" applyFont="1" applyFill="1" applyBorder="1" applyAlignment="1"/>
    <xf numFmtId="43" fontId="12" fillId="0" borderId="15" xfId="0" applyNumberFormat="1" applyFont="1" applyFill="1" applyBorder="1" applyAlignment="1"/>
    <xf numFmtId="0" fontId="43" fillId="0" borderId="14" xfId="0" applyNumberFormat="1" applyFont="1" applyFill="1" applyBorder="1" applyAlignment="1"/>
    <xf numFmtId="0" fontId="72" fillId="0" borderId="15" xfId="0" applyNumberFormat="1" applyFont="1" applyBorder="1" applyAlignment="1">
      <alignment horizontal="center" vertical="center"/>
    </xf>
    <xf numFmtId="0" fontId="72" fillId="0" borderId="10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45" fillId="0" borderId="0" xfId="0" applyNumberFormat="1" applyFont="1" applyFill="1" applyBorder="1" applyAlignment="1">
      <alignment horizontal="center" wrapText="1"/>
    </xf>
    <xf numFmtId="0" fontId="45" fillId="0" borderId="5" xfId="0" applyNumberFormat="1" applyFont="1" applyFill="1" applyBorder="1" applyAlignment="1">
      <alignment horizontal="center"/>
    </xf>
    <xf numFmtId="0" fontId="52" fillId="0" borderId="5" xfId="0" applyNumberFormat="1" applyFont="1" applyFill="1" applyBorder="1" applyAlignment="1">
      <alignment horizontal="center"/>
    </xf>
    <xf numFmtId="0" fontId="42" fillId="0" borderId="7" xfId="0" applyNumberFormat="1" applyFont="1" applyFill="1" applyBorder="1" applyAlignment="1">
      <alignment horizontal="center" vertical="top" wrapText="1"/>
    </xf>
    <xf numFmtId="0" fontId="42" fillId="0" borderId="2" xfId="0" applyNumberFormat="1" applyFont="1" applyFill="1" applyBorder="1" applyAlignment="1">
      <alignment horizontal="center" vertical="top" wrapText="1"/>
    </xf>
    <xf numFmtId="0" fontId="42" fillId="0" borderId="8" xfId="0" applyNumberFormat="1" applyFont="1" applyFill="1" applyBorder="1" applyAlignment="1">
      <alignment horizontal="center" vertical="top" wrapText="1"/>
    </xf>
    <xf numFmtId="0" fontId="43" fillId="0" borderId="7" xfId="0" applyNumberFormat="1" applyFont="1" applyFill="1" applyBorder="1" applyAlignment="1">
      <alignment horizontal="center"/>
    </xf>
    <xf numFmtId="0" fontId="43" fillId="0" borderId="8" xfId="0" applyNumberFormat="1" applyFont="1" applyFill="1" applyBorder="1" applyAlignment="1">
      <alignment horizontal="center"/>
    </xf>
    <xf numFmtId="0" fontId="48" fillId="0" borderId="7" xfId="0" applyNumberFormat="1" applyFont="1" applyFill="1" applyBorder="1" applyAlignment="1">
      <alignment horizontal="center"/>
    </xf>
    <xf numFmtId="0" fontId="48" fillId="0" borderId="8" xfId="0" applyNumberFormat="1" applyFont="1" applyFill="1" applyBorder="1" applyAlignment="1">
      <alignment horizontal="center"/>
    </xf>
    <xf numFmtId="0" fontId="37" fillId="0" borderId="7" xfId="0" applyNumberFormat="1" applyFont="1" applyFill="1" applyBorder="1" applyAlignment="1">
      <alignment horizontal="center"/>
    </xf>
    <xf numFmtId="0" fontId="37" fillId="0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99FFCC"/>
      <color rgb="FFFF9999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4.00E-ELECTRIC-MODEL-SUPPLEMENTAL-19GRC-09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>
        <row r="7">
          <cell r="AA7" t="str">
            <v>RESTATING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</row>
      </sheetData>
      <sheetData sheetId="1"/>
      <sheetData sheetId="2">
        <row r="92">
          <cell r="D92">
            <v>10572466950.394854</v>
          </cell>
        </row>
      </sheetData>
      <sheetData sheetId="3">
        <row r="19">
          <cell r="G19">
            <v>4300940372.1867046</v>
          </cell>
        </row>
      </sheetData>
      <sheetData sheetId="4"/>
      <sheetData sheetId="5">
        <row r="51">
          <cell r="AB51">
            <v>-95934500</v>
          </cell>
        </row>
        <row r="91">
          <cell r="AB91">
            <v>18500000</v>
          </cell>
          <cell r="AE91">
            <v>18500000</v>
          </cell>
        </row>
        <row r="467">
          <cell r="AB467">
            <v>0</v>
          </cell>
          <cell r="AE467">
            <v>0</v>
          </cell>
        </row>
        <row r="468">
          <cell r="AB468">
            <v>0</v>
          </cell>
          <cell r="AE468">
            <v>0</v>
          </cell>
        </row>
        <row r="469">
          <cell r="AB469">
            <v>0</v>
          </cell>
          <cell r="AE469">
            <v>0</v>
          </cell>
        </row>
        <row r="470">
          <cell r="AB470">
            <v>0</v>
          </cell>
          <cell r="AE470">
            <v>0</v>
          </cell>
        </row>
        <row r="471">
          <cell r="AB471">
            <v>0</v>
          </cell>
          <cell r="AE471">
            <v>0</v>
          </cell>
        </row>
        <row r="473">
          <cell r="AB473">
            <v>0</v>
          </cell>
          <cell r="AE473">
            <v>1874784.6933333334</v>
          </cell>
        </row>
        <row r="488">
          <cell r="AB488">
            <v>90963509.170000002</v>
          </cell>
          <cell r="AE488">
            <v>94507541.950000003</v>
          </cell>
        </row>
        <row r="534">
          <cell r="AB534">
            <v>59411377.369999997</v>
          </cell>
          <cell r="AE534">
            <v>61188732.369999997</v>
          </cell>
        </row>
        <row r="535">
          <cell r="AB535">
            <v>12681984</v>
          </cell>
          <cell r="AE535">
            <v>13025694</v>
          </cell>
        </row>
        <row r="536">
          <cell r="AB536">
            <v>499999.67</v>
          </cell>
          <cell r="AE536">
            <v>749999.69</v>
          </cell>
        </row>
        <row r="540">
          <cell r="AB540">
            <v>17865334.879999999</v>
          </cell>
          <cell r="AE540">
            <v>19307860.879999999</v>
          </cell>
        </row>
        <row r="608">
          <cell r="AB608">
            <v>3767013.76</v>
          </cell>
          <cell r="AE608">
            <v>6027225.7599999988</v>
          </cell>
        </row>
        <row r="609">
          <cell r="AB609">
            <v>0</v>
          </cell>
          <cell r="AE609">
            <v>233790.62916666665</v>
          </cell>
        </row>
        <row r="610">
          <cell r="AB610">
            <v>0</v>
          </cell>
          <cell r="AE610">
            <v>918085.52833333344</v>
          </cell>
        </row>
        <row r="831">
          <cell r="AB831">
            <v>45753.08</v>
          </cell>
          <cell r="AE831">
            <v>74348.820000000007</v>
          </cell>
        </row>
        <row r="863">
          <cell r="AB863">
            <v>62723.02</v>
          </cell>
          <cell r="AE863">
            <v>101925.00041666668</v>
          </cell>
        </row>
        <row r="886">
          <cell r="AB886">
            <v>193459.84</v>
          </cell>
          <cell r="AE886">
            <v>314372.71249999997</v>
          </cell>
        </row>
        <row r="887">
          <cell r="AB887">
            <v>56004.06</v>
          </cell>
          <cell r="AE887">
            <v>91007.306250000009</v>
          </cell>
        </row>
        <row r="1280">
          <cell r="AB1280">
            <v>0</v>
          </cell>
          <cell r="AE1280">
            <v>-186676.11416666667</v>
          </cell>
        </row>
        <row r="1281">
          <cell r="AB1281">
            <v>0</v>
          </cell>
          <cell r="AE1281">
            <v>-136170.19999999998</v>
          </cell>
        </row>
        <row r="1303">
          <cell r="AB1303">
            <v>0</v>
          </cell>
          <cell r="AE1303">
            <v>-575775.58333333337</v>
          </cell>
        </row>
        <row r="1304">
          <cell r="AB1304">
            <v>0</v>
          </cell>
          <cell r="AE1304">
            <v>-166682.125</v>
          </cell>
        </row>
        <row r="1352">
          <cell r="AB1352">
            <v>-4534933.2</v>
          </cell>
          <cell r="AE1352">
            <v>-4607112.3</v>
          </cell>
        </row>
        <row r="1353">
          <cell r="AB1353">
            <v>-308479.03999999998</v>
          </cell>
          <cell r="AE1353">
            <v>-1029888.5287499996</v>
          </cell>
        </row>
        <row r="1375">
          <cell r="AB1375">
            <v>-12218448.32</v>
          </cell>
          <cell r="AE1375">
            <v>-12495445.210833333</v>
          </cell>
        </row>
        <row r="1378">
          <cell r="AB1378">
            <v>-6656774.5300000003</v>
          </cell>
          <cell r="AE1378">
            <v>-6959704.9899999993</v>
          </cell>
        </row>
        <row r="1380">
          <cell r="AB1380">
            <v>-1951314.18</v>
          </cell>
          <cell r="AE1380">
            <v>-2425958.7000000002</v>
          </cell>
        </row>
        <row r="1381">
          <cell r="AB1381">
            <v>-78555.81</v>
          </cell>
          <cell r="AE1381">
            <v>-127651.84291666666</v>
          </cell>
        </row>
        <row r="1394">
          <cell r="AB1394">
            <v>-530083.09</v>
          </cell>
          <cell r="AE1394">
            <v>-923787.87875000015</v>
          </cell>
        </row>
      </sheetData>
      <sheetData sheetId="6">
        <row r="3">
          <cell r="A3">
            <v>43465</v>
          </cell>
        </row>
      </sheetData>
      <sheetData sheetId="7"/>
      <sheetData sheetId="8"/>
      <sheetData sheetId="9"/>
      <sheetData sheetId="10"/>
      <sheetData sheetId="11">
        <row r="35">
          <cell r="E35">
            <v>0.66190000000000004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447"/>
  <sheetViews>
    <sheetView zoomScale="85" zoomScaleNormal="85" workbookViewId="0">
      <pane xSplit="3" ySplit="8" topLeftCell="D329" activePane="bottomRight" state="frozen"/>
      <selection activeCell="E87" sqref="E87:E98"/>
      <selection pane="topRight" activeCell="E87" sqref="E87:E98"/>
      <selection pane="bottomLeft" activeCell="E87" sqref="E87:E98"/>
      <selection pane="bottomRight" activeCell="J8" sqref="J8"/>
    </sheetView>
  </sheetViews>
  <sheetFormatPr defaultColWidth="9.33203125" defaultRowHeight="12.75" outlineLevelRow="1" outlineLevelCol="1"/>
  <cols>
    <col min="1" max="1" width="2.5" style="129" customWidth="1"/>
    <col min="2" max="2" width="22.5" style="129" customWidth="1"/>
    <col min="3" max="3" width="2.6640625" style="129" customWidth="1"/>
    <col min="4" max="4" width="14.6640625" style="129" customWidth="1"/>
    <col min="5" max="5" width="13.5" style="129" bestFit="1" customWidth="1"/>
    <col min="6" max="6" width="15.83203125" style="129" bestFit="1" customWidth="1"/>
    <col min="7" max="7" width="15.5" style="129" bestFit="1" customWidth="1"/>
    <col min="8" max="8" width="13.5" style="129" customWidth="1"/>
    <col min="9" max="9" width="16.5" style="129" bestFit="1" customWidth="1"/>
    <col min="10" max="10" width="16.33203125" style="129" bestFit="1" customWidth="1"/>
    <col min="11" max="11" width="15.1640625" style="129" customWidth="1"/>
    <col min="12" max="12" width="24.1640625" style="129" bestFit="1" customWidth="1"/>
    <col min="13" max="13" width="18.33203125" style="129" bestFit="1" customWidth="1"/>
    <col min="14" max="14" width="19" style="129" hidden="1" customWidth="1"/>
    <col min="15" max="16" width="14.5" style="129" hidden="1" customWidth="1"/>
    <col min="17" max="20" width="0" style="129" hidden="1" customWidth="1"/>
    <col min="21" max="21" width="19.1640625" style="129" bestFit="1" customWidth="1"/>
    <col min="22" max="22" width="15.1640625" style="129" bestFit="1" customWidth="1"/>
    <col min="23" max="23" width="16.1640625" style="129" bestFit="1" customWidth="1"/>
    <col min="24" max="24" width="18.33203125" style="270" hidden="1" customWidth="1" outlineLevel="1"/>
    <col min="25" max="25" width="15.5" style="270" hidden="1" customWidth="1" outlineLevel="1"/>
    <col min="26" max="26" width="12.1640625" style="129" hidden="1" customWidth="1" outlineLevel="1"/>
    <col min="27" max="27" width="17.33203125" style="129" customWidth="1" collapsed="1"/>
    <col min="28" max="28" width="12.1640625" style="129" bestFit="1" customWidth="1"/>
    <col min="29" max="16384" width="9.33203125" style="129"/>
  </cols>
  <sheetData>
    <row r="1" spans="1:23">
      <c r="A1" s="34"/>
      <c r="B1" s="35" t="s">
        <v>8</v>
      </c>
      <c r="C1" s="34"/>
      <c r="D1" s="34"/>
      <c r="E1" s="34"/>
      <c r="F1" s="34"/>
      <c r="G1" s="34"/>
      <c r="H1" s="34"/>
      <c r="I1" s="34"/>
      <c r="J1" s="250"/>
      <c r="K1" s="34"/>
    </row>
    <row r="2" spans="1:23">
      <c r="A2" s="34"/>
      <c r="B2" s="35" t="s">
        <v>184</v>
      </c>
      <c r="C2" s="34"/>
      <c r="D2" s="34"/>
      <c r="E2" s="34"/>
      <c r="F2" s="34"/>
      <c r="G2" s="34"/>
      <c r="H2" s="34"/>
      <c r="I2" s="105"/>
      <c r="J2" s="4"/>
      <c r="K2" s="4"/>
      <c r="L2" s="135"/>
      <c r="M2" s="135"/>
      <c r="U2" s="135"/>
    </row>
    <row r="3" spans="1:23">
      <c r="A3" s="34"/>
      <c r="B3" s="35" t="s">
        <v>185</v>
      </c>
      <c r="C3" s="34"/>
      <c r="D3" s="34"/>
      <c r="E3" s="34"/>
      <c r="F3" s="34"/>
      <c r="G3" s="34"/>
      <c r="H3" s="34"/>
      <c r="I3" s="34"/>
      <c r="J3" s="34"/>
      <c r="K3" s="34"/>
    </row>
    <row r="4" spans="1:23">
      <c r="A4" s="34"/>
      <c r="B4" s="35" t="s">
        <v>186</v>
      </c>
      <c r="C4" s="34"/>
      <c r="D4" s="34"/>
      <c r="E4" s="34"/>
      <c r="F4" s="34"/>
      <c r="G4" s="34"/>
      <c r="H4" s="34"/>
      <c r="I4" s="34"/>
      <c r="J4" s="34"/>
      <c r="K4" s="34"/>
    </row>
    <row r="5" spans="1:23">
      <c r="A5" s="37"/>
      <c r="B5" s="37"/>
      <c r="C5" s="37"/>
      <c r="D5" s="664" t="s">
        <v>605</v>
      </c>
      <c r="E5" s="664" t="s">
        <v>606</v>
      </c>
      <c r="F5" s="664"/>
      <c r="G5" s="664"/>
      <c r="H5" s="664" t="s">
        <v>607</v>
      </c>
      <c r="I5" s="665"/>
      <c r="J5" s="52"/>
      <c r="K5" s="52"/>
      <c r="L5" s="131"/>
      <c r="M5" s="131"/>
      <c r="N5" s="131"/>
      <c r="O5" s="131"/>
      <c r="P5" s="131"/>
      <c r="Q5" s="131"/>
      <c r="R5" s="131"/>
      <c r="S5" s="131"/>
      <c r="U5" s="131"/>
      <c r="V5" s="131"/>
      <c r="W5" s="131"/>
    </row>
    <row r="6" spans="1:23">
      <c r="A6" s="480"/>
      <c r="B6" s="480"/>
      <c r="C6" s="480"/>
      <c r="D6" s="97" t="s">
        <v>187</v>
      </c>
      <c r="E6" s="97" t="s">
        <v>188</v>
      </c>
      <c r="F6" s="97" t="s">
        <v>189</v>
      </c>
      <c r="G6" s="481" t="s">
        <v>190</v>
      </c>
      <c r="H6" s="97" t="s">
        <v>12</v>
      </c>
      <c r="I6" s="482" t="s">
        <v>13</v>
      </c>
      <c r="J6" s="482" t="s">
        <v>102</v>
      </c>
      <c r="K6" s="482" t="s">
        <v>9</v>
      </c>
      <c r="L6" s="97" t="s">
        <v>12</v>
      </c>
      <c r="M6" s="97" t="s">
        <v>17</v>
      </c>
      <c r="N6" s="97" t="s">
        <v>13</v>
      </c>
      <c r="O6" s="481" t="s">
        <v>103</v>
      </c>
      <c r="P6" s="97" t="s">
        <v>104</v>
      </c>
      <c r="Q6" s="539"/>
      <c r="R6" s="539"/>
      <c r="S6" s="539"/>
      <c r="T6" s="539"/>
      <c r="U6" s="97" t="s">
        <v>13</v>
      </c>
      <c r="V6" s="481" t="s">
        <v>103</v>
      </c>
      <c r="W6" s="483" t="s">
        <v>104</v>
      </c>
    </row>
    <row r="7" spans="1:23">
      <c r="A7" s="37"/>
      <c r="B7" s="58" t="s">
        <v>10</v>
      </c>
      <c r="C7" s="58"/>
      <c r="D7" s="55" t="s">
        <v>2</v>
      </c>
      <c r="E7" s="55" t="s">
        <v>99</v>
      </c>
      <c r="F7" s="55" t="s">
        <v>145</v>
      </c>
      <c r="G7" s="57" t="s">
        <v>191</v>
      </c>
      <c r="H7" s="55" t="s">
        <v>3</v>
      </c>
      <c r="I7" s="59" t="s">
        <v>3</v>
      </c>
      <c r="J7" s="59" t="s">
        <v>3</v>
      </c>
      <c r="K7" s="59" t="s">
        <v>16</v>
      </c>
      <c r="L7" s="55" t="s">
        <v>17</v>
      </c>
      <c r="M7" s="55" t="s">
        <v>192</v>
      </c>
      <c r="N7" s="57" t="s">
        <v>17</v>
      </c>
      <c r="O7" s="55" t="s">
        <v>11</v>
      </c>
      <c r="P7" s="55" t="s">
        <v>103</v>
      </c>
      <c r="Q7" s="131"/>
      <c r="R7" s="131"/>
      <c r="S7" s="131"/>
      <c r="T7" s="131"/>
      <c r="U7" s="57" t="s">
        <v>17</v>
      </c>
      <c r="V7" s="55" t="s">
        <v>11</v>
      </c>
      <c r="W7" s="485" t="s">
        <v>103</v>
      </c>
    </row>
    <row r="8" spans="1:23">
      <c r="A8" s="37"/>
      <c r="B8" s="58"/>
      <c r="C8" s="58"/>
      <c r="D8" s="377" t="s">
        <v>22</v>
      </c>
      <c r="E8" s="377" t="s">
        <v>23</v>
      </c>
      <c r="F8" s="377" t="s">
        <v>94</v>
      </c>
      <c r="G8" s="377"/>
      <c r="H8" s="377" t="s">
        <v>723</v>
      </c>
      <c r="I8" s="57" t="s">
        <v>724</v>
      </c>
      <c r="J8" s="59" t="s">
        <v>25</v>
      </c>
      <c r="K8" s="57" t="s">
        <v>193</v>
      </c>
      <c r="L8" s="59" t="s">
        <v>194</v>
      </c>
      <c r="M8" s="57" t="s">
        <v>195</v>
      </c>
      <c r="N8" s="57" t="s">
        <v>196</v>
      </c>
      <c r="O8" s="59" t="s">
        <v>81</v>
      </c>
      <c r="P8" s="59" t="s">
        <v>197</v>
      </c>
      <c r="Q8" s="131"/>
      <c r="R8" s="131"/>
      <c r="S8" s="131"/>
      <c r="T8" s="131"/>
      <c r="U8" s="57" t="s">
        <v>198</v>
      </c>
      <c r="V8" s="59" t="s">
        <v>81</v>
      </c>
      <c r="W8" s="486" t="s">
        <v>197</v>
      </c>
    </row>
    <row r="9" spans="1:23">
      <c r="A9" s="37"/>
      <c r="B9" s="60"/>
      <c r="C9" s="60"/>
      <c r="D9" s="662" t="s">
        <v>199</v>
      </c>
      <c r="E9" s="662" t="s">
        <v>200</v>
      </c>
      <c r="F9" s="666"/>
      <c r="G9" s="666"/>
      <c r="H9" s="662" t="s">
        <v>201</v>
      </c>
      <c r="I9" s="527" t="s">
        <v>725</v>
      </c>
      <c r="J9" s="51"/>
      <c r="K9" s="61"/>
      <c r="L9" s="51" t="s">
        <v>202</v>
      </c>
      <c r="M9" s="51" t="s">
        <v>203</v>
      </c>
      <c r="N9" s="61"/>
      <c r="O9" s="51"/>
      <c r="P9" s="51"/>
      <c r="Q9" s="131"/>
      <c r="R9" s="131"/>
      <c r="S9" s="131"/>
      <c r="T9" s="131"/>
      <c r="U9" s="662" t="s">
        <v>609</v>
      </c>
      <c r="V9" s="130"/>
      <c r="W9" s="540"/>
    </row>
    <row r="10" spans="1:23" hidden="1" outlineLevel="1">
      <c r="A10" s="37"/>
      <c r="B10" s="2" t="s">
        <v>31</v>
      </c>
      <c r="C10" s="58"/>
      <c r="D10" s="115"/>
      <c r="E10" s="115"/>
      <c r="F10" s="115"/>
      <c r="G10" s="115"/>
      <c r="H10" s="115"/>
      <c r="I10" s="113"/>
      <c r="J10" s="113"/>
      <c r="K10" s="115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41"/>
    </row>
    <row r="11" spans="1:23" hidden="1" outlineLevel="1">
      <c r="A11" s="37"/>
      <c r="B11" s="132" t="s">
        <v>32</v>
      </c>
      <c r="C11" s="58"/>
      <c r="D11" s="113">
        <f>'LSR Prepaid BPA interest'!G6</f>
        <v>500000</v>
      </c>
      <c r="E11" s="115"/>
      <c r="F11" s="115"/>
      <c r="G11" s="115"/>
      <c r="H11" s="115"/>
      <c r="I11" s="523"/>
      <c r="J11" s="523"/>
      <c r="K11" s="115"/>
      <c r="L11" s="346"/>
      <c r="M11" s="346"/>
      <c r="N11" s="529">
        <f t="shared" ref="N11:N74" si="0">N10+L11</f>
        <v>0</v>
      </c>
      <c r="O11" s="346">
        <f>($N$10+N11+SUM($N$10:N11)*2)/24</f>
        <v>0</v>
      </c>
      <c r="P11" s="529">
        <f t="shared" ref="P11:P22" si="1">K11+O11</f>
        <v>0</v>
      </c>
      <c r="Q11" s="528"/>
      <c r="R11" s="528"/>
      <c r="S11" s="528"/>
      <c r="T11" s="528"/>
      <c r="U11" s="528"/>
      <c r="V11" s="528"/>
      <c r="W11" s="541"/>
    </row>
    <row r="12" spans="1:23" hidden="1" outlineLevel="1">
      <c r="A12" s="37"/>
      <c r="B12" s="2" t="s">
        <v>33</v>
      </c>
      <c r="C12" s="58"/>
      <c r="D12" s="113">
        <f>D11</f>
        <v>500000</v>
      </c>
      <c r="E12" s="115"/>
      <c r="F12" s="115"/>
      <c r="G12" s="115"/>
      <c r="H12" s="115"/>
      <c r="I12" s="523"/>
      <c r="J12" s="523"/>
      <c r="K12" s="115"/>
      <c r="L12" s="346"/>
      <c r="M12" s="346"/>
      <c r="N12" s="529">
        <f t="shared" si="0"/>
        <v>0</v>
      </c>
      <c r="O12" s="346">
        <f>($N$10+N12+SUM($N$10:N12)*2)/24</f>
        <v>0</v>
      </c>
      <c r="P12" s="529">
        <f t="shared" si="1"/>
        <v>0</v>
      </c>
      <c r="Q12" s="528"/>
      <c r="R12" s="528"/>
      <c r="S12" s="528"/>
      <c r="T12" s="528"/>
      <c r="U12" s="528"/>
      <c r="V12" s="528"/>
      <c r="W12" s="541"/>
    </row>
    <row r="13" spans="1:23" hidden="1" outlineLevel="1">
      <c r="A13" s="37"/>
      <c r="B13" s="2" t="s">
        <v>34</v>
      </c>
      <c r="C13" s="58"/>
      <c r="D13" s="113">
        <f>D12</f>
        <v>500000</v>
      </c>
      <c r="E13" s="115"/>
      <c r="F13" s="115"/>
      <c r="G13" s="115"/>
      <c r="H13" s="115"/>
      <c r="I13" s="523"/>
      <c r="J13" s="523"/>
      <c r="K13" s="115"/>
      <c r="L13" s="346"/>
      <c r="M13" s="346"/>
      <c r="N13" s="529">
        <f t="shared" si="0"/>
        <v>0</v>
      </c>
      <c r="O13" s="346">
        <f>($N$10+N13+SUM($N$10:N13)*2)/24</f>
        <v>0</v>
      </c>
      <c r="P13" s="529">
        <f t="shared" si="1"/>
        <v>0</v>
      </c>
      <c r="Q13" s="528"/>
      <c r="R13" s="528"/>
      <c r="S13" s="528"/>
      <c r="T13" s="528"/>
      <c r="U13" s="528"/>
      <c r="V13" s="528"/>
      <c r="W13" s="541"/>
    </row>
    <row r="14" spans="1:23" hidden="1" outlineLevel="1">
      <c r="A14" s="37"/>
      <c r="B14" s="2" t="s">
        <v>35</v>
      </c>
      <c r="C14" s="58"/>
      <c r="D14" s="113">
        <f>D13</f>
        <v>500000</v>
      </c>
      <c r="E14" s="115"/>
      <c r="F14" s="115"/>
      <c r="G14" s="115"/>
      <c r="H14" s="115"/>
      <c r="I14" s="523"/>
      <c r="J14" s="523"/>
      <c r="K14" s="115"/>
      <c r="L14" s="346"/>
      <c r="M14" s="346"/>
      <c r="N14" s="529">
        <f t="shared" si="0"/>
        <v>0</v>
      </c>
      <c r="O14" s="346">
        <f>($N$10+N14+SUM($N$10:N14)*2)/24</f>
        <v>0</v>
      </c>
      <c r="P14" s="529">
        <f t="shared" si="1"/>
        <v>0</v>
      </c>
      <c r="Q14" s="528"/>
      <c r="R14" s="528"/>
      <c r="S14" s="528"/>
      <c r="T14" s="528"/>
      <c r="U14" s="528"/>
      <c r="V14" s="528"/>
      <c r="W14" s="541"/>
    </row>
    <row r="15" spans="1:23" hidden="1" outlineLevel="1">
      <c r="A15" s="37"/>
      <c r="B15" s="2" t="s">
        <v>36</v>
      </c>
      <c r="C15" s="58"/>
      <c r="D15" s="113">
        <f>D14</f>
        <v>500000</v>
      </c>
      <c r="E15" s="115"/>
      <c r="F15" s="115"/>
      <c r="G15" s="115"/>
      <c r="H15" s="115"/>
      <c r="I15" s="523"/>
      <c r="J15" s="523"/>
      <c r="K15" s="115"/>
      <c r="L15" s="346"/>
      <c r="M15" s="346"/>
      <c r="N15" s="529">
        <f t="shared" si="0"/>
        <v>0</v>
      </c>
      <c r="O15" s="346">
        <f>($N$10+N15+SUM($N$10:N15)*2)/24</f>
        <v>0</v>
      </c>
      <c r="P15" s="529">
        <f t="shared" si="1"/>
        <v>0</v>
      </c>
      <c r="Q15" s="528"/>
      <c r="R15" s="528"/>
      <c r="S15" s="528"/>
      <c r="T15" s="528"/>
      <c r="U15" s="528"/>
      <c r="V15" s="528"/>
      <c r="W15" s="541"/>
    </row>
    <row r="16" spans="1:23" hidden="1" outlineLevel="1">
      <c r="A16" s="37"/>
      <c r="B16" s="2" t="s">
        <v>37</v>
      </c>
      <c r="C16" s="58"/>
      <c r="D16" s="113">
        <f>D15</f>
        <v>500000</v>
      </c>
      <c r="E16" s="115"/>
      <c r="F16" s="115"/>
      <c r="G16" s="115"/>
      <c r="H16" s="115"/>
      <c r="I16" s="523"/>
      <c r="J16" s="523"/>
      <c r="K16" s="115"/>
      <c r="L16" s="346"/>
      <c r="M16" s="346"/>
      <c r="N16" s="529">
        <f t="shared" si="0"/>
        <v>0</v>
      </c>
      <c r="O16" s="346">
        <f>($N$10+N16+SUM($N$10:N16)*2)/24</f>
        <v>0</v>
      </c>
      <c r="P16" s="529">
        <f t="shared" si="1"/>
        <v>0</v>
      </c>
      <c r="Q16" s="528"/>
      <c r="R16" s="528"/>
      <c r="S16" s="528"/>
      <c r="T16" s="528"/>
      <c r="U16" s="528"/>
      <c r="V16" s="528"/>
      <c r="W16" s="541"/>
    </row>
    <row r="17" spans="1:28" hidden="1" outlineLevel="1">
      <c r="A17" s="37"/>
      <c r="B17" s="134" t="s">
        <v>38</v>
      </c>
      <c r="C17" s="58"/>
      <c r="D17" s="113">
        <f>+D16+'LSR Prepaid BPA interest'!G12+'LSR Prepaid BPA interest'!G13</f>
        <v>13700000</v>
      </c>
      <c r="E17" s="115"/>
      <c r="F17" s="115"/>
      <c r="G17" s="115"/>
      <c r="H17" s="115"/>
      <c r="I17" s="523"/>
      <c r="J17" s="523"/>
      <c r="K17" s="115"/>
      <c r="L17" s="346"/>
      <c r="M17" s="346"/>
      <c r="N17" s="529">
        <f t="shared" si="0"/>
        <v>0</v>
      </c>
      <c r="O17" s="346">
        <f>($N$10+N17+SUM($N$10:N17)*2)/24</f>
        <v>0</v>
      </c>
      <c r="P17" s="529">
        <f t="shared" si="1"/>
        <v>0</v>
      </c>
      <c r="Q17" s="528"/>
      <c r="R17" s="528"/>
      <c r="S17" s="528"/>
      <c r="T17" s="528"/>
      <c r="U17" s="528"/>
      <c r="V17" s="528"/>
      <c r="W17" s="541"/>
    </row>
    <row r="18" spans="1:28" hidden="1" outlineLevel="1">
      <c r="A18" s="37"/>
      <c r="B18" s="2" t="s">
        <v>39</v>
      </c>
      <c r="C18" s="58"/>
      <c r="D18" s="113">
        <f>D17</f>
        <v>13700000</v>
      </c>
      <c r="E18" s="115"/>
      <c r="F18" s="115"/>
      <c r="G18" s="115"/>
      <c r="H18" s="115"/>
      <c r="I18" s="523"/>
      <c r="J18" s="523"/>
      <c r="K18" s="115"/>
      <c r="L18" s="346"/>
      <c r="M18" s="346"/>
      <c r="N18" s="529">
        <f t="shared" si="0"/>
        <v>0</v>
      </c>
      <c r="O18" s="346">
        <f>($N$10+N18+SUM($N$10:N18)*2)/24</f>
        <v>0</v>
      </c>
      <c r="P18" s="529">
        <f t="shared" si="1"/>
        <v>0</v>
      </c>
      <c r="Q18" s="528"/>
      <c r="R18" s="528"/>
      <c r="S18" s="528"/>
      <c r="T18" s="528"/>
      <c r="U18" s="528"/>
      <c r="V18" s="528"/>
      <c r="W18" s="541"/>
    </row>
    <row r="19" spans="1:28" hidden="1" outlineLevel="1">
      <c r="A19" s="37"/>
      <c r="B19" s="2" t="s">
        <v>40</v>
      </c>
      <c r="C19" s="58"/>
      <c r="D19" s="113">
        <f>D18</f>
        <v>13700000</v>
      </c>
      <c r="E19" s="115"/>
      <c r="F19" s="115"/>
      <c r="G19" s="115"/>
      <c r="H19" s="115"/>
      <c r="I19" s="523"/>
      <c r="J19" s="523"/>
      <c r="K19" s="115"/>
      <c r="L19" s="346"/>
      <c r="M19" s="346"/>
      <c r="N19" s="529">
        <f t="shared" si="0"/>
        <v>0</v>
      </c>
      <c r="O19" s="346">
        <f>($N$10+N19+SUM($N$10:N19)*2)/24</f>
        <v>0</v>
      </c>
      <c r="P19" s="529">
        <f t="shared" si="1"/>
        <v>0</v>
      </c>
      <c r="Q19" s="528"/>
      <c r="R19" s="528"/>
      <c r="S19" s="528"/>
      <c r="T19" s="528"/>
      <c r="U19" s="528"/>
      <c r="V19" s="528"/>
      <c r="W19" s="541"/>
    </row>
    <row r="20" spans="1:28" hidden="1" outlineLevel="1">
      <c r="A20" s="37"/>
      <c r="B20" s="2" t="s">
        <v>41</v>
      </c>
      <c r="C20" s="58"/>
      <c r="D20" s="113">
        <f>D19</f>
        <v>13700000</v>
      </c>
      <c r="E20" s="115"/>
      <c r="F20" s="115"/>
      <c r="G20" s="115"/>
      <c r="H20" s="115"/>
      <c r="I20" s="523"/>
      <c r="J20" s="523"/>
      <c r="K20" s="115"/>
      <c r="L20" s="346"/>
      <c r="M20" s="346"/>
      <c r="N20" s="529">
        <f t="shared" si="0"/>
        <v>0</v>
      </c>
      <c r="O20" s="346">
        <f>($N$10+N20+SUM($N$10:N20)*2)/24</f>
        <v>0</v>
      </c>
      <c r="P20" s="529">
        <f t="shared" si="1"/>
        <v>0</v>
      </c>
      <c r="Q20" s="528"/>
      <c r="R20" s="528"/>
      <c r="S20" s="528"/>
      <c r="T20" s="528"/>
      <c r="U20" s="528"/>
      <c r="V20" s="528"/>
      <c r="W20" s="541"/>
    </row>
    <row r="21" spans="1:28" hidden="1" outlineLevel="1">
      <c r="A21" s="37"/>
      <c r="B21" s="3" t="s">
        <v>42</v>
      </c>
      <c r="C21" s="37"/>
      <c r="D21" s="113">
        <f>+D20+'LSR Prepaid BPA interest'!G17</f>
        <v>17200000</v>
      </c>
      <c r="E21" s="115"/>
      <c r="F21" s="115"/>
      <c r="G21" s="115"/>
      <c r="H21" s="115"/>
      <c r="I21" s="523"/>
      <c r="J21" s="523"/>
      <c r="K21" s="115"/>
      <c r="L21" s="346"/>
      <c r="M21" s="346"/>
      <c r="N21" s="529">
        <f t="shared" si="0"/>
        <v>0</v>
      </c>
      <c r="O21" s="346">
        <f>($N$10+N21+SUM($N$10:N21)*2)/24</f>
        <v>0</v>
      </c>
      <c r="P21" s="529">
        <f t="shared" si="1"/>
        <v>0</v>
      </c>
      <c r="Q21" s="528"/>
      <c r="R21" s="528"/>
      <c r="S21" s="528"/>
      <c r="T21" s="528"/>
      <c r="U21" s="528"/>
      <c r="V21" s="528"/>
      <c r="W21" s="541"/>
    </row>
    <row r="22" spans="1:28" s="544" customFormat="1" hidden="1" outlineLevel="1">
      <c r="A22" s="38"/>
      <c r="B22" s="2" t="s">
        <v>43</v>
      </c>
      <c r="C22" s="495"/>
      <c r="D22" s="113">
        <f>D21</f>
        <v>17200000</v>
      </c>
      <c r="E22" s="115"/>
      <c r="F22" s="115"/>
      <c r="G22" s="115"/>
      <c r="H22" s="115"/>
      <c r="I22" s="523"/>
      <c r="J22" s="523"/>
      <c r="K22" s="115"/>
      <c r="L22" s="346"/>
      <c r="M22" s="346"/>
      <c r="N22" s="529">
        <f t="shared" si="0"/>
        <v>0</v>
      </c>
      <c r="O22" s="346">
        <f>($N$10+N22+SUM($N$10:N22)*2)/24</f>
        <v>0</v>
      </c>
      <c r="P22" s="529">
        <f t="shared" si="1"/>
        <v>0</v>
      </c>
      <c r="Q22" s="542"/>
      <c r="R22" s="542"/>
      <c r="S22" s="542"/>
      <c r="T22" s="542"/>
      <c r="U22" s="542"/>
      <c r="V22" s="542"/>
      <c r="W22" s="543"/>
      <c r="X22" s="270"/>
      <c r="Y22" s="270"/>
    </row>
    <row r="23" spans="1:28" hidden="1" outlineLevel="1">
      <c r="A23" s="37"/>
      <c r="B23" s="2" t="s">
        <v>44</v>
      </c>
      <c r="C23" s="80"/>
      <c r="D23" s="113">
        <f>D22+'LSR Prepaid BPA interest'!G19</f>
        <v>27700000</v>
      </c>
      <c r="E23" s="115"/>
      <c r="F23" s="115"/>
      <c r="G23" s="115"/>
      <c r="H23" s="115"/>
      <c r="I23" s="523"/>
      <c r="J23" s="346"/>
      <c r="K23" s="115"/>
      <c r="L23" s="346"/>
      <c r="M23" s="346"/>
      <c r="N23" s="529">
        <f t="shared" si="0"/>
        <v>0</v>
      </c>
      <c r="O23" s="346">
        <f>(N11+N23+SUM(N12:N22)*2)/24</f>
        <v>0</v>
      </c>
      <c r="P23" s="529"/>
      <c r="Q23" s="528"/>
      <c r="R23" s="528"/>
      <c r="S23" s="528"/>
      <c r="T23" s="528"/>
      <c r="U23" s="528"/>
      <c r="V23" s="528"/>
      <c r="W23" s="541"/>
    </row>
    <row r="24" spans="1:28" hidden="1" outlineLevel="1">
      <c r="A24" s="37"/>
      <c r="B24" s="2" t="s">
        <v>45</v>
      </c>
      <c r="C24" s="80"/>
      <c r="D24" s="113">
        <f>+D23+'LSR Prepaid BPA interest'!G20</f>
        <v>38200000</v>
      </c>
      <c r="E24" s="115"/>
      <c r="F24" s="115"/>
      <c r="G24" s="115"/>
      <c r="H24" s="115"/>
      <c r="I24" s="523"/>
      <c r="J24" s="346"/>
      <c r="K24" s="115"/>
      <c r="L24" s="346"/>
      <c r="M24" s="346"/>
      <c r="N24" s="529">
        <f t="shared" si="0"/>
        <v>0</v>
      </c>
      <c r="O24" s="346">
        <f t="shared" ref="O24:O87" si="2">(N12+N24+SUM(N13:N23)*2)/24</f>
        <v>0</v>
      </c>
      <c r="P24" s="529"/>
      <c r="Q24" s="528"/>
      <c r="R24" s="528"/>
      <c r="S24" s="528"/>
      <c r="T24" s="528"/>
      <c r="U24" s="528"/>
      <c r="V24" s="528"/>
      <c r="W24" s="541"/>
    </row>
    <row r="25" spans="1:28" hidden="1" outlineLevel="1">
      <c r="A25" s="37"/>
      <c r="B25" s="2" t="s">
        <v>46</v>
      </c>
      <c r="C25" s="80"/>
      <c r="D25" s="113">
        <f>D24</f>
        <v>38200000</v>
      </c>
      <c r="E25" s="115"/>
      <c r="F25" s="115"/>
      <c r="G25" s="115"/>
      <c r="H25" s="115"/>
      <c r="I25" s="523"/>
      <c r="J25" s="346"/>
      <c r="K25" s="115"/>
      <c r="L25" s="346"/>
      <c r="M25" s="346"/>
      <c r="N25" s="529">
        <f t="shared" si="0"/>
        <v>0</v>
      </c>
      <c r="O25" s="346">
        <f t="shared" si="2"/>
        <v>0</v>
      </c>
      <c r="P25" s="529"/>
      <c r="Q25" s="528"/>
      <c r="R25" s="528"/>
      <c r="S25" s="528"/>
      <c r="T25" s="528"/>
      <c r="U25" s="528"/>
      <c r="V25" s="528"/>
      <c r="W25" s="541"/>
    </row>
    <row r="26" spans="1:28" hidden="1" outlineLevel="1">
      <c r="A26" s="37"/>
      <c r="B26" s="2" t="s">
        <v>47</v>
      </c>
      <c r="C26" s="493"/>
      <c r="D26" s="113">
        <f t="shared" ref="D26:D33" si="3">D25</f>
        <v>38200000</v>
      </c>
      <c r="E26" s="115"/>
      <c r="F26" s="115"/>
      <c r="G26" s="115"/>
      <c r="H26" s="115"/>
      <c r="I26" s="523"/>
      <c r="J26" s="346"/>
      <c r="K26" s="115"/>
      <c r="L26" s="346"/>
      <c r="M26" s="346"/>
      <c r="N26" s="529">
        <f t="shared" si="0"/>
        <v>0</v>
      </c>
      <c r="O26" s="346">
        <f t="shared" si="2"/>
        <v>0</v>
      </c>
      <c r="P26" s="529"/>
      <c r="Q26" s="528"/>
      <c r="R26" s="528"/>
      <c r="S26" s="528"/>
      <c r="T26" s="528"/>
      <c r="U26" s="528"/>
      <c r="V26" s="528"/>
      <c r="W26" s="541"/>
    </row>
    <row r="27" spans="1:28" hidden="1" outlineLevel="1">
      <c r="A27" s="37"/>
      <c r="B27" s="2" t="s">
        <v>48</v>
      </c>
      <c r="C27" s="80"/>
      <c r="D27" s="113">
        <f t="shared" si="3"/>
        <v>38200000</v>
      </c>
      <c r="E27" s="115"/>
      <c r="F27" s="115"/>
      <c r="G27" s="115"/>
      <c r="H27" s="115"/>
      <c r="I27" s="523"/>
      <c r="J27" s="346"/>
      <c r="K27" s="115"/>
      <c r="L27" s="346"/>
      <c r="M27" s="346"/>
      <c r="N27" s="529">
        <f t="shared" si="0"/>
        <v>0</v>
      </c>
      <c r="O27" s="346">
        <f t="shared" si="2"/>
        <v>0</v>
      </c>
      <c r="P27" s="529"/>
      <c r="Q27" s="528"/>
      <c r="R27" s="528"/>
      <c r="S27" s="528"/>
      <c r="T27" s="528"/>
      <c r="U27" s="528"/>
      <c r="V27" s="528"/>
      <c r="W27" s="541"/>
    </row>
    <row r="28" spans="1:28" hidden="1" outlineLevel="1">
      <c r="A28" s="37"/>
      <c r="B28" s="2" t="s">
        <v>49</v>
      </c>
      <c r="C28" s="80"/>
      <c r="D28" s="113">
        <f t="shared" si="3"/>
        <v>38200000</v>
      </c>
      <c r="E28" s="115"/>
      <c r="F28" s="115"/>
      <c r="G28" s="115"/>
      <c r="H28" s="115"/>
      <c r="I28" s="523"/>
      <c r="J28" s="346"/>
      <c r="K28" s="115"/>
      <c r="L28" s="346"/>
      <c r="M28" s="346"/>
      <c r="N28" s="529">
        <f t="shared" si="0"/>
        <v>0</v>
      </c>
      <c r="O28" s="346">
        <f t="shared" si="2"/>
        <v>0</v>
      </c>
      <c r="P28" s="529"/>
      <c r="Q28" s="528"/>
      <c r="R28" s="528"/>
      <c r="S28" s="528"/>
      <c r="T28" s="528"/>
      <c r="U28" s="528"/>
      <c r="V28" s="528"/>
      <c r="W28" s="541"/>
    </row>
    <row r="29" spans="1:28" hidden="1" outlineLevel="1">
      <c r="A29" s="37"/>
      <c r="B29" s="2" t="s">
        <v>50</v>
      </c>
      <c r="C29" s="80"/>
      <c r="D29" s="113">
        <f t="shared" si="3"/>
        <v>38200000</v>
      </c>
      <c r="E29" s="115"/>
      <c r="F29" s="115"/>
      <c r="G29" s="115"/>
      <c r="H29" s="115"/>
      <c r="I29" s="523"/>
      <c r="J29" s="346"/>
      <c r="K29" s="115"/>
      <c r="L29" s="346"/>
      <c r="M29" s="346"/>
      <c r="N29" s="529">
        <f t="shared" si="0"/>
        <v>0</v>
      </c>
      <c r="O29" s="346">
        <f t="shared" si="2"/>
        <v>0</v>
      </c>
      <c r="P29" s="529"/>
      <c r="Q29" s="528"/>
      <c r="R29" s="528"/>
      <c r="S29" s="528"/>
      <c r="T29" s="528"/>
      <c r="U29" s="528"/>
      <c r="V29" s="528"/>
      <c r="W29" s="541"/>
    </row>
    <row r="30" spans="1:28" hidden="1" outlineLevel="1">
      <c r="A30" s="37"/>
      <c r="B30" s="2" t="s">
        <v>51</v>
      </c>
      <c r="C30" s="80"/>
      <c r="D30" s="113">
        <f t="shared" si="3"/>
        <v>38200000</v>
      </c>
      <c r="E30" s="115"/>
      <c r="F30" s="115"/>
      <c r="G30" s="115"/>
      <c r="H30" s="115"/>
      <c r="I30" s="523"/>
      <c r="J30" s="346"/>
      <c r="K30" s="115"/>
      <c r="L30" s="346"/>
      <c r="M30" s="346"/>
      <c r="N30" s="529">
        <f t="shared" si="0"/>
        <v>0</v>
      </c>
      <c r="O30" s="346">
        <f t="shared" si="2"/>
        <v>0</v>
      </c>
      <c r="P30" s="529"/>
      <c r="Q30" s="528"/>
      <c r="R30" s="528"/>
      <c r="S30" s="528"/>
      <c r="T30" s="528"/>
      <c r="U30" s="528"/>
      <c r="V30" s="528"/>
      <c r="W30" s="541"/>
    </row>
    <row r="31" spans="1:28" hidden="1" outlineLevel="1">
      <c r="A31" s="37"/>
      <c r="B31" s="2" t="s">
        <v>52</v>
      </c>
      <c r="C31" s="80"/>
      <c r="D31" s="113">
        <f t="shared" si="3"/>
        <v>38200000</v>
      </c>
      <c r="E31" s="115"/>
      <c r="F31" s="115"/>
      <c r="G31" s="115"/>
      <c r="H31" s="115"/>
      <c r="I31" s="523"/>
      <c r="J31" s="346"/>
      <c r="K31" s="115"/>
      <c r="L31" s="346"/>
      <c r="M31" s="346"/>
      <c r="N31" s="529">
        <f t="shared" si="0"/>
        <v>0</v>
      </c>
      <c r="O31" s="346">
        <f t="shared" si="2"/>
        <v>0</v>
      </c>
      <c r="P31" s="529"/>
      <c r="Q31" s="528"/>
      <c r="R31" s="528"/>
      <c r="S31" s="528"/>
      <c r="T31" s="528"/>
      <c r="U31" s="528"/>
      <c r="V31" s="528"/>
      <c r="W31" s="541"/>
    </row>
    <row r="32" spans="1:28" hidden="1" outlineLevel="1">
      <c r="A32" s="37"/>
      <c r="B32" s="2" t="s">
        <v>204</v>
      </c>
      <c r="C32" s="80"/>
      <c r="D32" s="113">
        <f t="shared" si="3"/>
        <v>38200000</v>
      </c>
      <c r="E32" s="115"/>
      <c r="F32" s="115"/>
      <c r="G32" s="115"/>
      <c r="H32" s="115"/>
      <c r="I32" s="523"/>
      <c r="J32" s="346"/>
      <c r="K32" s="115"/>
      <c r="L32" s="346"/>
      <c r="M32" s="346"/>
      <c r="N32" s="529">
        <f t="shared" si="0"/>
        <v>0</v>
      </c>
      <c r="O32" s="346">
        <f t="shared" si="2"/>
        <v>0</v>
      </c>
      <c r="P32" s="529"/>
      <c r="Q32" s="528"/>
      <c r="R32" s="528"/>
      <c r="S32" s="528"/>
      <c r="T32" s="528"/>
      <c r="U32" s="528"/>
      <c r="V32" s="528"/>
      <c r="W32" s="541"/>
      <c r="Z32" s="545"/>
      <c r="AA32" s="70"/>
      <c r="AB32" s="545"/>
    </row>
    <row r="33" spans="1:27" hidden="1" outlineLevel="1">
      <c r="A33" s="37"/>
      <c r="B33" s="134" t="s">
        <v>205</v>
      </c>
      <c r="C33" s="80"/>
      <c r="D33" s="113">
        <f t="shared" si="3"/>
        <v>38200000</v>
      </c>
      <c r="E33" s="115"/>
      <c r="F33" s="115"/>
      <c r="G33" s="115"/>
      <c r="H33" s="115"/>
      <c r="I33" s="523"/>
      <c r="J33" s="346"/>
      <c r="K33" s="115"/>
      <c r="L33" s="346"/>
      <c r="M33" s="346"/>
      <c r="N33" s="529">
        <f t="shared" si="0"/>
        <v>0</v>
      </c>
      <c r="O33" s="346">
        <f t="shared" si="2"/>
        <v>0</v>
      </c>
      <c r="P33" s="529"/>
      <c r="Q33" s="528"/>
      <c r="R33" s="528"/>
      <c r="S33" s="528"/>
      <c r="T33" s="528"/>
      <c r="U33" s="528"/>
      <c r="V33" s="528"/>
      <c r="W33" s="541"/>
      <c r="Z33" s="545"/>
      <c r="AA33" s="70"/>
    </row>
    <row r="34" spans="1:27" hidden="1" outlineLevel="1">
      <c r="A34" s="37"/>
      <c r="B34" s="3" t="s">
        <v>53</v>
      </c>
      <c r="C34" s="80"/>
      <c r="D34" s="113">
        <f>+D33+'LSR Prepaid BPA interest'!G30</f>
        <v>48200000</v>
      </c>
      <c r="E34" s="115"/>
      <c r="F34" s="115"/>
      <c r="G34" s="115"/>
      <c r="H34" s="115"/>
      <c r="I34" s="523"/>
      <c r="J34" s="346"/>
      <c r="K34" s="115"/>
      <c r="L34" s="346"/>
      <c r="M34" s="346"/>
      <c r="N34" s="529">
        <f t="shared" si="0"/>
        <v>0</v>
      </c>
      <c r="O34" s="346">
        <f t="shared" si="2"/>
        <v>0</v>
      </c>
      <c r="P34" s="529"/>
      <c r="Q34" s="528"/>
      <c r="R34" s="528"/>
      <c r="S34" s="528"/>
      <c r="T34" s="528"/>
      <c r="U34" s="528"/>
      <c r="V34" s="528"/>
      <c r="W34" s="541"/>
      <c r="Z34" s="545"/>
      <c r="AA34" s="70"/>
    </row>
    <row r="35" spans="1:27" hidden="1" outlineLevel="1">
      <c r="A35" s="37"/>
      <c r="B35" s="2" t="s">
        <v>54</v>
      </c>
      <c r="C35" s="80"/>
      <c r="D35" s="113">
        <f>D34+'LSR Prepaid BPA interest'!G31</f>
        <v>58200000</v>
      </c>
      <c r="E35" s="115"/>
      <c r="F35" s="115"/>
      <c r="G35" s="115"/>
      <c r="H35" s="115"/>
      <c r="I35" s="523"/>
      <c r="J35" s="346"/>
      <c r="K35" s="115"/>
      <c r="L35" s="346"/>
      <c r="M35" s="346"/>
      <c r="N35" s="529">
        <f t="shared" si="0"/>
        <v>0</v>
      </c>
      <c r="O35" s="346">
        <f t="shared" si="2"/>
        <v>0</v>
      </c>
      <c r="P35" s="529"/>
      <c r="Q35" s="528"/>
      <c r="R35" s="528"/>
      <c r="S35" s="528"/>
      <c r="T35" s="528"/>
      <c r="U35" s="528"/>
      <c r="V35" s="528"/>
      <c r="W35" s="541"/>
      <c r="AA35" s="70"/>
    </row>
    <row r="36" spans="1:27" hidden="1" outlineLevel="1">
      <c r="A36" s="37"/>
      <c r="B36" s="2" t="s">
        <v>55</v>
      </c>
      <c r="C36" s="80"/>
      <c r="D36" s="113">
        <f>D35</f>
        <v>58200000</v>
      </c>
      <c r="E36" s="115"/>
      <c r="F36" s="115"/>
      <c r="G36" s="115"/>
      <c r="H36" s="115"/>
      <c r="I36" s="523"/>
      <c r="J36" s="346"/>
      <c r="K36" s="115"/>
      <c r="L36" s="346"/>
      <c r="M36" s="346"/>
      <c r="N36" s="529">
        <f t="shared" si="0"/>
        <v>0</v>
      </c>
      <c r="O36" s="346">
        <f t="shared" si="2"/>
        <v>0</v>
      </c>
      <c r="P36" s="529"/>
      <c r="Q36" s="528"/>
      <c r="R36" s="528"/>
      <c r="S36" s="528"/>
      <c r="T36" s="528"/>
      <c r="U36" s="528"/>
      <c r="V36" s="528"/>
      <c r="W36" s="541"/>
      <c r="AA36" s="70"/>
    </row>
    <row r="37" spans="1:27" hidden="1" outlineLevel="1">
      <c r="A37" s="37"/>
      <c r="B37" s="2" t="s">
        <v>56</v>
      </c>
      <c r="C37" s="80"/>
      <c r="D37" s="113">
        <f>+D36</f>
        <v>58200000</v>
      </c>
      <c r="E37" s="113">
        <v>2013270</v>
      </c>
      <c r="F37" s="113">
        <f>F36+E37</f>
        <v>2013270</v>
      </c>
      <c r="G37" s="113"/>
      <c r="H37" s="113"/>
      <c r="I37" s="524"/>
      <c r="J37" s="525"/>
      <c r="K37" s="113">
        <f t="shared" ref="K37:K100" si="4">F37+I37</f>
        <v>2013270</v>
      </c>
      <c r="L37" s="525"/>
      <c r="M37" s="525"/>
      <c r="N37" s="529"/>
      <c r="O37" s="525"/>
      <c r="P37" s="529"/>
      <c r="Q37" s="528"/>
      <c r="R37" s="528"/>
      <c r="S37" s="528"/>
      <c r="T37" s="528"/>
      <c r="U37" s="529"/>
      <c r="V37" s="528"/>
      <c r="W37" s="541"/>
      <c r="Z37" s="135"/>
      <c r="AA37" s="70"/>
    </row>
    <row r="38" spans="1:27" hidden="1" outlineLevel="1">
      <c r="A38" s="37"/>
      <c r="B38" s="2" t="s">
        <v>57</v>
      </c>
      <c r="C38" s="80"/>
      <c r="D38" s="113">
        <f>+D37+'LSR Prepaid BPA interest'!G34</f>
        <v>72600000</v>
      </c>
      <c r="E38" s="113">
        <v>578988</v>
      </c>
      <c r="F38" s="113">
        <f>F37+E38</f>
        <v>2592258</v>
      </c>
      <c r="G38" s="113"/>
      <c r="H38" s="113"/>
      <c r="I38" s="524"/>
      <c r="J38" s="525"/>
      <c r="K38" s="113">
        <f t="shared" si="4"/>
        <v>2592258</v>
      </c>
      <c r="L38" s="525"/>
      <c r="M38" s="525"/>
      <c r="N38" s="529"/>
      <c r="O38" s="525"/>
      <c r="P38" s="529"/>
      <c r="Q38" s="528"/>
      <c r="R38" s="528"/>
      <c r="S38" s="528"/>
      <c r="T38" s="528"/>
      <c r="U38" s="529"/>
      <c r="V38" s="528"/>
      <c r="W38" s="541"/>
      <c r="Z38" s="135"/>
      <c r="AA38" s="70"/>
    </row>
    <row r="39" spans="1:27" hidden="1" outlineLevel="1">
      <c r="A39" s="37"/>
      <c r="B39" s="2" t="s">
        <v>58</v>
      </c>
      <c r="C39" s="80"/>
      <c r="D39" s="113">
        <f>D38</f>
        <v>72600000</v>
      </c>
      <c r="E39" s="113">
        <v>643129</v>
      </c>
      <c r="F39" s="113">
        <f>F38+E39</f>
        <v>3235387</v>
      </c>
      <c r="G39" s="113"/>
      <c r="H39" s="113"/>
      <c r="I39" s="524"/>
      <c r="J39" s="525"/>
      <c r="K39" s="526">
        <f t="shared" si="4"/>
        <v>3235387</v>
      </c>
      <c r="L39" s="525"/>
      <c r="M39" s="525"/>
      <c r="N39" s="529"/>
      <c r="O39" s="525"/>
      <c r="P39" s="529"/>
      <c r="Q39" s="528"/>
      <c r="R39" s="528"/>
      <c r="S39" s="528"/>
      <c r="T39" s="528"/>
      <c r="U39" s="529"/>
      <c r="V39" s="528"/>
      <c r="W39" s="541"/>
      <c r="Z39" s="135"/>
      <c r="AA39" s="70"/>
    </row>
    <row r="40" spans="1:27" hidden="1" outlineLevel="1">
      <c r="A40" s="37"/>
      <c r="B40" s="2" t="s">
        <v>59</v>
      </c>
      <c r="C40" s="80"/>
      <c r="D40" s="113">
        <f>D39</f>
        <v>72600000</v>
      </c>
      <c r="E40" s="113">
        <v>643129</v>
      </c>
      <c r="F40" s="113">
        <f t="shared" ref="F40:F47" si="5">F39+E40</f>
        <v>3878516</v>
      </c>
      <c r="G40" s="113"/>
      <c r="H40" s="113"/>
      <c r="I40" s="524"/>
      <c r="J40" s="525"/>
      <c r="K40" s="526">
        <f t="shared" si="4"/>
        <v>3878516</v>
      </c>
      <c r="L40" s="525"/>
      <c r="M40" s="525"/>
      <c r="N40" s="529"/>
      <c r="O40" s="525"/>
      <c r="P40" s="529"/>
      <c r="Q40" s="528"/>
      <c r="R40" s="528"/>
      <c r="S40" s="528"/>
      <c r="T40" s="528"/>
      <c r="U40" s="529"/>
      <c r="V40" s="528"/>
      <c r="W40" s="541"/>
      <c r="Z40" s="135"/>
      <c r="AA40" s="70"/>
    </row>
    <row r="41" spans="1:27" hidden="1" outlineLevel="1">
      <c r="A41" s="37"/>
      <c r="B41" s="2" t="s">
        <v>60</v>
      </c>
      <c r="C41" s="80"/>
      <c r="D41" s="113">
        <f>D40</f>
        <v>72600000</v>
      </c>
      <c r="E41" s="113">
        <v>643129</v>
      </c>
      <c r="F41" s="113">
        <f t="shared" si="5"/>
        <v>4521645</v>
      </c>
      <c r="G41" s="113"/>
      <c r="H41" s="113"/>
      <c r="I41" s="524"/>
      <c r="J41" s="525"/>
      <c r="K41" s="526">
        <f t="shared" si="4"/>
        <v>4521645</v>
      </c>
      <c r="L41" s="525"/>
      <c r="M41" s="525"/>
      <c r="N41" s="529"/>
      <c r="O41" s="525"/>
      <c r="P41" s="529"/>
      <c r="Q41" s="528"/>
      <c r="R41" s="528"/>
      <c r="S41" s="528"/>
      <c r="T41" s="528"/>
      <c r="U41" s="529"/>
      <c r="V41" s="528"/>
      <c r="W41" s="541"/>
      <c r="Z41" s="135"/>
      <c r="AA41" s="70"/>
    </row>
    <row r="42" spans="1:27" hidden="1" outlineLevel="1">
      <c r="A42" s="37"/>
      <c r="B42" s="2" t="s">
        <v>61</v>
      </c>
      <c r="C42" s="80"/>
      <c r="D42" s="113">
        <f>D41</f>
        <v>72600000</v>
      </c>
      <c r="E42" s="113">
        <v>643129</v>
      </c>
      <c r="F42" s="113">
        <f>F41+E42</f>
        <v>5164774</v>
      </c>
      <c r="G42" s="113"/>
      <c r="H42" s="113"/>
      <c r="I42" s="524"/>
      <c r="J42" s="525"/>
      <c r="K42" s="526">
        <f t="shared" si="4"/>
        <v>5164774</v>
      </c>
      <c r="L42" s="525"/>
      <c r="M42" s="525"/>
      <c r="N42" s="529"/>
      <c r="O42" s="525"/>
      <c r="P42" s="529"/>
      <c r="Q42" s="528"/>
      <c r="R42" s="528"/>
      <c r="S42" s="528"/>
      <c r="T42" s="528"/>
      <c r="U42" s="529"/>
      <c r="V42" s="528"/>
      <c r="W42" s="541"/>
      <c r="Z42" s="135"/>
      <c r="AA42" s="70"/>
    </row>
    <row r="43" spans="1:27" hidden="1" outlineLevel="1">
      <c r="A43" s="37"/>
      <c r="B43" s="134" t="s">
        <v>206</v>
      </c>
      <c r="C43" s="80"/>
      <c r="D43" s="113">
        <f>+D42+'LSR Prepaid BPA interest'!G39</f>
        <v>90800000</v>
      </c>
      <c r="E43" s="113">
        <v>726650</v>
      </c>
      <c r="F43" s="113">
        <f t="shared" si="5"/>
        <v>5891424</v>
      </c>
      <c r="G43" s="113"/>
      <c r="H43" s="113"/>
      <c r="I43" s="524"/>
      <c r="J43" s="525"/>
      <c r="K43" s="526">
        <f t="shared" si="4"/>
        <v>5891424</v>
      </c>
      <c r="L43" s="525"/>
      <c r="M43" s="525"/>
      <c r="N43" s="529"/>
      <c r="O43" s="525"/>
      <c r="P43" s="529"/>
      <c r="Q43" s="528"/>
      <c r="R43" s="528"/>
      <c r="S43" s="528"/>
      <c r="T43" s="528"/>
      <c r="U43" s="529"/>
      <c r="V43" s="528"/>
      <c r="W43" s="541"/>
      <c r="Z43" s="135"/>
    </row>
    <row r="44" spans="1:27" hidden="1" outlineLevel="1">
      <c r="A44" s="37"/>
      <c r="B44" s="134" t="s">
        <v>207</v>
      </c>
      <c r="C44" s="80"/>
      <c r="D44" s="113">
        <f>D43</f>
        <v>90800000</v>
      </c>
      <c r="E44" s="526">
        <v>795269.76923076937</v>
      </c>
      <c r="F44" s="113">
        <f t="shared" si="5"/>
        <v>6686693.769230769</v>
      </c>
      <c r="G44" s="113"/>
      <c r="H44" s="113"/>
      <c r="I44" s="524"/>
      <c r="J44" s="525"/>
      <c r="K44" s="526">
        <f t="shared" si="4"/>
        <v>6686693.769230769</v>
      </c>
      <c r="L44" s="525"/>
      <c r="M44" s="525"/>
      <c r="N44" s="529"/>
      <c r="O44" s="525"/>
      <c r="P44" s="529"/>
      <c r="Q44" s="528"/>
      <c r="R44" s="528"/>
      <c r="S44" s="528"/>
      <c r="T44" s="528"/>
      <c r="U44" s="529"/>
      <c r="V44" s="528"/>
      <c r="W44" s="541"/>
      <c r="Z44" s="135"/>
    </row>
    <row r="45" spans="1:27" hidden="1" outlineLevel="1">
      <c r="A45" s="37"/>
      <c r="B45" s="2" t="s">
        <v>62</v>
      </c>
      <c r="C45" s="80"/>
      <c r="D45" s="113">
        <f t="shared" ref="D45:D57" si="6">D44</f>
        <v>90800000</v>
      </c>
      <c r="E45" s="526">
        <f>(((D44+D45)/2)*6.9%/65%)/12</f>
        <v>803230.76923076937</v>
      </c>
      <c r="F45" s="113">
        <f t="shared" si="5"/>
        <v>7489924.538461538</v>
      </c>
      <c r="G45" s="113"/>
      <c r="H45" s="113"/>
      <c r="I45" s="524"/>
      <c r="J45" s="525"/>
      <c r="K45" s="526">
        <f t="shared" si="4"/>
        <v>7489924.538461538</v>
      </c>
      <c r="L45" s="525"/>
      <c r="M45" s="525"/>
      <c r="N45" s="529"/>
      <c r="O45" s="525"/>
      <c r="P45" s="529"/>
      <c r="Q45" s="528"/>
      <c r="R45" s="528"/>
      <c r="S45" s="528"/>
      <c r="T45" s="528"/>
      <c r="U45" s="529"/>
      <c r="V45" s="528"/>
      <c r="W45" s="541"/>
      <c r="Z45" s="135"/>
    </row>
    <row r="46" spans="1:27" hidden="1" outlineLevel="1">
      <c r="A46" s="37"/>
      <c r="B46" s="3" t="s">
        <v>63</v>
      </c>
      <c r="C46" s="80"/>
      <c r="D46" s="113">
        <f t="shared" si="6"/>
        <v>90800000</v>
      </c>
      <c r="E46" s="526">
        <f>(((D45+D46)/2)*6.9%/65%)/12</f>
        <v>803230.76923076937</v>
      </c>
      <c r="F46" s="113">
        <f t="shared" si="5"/>
        <v>8293155.307692307</v>
      </c>
      <c r="G46" s="525">
        <f>(F34+F46+SUM(F35:F45)*2)/24</f>
        <v>3801705.8301282045</v>
      </c>
      <c r="H46" s="113"/>
      <c r="I46" s="524"/>
      <c r="J46" s="525"/>
      <c r="K46" s="526">
        <f>F46+I46</f>
        <v>8293155.307692307</v>
      </c>
      <c r="L46" s="525"/>
      <c r="M46" s="525"/>
      <c r="N46" s="529"/>
      <c r="O46" s="525"/>
      <c r="P46" s="529"/>
      <c r="Q46" s="528"/>
      <c r="R46" s="528"/>
      <c r="S46" s="528"/>
      <c r="T46" s="528"/>
      <c r="U46" s="529"/>
      <c r="V46" s="528"/>
      <c r="W46" s="541"/>
      <c r="Z46" s="135"/>
    </row>
    <row r="47" spans="1:27" hidden="1" outlineLevel="1">
      <c r="A47" s="37"/>
      <c r="B47" s="2" t="s">
        <v>64</v>
      </c>
      <c r="C47" s="80"/>
      <c r="D47" s="113">
        <f t="shared" si="6"/>
        <v>90800000</v>
      </c>
      <c r="E47" s="526">
        <f>(((D46+D47)/2)*6.9%/65%)/12</f>
        <v>803230.76923076937</v>
      </c>
      <c r="F47" s="113">
        <f t="shared" si="5"/>
        <v>9096386.0769230761</v>
      </c>
      <c r="G47" s="525">
        <f t="shared" ref="G47:G56" si="7">(F35+F47+SUM(F36:F46)*2)/24</f>
        <v>4526270.054487179</v>
      </c>
      <c r="H47" s="113"/>
      <c r="I47" s="524"/>
      <c r="J47" s="525"/>
      <c r="K47" s="526">
        <f t="shared" si="4"/>
        <v>9096386.0769230761</v>
      </c>
      <c r="L47" s="525"/>
      <c r="M47" s="525"/>
      <c r="N47" s="529"/>
      <c r="O47" s="525"/>
      <c r="P47" s="529"/>
      <c r="Q47" s="528"/>
      <c r="R47" s="528"/>
      <c r="S47" s="528"/>
      <c r="T47" s="528"/>
      <c r="U47" s="529"/>
      <c r="V47" s="528"/>
      <c r="W47" s="541"/>
      <c r="Z47" s="135"/>
    </row>
    <row r="48" spans="1:27" hidden="1" outlineLevel="1">
      <c r="A48" s="38"/>
      <c r="B48" s="2" t="s">
        <v>65</v>
      </c>
      <c r="C48" s="495"/>
      <c r="D48" s="113">
        <f t="shared" si="6"/>
        <v>90800000</v>
      </c>
      <c r="E48" s="526">
        <v>843038</v>
      </c>
      <c r="F48" s="113">
        <f>F47+E48</f>
        <v>9939424.0769230761</v>
      </c>
      <c r="G48" s="525">
        <f t="shared" si="7"/>
        <v>5319428.8108974351</v>
      </c>
      <c r="H48" s="113"/>
      <c r="I48" s="524"/>
      <c r="J48" s="525"/>
      <c r="K48" s="526">
        <f t="shared" si="4"/>
        <v>9939424.0769230761</v>
      </c>
      <c r="L48" s="525"/>
      <c r="M48" s="525"/>
      <c r="N48" s="529"/>
      <c r="O48" s="525"/>
      <c r="P48" s="529"/>
      <c r="Q48" s="528"/>
      <c r="R48" s="528"/>
      <c r="S48" s="528"/>
      <c r="T48" s="528"/>
      <c r="U48" s="529"/>
      <c r="V48" s="528"/>
      <c r="W48" s="541"/>
      <c r="Z48" s="135"/>
    </row>
    <row r="49" spans="1:26" hidden="1" outlineLevel="1">
      <c r="A49" s="37"/>
      <c r="B49" s="2" t="s">
        <v>66</v>
      </c>
      <c r="C49" s="80"/>
      <c r="D49" s="113">
        <f t="shared" si="6"/>
        <v>90800000</v>
      </c>
      <c r="E49" s="526">
        <v>882846.15384615399</v>
      </c>
      <c r="F49" s="113">
        <f t="shared" ref="F49:F54" si="8">F48+E49</f>
        <v>10822270.23076923</v>
      </c>
      <c r="G49" s="525">
        <f t="shared" si="7"/>
        <v>6100613.1570512801</v>
      </c>
      <c r="H49" s="113"/>
      <c r="I49" s="524"/>
      <c r="J49" s="525"/>
      <c r="K49" s="526">
        <f t="shared" si="4"/>
        <v>10822270.23076923</v>
      </c>
      <c r="L49" s="525"/>
      <c r="M49" s="525"/>
      <c r="N49" s="529"/>
      <c r="O49" s="525"/>
      <c r="P49" s="529"/>
      <c r="Q49" s="528"/>
      <c r="R49" s="528"/>
      <c r="S49" s="528"/>
      <c r="T49" s="528"/>
      <c r="U49" s="529"/>
      <c r="V49" s="525"/>
      <c r="W49" s="530">
        <f>G49+J49+V49</f>
        <v>6100613.1570512801</v>
      </c>
      <c r="Z49" s="135"/>
    </row>
    <row r="50" spans="1:26" hidden="1" outlineLevel="1">
      <c r="A50" s="37"/>
      <c r="B50" s="2" t="s">
        <v>67</v>
      </c>
      <c r="C50" s="80"/>
      <c r="D50" s="113">
        <f t="shared" si="6"/>
        <v>90800000</v>
      </c>
      <c r="E50" s="526">
        <v>882846.15384615399</v>
      </c>
      <c r="F50" s="113">
        <f t="shared" si="8"/>
        <v>11705116.384615384</v>
      </c>
      <c r="G50" s="525">
        <f t="shared" si="7"/>
        <v>6847357.2660256401</v>
      </c>
      <c r="H50" s="113"/>
      <c r="I50" s="524"/>
      <c r="J50" s="525"/>
      <c r="K50" s="526">
        <f t="shared" si="4"/>
        <v>11705116.384615384</v>
      </c>
      <c r="L50" s="525"/>
      <c r="M50" s="525"/>
      <c r="N50" s="529"/>
      <c r="O50" s="525"/>
      <c r="P50" s="529"/>
      <c r="Q50" s="528"/>
      <c r="R50" s="528"/>
      <c r="S50" s="528"/>
      <c r="T50" s="528"/>
      <c r="U50" s="529"/>
      <c r="V50" s="525"/>
      <c r="W50" s="530">
        <f t="shared" ref="W50:W113" si="9">G50+J50+V50</f>
        <v>6847357.2660256401</v>
      </c>
      <c r="Z50" s="135"/>
    </row>
    <row r="51" spans="1:26" hidden="1" outlineLevel="1">
      <c r="A51" s="37"/>
      <c r="B51" s="2" t="s">
        <v>68</v>
      </c>
      <c r="C51" s="80"/>
      <c r="D51" s="113">
        <f t="shared" si="6"/>
        <v>90800000</v>
      </c>
      <c r="E51" s="526">
        <v>882846.15384615399</v>
      </c>
      <c r="F51" s="113">
        <f t="shared" si="8"/>
        <v>12587962.538461538</v>
      </c>
      <c r="G51" s="525">
        <f t="shared" si="7"/>
        <v>7616750.3461538441</v>
      </c>
      <c r="H51" s="113"/>
      <c r="I51" s="524"/>
      <c r="J51" s="525"/>
      <c r="K51" s="526">
        <f t="shared" si="4"/>
        <v>12587962.538461538</v>
      </c>
      <c r="L51" s="525"/>
      <c r="M51" s="525"/>
      <c r="N51" s="529"/>
      <c r="O51" s="525"/>
      <c r="P51" s="529"/>
      <c r="Q51" s="528"/>
      <c r="R51" s="528"/>
      <c r="S51" s="528"/>
      <c r="T51" s="528"/>
      <c r="U51" s="529"/>
      <c r="V51" s="525"/>
      <c r="W51" s="530">
        <f t="shared" si="9"/>
        <v>7616750.3461538441</v>
      </c>
      <c r="Z51" s="135"/>
    </row>
    <row r="52" spans="1:26" hidden="1" outlineLevel="1">
      <c r="A52" s="37"/>
      <c r="B52" s="134" t="s">
        <v>69</v>
      </c>
      <c r="C52" s="80"/>
      <c r="D52" s="113">
        <f t="shared" si="6"/>
        <v>90800000</v>
      </c>
      <c r="E52" s="526">
        <v>882846.15384615399</v>
      </c>
      <c r="F52" s="113">
        <f t="shared" si="8"/>
        <v>13470808.692307692</v>
      </c>
      <c r="G52" s="525">
        <f t="shared" si="7"/>
        <v>8406119.8557692282</v>
      </c>
      <c r="H52" s="113"/>
      <c r="I52" s="524"/>
      <c r="J52" s="525"/>
      <c r="K52" s="526">
        <f t="shared" si="4"/>
        <v>13470808.692307692</v>
      </c>
      <c r="L52" s="525"/>
      <c r="M52" s="525"/>
      <c r="N52" s="529"/>
      <c r="O52" s="525"/>
      <c r="P52" s="529"/>
      <c r="Q52" s="528"/>
      <c r="R52" s="528"/>
      <c r="S52" s="528"/>
      <c r="T52" s="528"/>
      <c r="U52" s="529"/>
      <c r="V52" s="525"/>
      <c r="W52" s="530">
        <f t="shared" si="9"/>
        <v>8406119.8557692282</v>
      </c>
      <c r="X52" s="255">
        <f>F52+I52+U52</f>
        <v>13470808.692307692</v>
      </c>
      <c r="Z52" s="135"/>
    </row>
    <row r="53" spans="1:26" hidden="1" outlineLevel="1">
      <c r="A53" s="37"/>
      <c r="B53" s="2" t="s">
        <v>70</v>
      </c>
      <c r="C53" s="80"/>
      <c r="D53" s="113">
        <f t="shared" si="6"/>
        <v>90800000</v>
      </c>
      <c r="E53" s="526">
        <v>882846.15384615399</v>
      </c>
      <c r="F53" s="113">
        <f t="shared" si="8"/>
        <v>14353654.846153846</v>
      </c>
      <c r="G53" s="525">
        <f t="shared" si="7"/>
        <v>9215465.7948717959</v>
      </c>
      <c r="H53" s="113"/>
      <c r="I53" s="524"/>
      <c r="J53" s="525"/>
      <c r="K53" s="526">
        <f t="shared" si="4"/>
        <v>14353654.846153846</v>
      </c>
      <c r="L53" s="525"/>
      <c r="M53" s="525"/>
      <c r="N53" s="529"/>
      <c r="O53" s="525"/>
      <c r="P53" s="529"/>
      <c r="Q53" s="528"/>
      <c r="R53" s="528"/>
      <c r="S53" s="528"/>
      <c r="T53" s="528"/>
      <c r="U53" s="529"/>
      <c r="V53" s="525"/>
      <c r="W53" s="530">
        <f t="shared" si="9"/>
        <v>9215465.7948717959</v>
      </c>
      <c r="X53" s="255">
        <f t="shared" ref="X53:X116" si="10">F53+I53+U53</f>
        <v>14353654.846153846</v>
      </c>
      <c r="Z53" s="135"/>
    </row>
    <row r="54" spans="1:26" hidden="1" outlineLevel="1">
      <c r="A54" s="131"/>
      <c r="B54" s="2" t="s">
        <v>71</v>
      </c>
      <c r="C54" s="131"/>
      <c r="D54" s="113">
        <f t="shared" si="6"/>
        <v>90800000</v>
      </c>
      <c r="E54" s="526">
        <v>882846.15384615399</v>
      </c>
      <c r="F54" s="113">
        <f t="shared" si="8"/>
        <v>15236501</v>
      </c>
      <c r="G54" s="525">
        <f t="shared" si="7"/>
        <v>10044788.163461538</v>
      </c>
      <c r="H54" s="113"/>
      <c r="I54" s="524"/>
      <c r="J54" s="525"/>
      <c r="K54" s="526">
        <f t="shared" si="4"/>
        <v>15236501</v>
      </c>
      <c r="L54" s="525"/>
      <c r="M54" s="525"/>
      <c r="N54" s="529"/>
      <c r="O54" s="525"/>
      <c r="P54" s="529"/>
      <c r="Q54" s="528"/>
      <c r="R54" s="528"/>
      <c r="S54" s="528"/>
      <c r="T54" s="528"/>
      <c r="U54" s="529"/>
      <c r="V54" s="525"/>
      <c r="W54" s="530">
        <f t="shared" si="9"/>
        <v>10044788.163461538</v>
      </c>
      <c r="X54" s="255">
        <f t="shared" si="10"/>
        <v>15236501</v>
      </c>
      <c r="Z54" s="135"/>
    </row>
    <row r="55" spans="1:26" hidden="1" outlineLevel="1">
      <c r="A55" s="131"/>
      <c r="B55" s="2" t="s">
        <v>72</v>
      </c>
      <c r="C55" s="131"/>
      <c r="D55" s="113">
        <f t="shared" si="6"/>
        <v>90800000</v>
      </c>
      <c r="E55" s="526">
        <v>882846.15384615399</v>
      </c>
      <c r="F55" s="113">
        <f>F54+E55</f>
        <v>16119347.153846154</v>
      </c>
      <c r="G55" s="525">
        <f t="shared" si="7"/>
        <v>10890606.919871794</v>
      </c>
      <c r="H55" s="113"/>
      <c r="I55" s="524"/>
      <c r="J55" s="525"/>
      <c r="K55" s="526">
        <f t="shared" si="4"/>
        <v>16119347.153846154</v>
      </c>
      <c r="L55" s="525"/>
      <c r="M55" s="525">
        <f t="shared" ref="M55:M103" si="11">-L55+L54</f>
        <v>0</v>
      </c>
      <c r="N55" s="529">
        <f t="shared" si="0"/>
        <v>0</v>
      </c>
      <c r="O55" s="525">
        <f t="shared" si="2"/>
        <v>0</v>
      </c>
      <c r="P55" s="529"/>
      <c r="Q55" s="528"/>
      <c r="R55" s="528"/>
      <c r="S55" s="528"/>
      <c r="T55" s="528"/>
      <c r="U55" s="529">
        <f t="shared" ref="U55:U102" si="12">U54-M55</f>
        <v>0</v>
      </c>
      <c r="V55" s="525">
        <f>(U43+U55+SUM(U44:U54)*2)/24</f>
        <v>0</v>
      </c>
      <c r="W55" s="530">
        <f t="shared" si="9"/>
        <v>10890606.919871794</v>
      </c>
      <c r="X55" s="255">
        <f t="shared" si="10"/>
        <v>16119347.153846154</v>
      </c>
      <c r="Z55" s="135"/>
    </row>
    <row r="56" spans="1:26" hidden="1" outlineLevel="1">
      <c r="A56" s="131"/>
      <c r="B56" s="134" t="s">
        <v>73</v>
      </c>
      <c r="C56" s="131"/>
      <c r="D56" s="113">
        <f t="shared" si="6"/>
        <v>90800000</v>
      </c>
      <c r="E56" s="526">
        <v>882846.15384615399</v>
      </c>
      <c r="F56" s="113">
        <f>F55+E56</f>
        <v>17002193.307692308</v>
      </c>
      <c r="G56" s="525">
        <f t="shared" si="7"/>
        <v>11746582.865384616</v>
      </c>
      <c r="H56" s="113"/>
      <c r="I56" s="524"/>
      <c r="J56" s="525">
        <f>(I44+I56+SUM(I45:I55)*2)/24</f>
        <v>0</v>
      </c>
      <c r="K56" s="526">
        <f t="shared" si="4"/>
        <v>17002193.307692308</v>
      </c>
      <c r="L56" s="525"/>
      <c r="M56" s="525">
        <f t="shared" si="11"/>
        <v>0</v>
      </c>
      <c r="N56" s="529">
        <f t="shared" si="0"/>
        <v>0</v>
      </c>
      <c r="O56" s="525">
        <f t="shared" si="2"/>
        <v>0</v>
      </c>
      <c r="P56" s="529"/>
      <c r="Q56" s="528"/>
      <c r="R56" s="528"/>
      <c r="S56" s="528"/>
      <c r="T56" s="528"/>
      <c r="U56" s="529">
        <f t="shared" si="12"/>
        <v>0</v>
      </c>
      <c r="V56" s="525">
        <f t="shared" ref="V56:V113" si="13">(U44+U56+SUM(U45:U55)*2)/24</f>
        <v>0</v>
      </c>
      <c r="W56" s="530">
        <f t="shared" si="9"/>
        <v>11746582.865384616</v>
      </c>
      <c r="X56" s="255">
        <f t="shared" si="10"/>
        <v>17002193.307692308</v>
      </c>
      <c r="Z56" s="135"/>
    </row>
    <row r="57" spans="1:26" hidden="1" outlineLevel="1">
      <c r="A57" s="131"/>
      <c r="B57" s="2" t="s">
        <v>74</v>
      </c>
      <c r="C57" s="131"/>
      <c r="D57" s="113">
        <f t="shared" si="6"/>
        <v>90800000</v>
      </c>
      <c r="E57" s="526">
        <v>370226</v>
      </c>
      <c r="F57" s="113">
        <f>F56+E57</f>
        <v>17372419.307692308</v>
      </c>
      <c r="G57" s="525">
        <f>(F45+F57+SUM(F46:F56)*2)/24</f>
        <v>12588165.961538462</v>
      </c>
      <c r="H57" s="113">
        <f t="shared" ref="H57:H73" si="14">F57/300</f>
        <v>57908.064358974363</v>
      </c>
      <c r="I57" s="524">
        <f>I56-H57</f>
        <v>-57908.064358974363</v>
      </c>
      <c r="J57" s="525">
        <f>(I45+I57+SUM(I46:I56)*2)/24</f>
        <v>-2412.836014957265</v>
      </c>
      <c r="K57" s="526">
        <f t="shared" si="4"/>
        <v>17314511.243333332</v>
      </c>
      <c r="L57" s="525">
        <f>-K57*35%</f>
        <v>-6060078.9351666663</v>
      </c>
      <c r="M57" s="525">
        <f>-L57+L56</f>
        <v>6060078.9351666663</v>
      </c>
      <c r="N57" s="529">
        <f t="shared" si="0"/>
        <v>-6060078.9351666663</v>
      </c>
      <c r="O57" s="525">
        <f t="shared" si="2"/>
        <v>-252503.28896527775</v>
      </c>
      <c r="P57" s="529">
        <f t="shared" ref="P57:P120" si="15">K57+O57</f>
        <v>17062007.954368055</v>
      </c>
      <c r="Q57" s="528"/>
      <c r="R57" s="528"/>
      <c r="S57" s="528"/>
      <c r="T57" s="528"/>
      <c r="U57" s="529">
        <f t="shared" si="12"/>
        <v>-6060078.9351666663</v>
      </c>
      <c r="V57" s="525">
        <f t="shared" si="13"/>
        <v>-252503.28896527775</v>
      </c>
      <c r="W57" s="530">
        <f t="shared" si="9"/>
        <v>12333249.836558226</v>
      </c>
      <c r="X57" s="255">
        <f>F57+I57+U57</f>
        <v>11254432.308166666</v>
      </c>
      <c r="Y57" s="136">
        <f>G57+J57</f>
        <v>12585753.125523504</v>
      </c>
      <c r="Z57" s="548"/>
    </row>
    <row r="58" spans="1:26" hidden="1" outlineLevel="1">
      <c r="A58" s="131"/>
      <c r="B58" s="2" t="s">
        <v>75</v>
      </c>
      <c r="C58" s="131"/>
      <c r="D58" s="113">
        <f>'LSR Prepaid Principal'!O56</f>
        <v>0</v>
      </c>
      <c r="E58" s="113"/>
      <c r="F58" s="113">
        <f t="shared" ref="F58:F121" si="16">F57</f>
        <v>17372419.307692308</v>
      </c>
      <c r="G58" s="525">
        <f t="shared" ref="G58:G121" si="17">(F46+F58+SUM(F47:F57)*2)/24</f>
        <v>13378239.243589744</v>
      </c>
      <c r="H58" s="113">
        <f t="shared" si="14"/>
        <v>57908.064358974363</v>
      </c>
      <c r="I58" s="524">
        <f>I57-H58</f>
        <v>-115816.12871794873</v>
      </c>
      <c r="J58" s="525">
        <f>(I46+I58+SUM(I47:I57)*2)/24</f>
        <v>-9651.3440598290599</v>
      </c>
      <c r="K58" s="526">
        <f t="shared" si="4"/>
        <v>17256603.17897436</v>
      </c>
      <c r="L58" s="525">
        <f>-K58*35%</f>
        <v>-6039811.1126410253</v>
      </c>
      <c r="M58" s="525">
        <f t="shared" si="11"/>
        <v>-20267.82252564095</v>
      </c>
      <c r="N58" s="529">
        <f t="shared" si="0"/>
        <v>-12099890.047807692</v>
      </c>
      <c r="O58" s="525">
        <f t="shared" si="2"/>
        <v>-1009168.6632558759</v>
      </c>
      <c r="P58" s="529">
        <f t="shared" si="15"/>
        <v>16247434.515718484</v>
      </c>
      <c r="Q58" s="528"/>
      <c r="R58" s="528"/>
      <c r="S58" s="528"/>
      <c r="T58" s="528"/>
      <c r="U58" s="529">
        <f t="shared" si="12"/>
        <v>-6039811.1126410253</v>
      </c>
      <c r="V58" s="525">
        <f t="shared" si="13"/>
        <v>-756665.37429059821</v>
      </c>
      <c r="W58" s="530">
        <f t="shared" si="9"/>
        <v>12611922.525239317</v>
      </c>
      <c r="X58" s="255">
        <f t="shared" si="10"/>
        <v>11216792.066333335</v>
      </c>
      <c r="Y58" s="136">
        <f t="shared" ref="Y58:Y121" si="18">G58+J58</f>
        <v>13368587.899529915</v>
      </c>
      <c r="Z58" s="548"/>
    </row>
    <row r="59" spans="1:26" hidden="1" outlineLevel="1">
      <c r="A59" s="131"/>
      <c r="B59" s="134" t="s">
        <v>76</v>
      </c>
      <c r="C59" s="131"/>
      <c r="D59" s="113">
        <f>'LSR Prepaid Principal'!O57</f>
        <v>0</v>
      </c>
      <c r="E59" s="113"/>
      <c r="F59" s="113">
        <f t="shared" si="16"/>
        <v>17372419.307692308</v>
      </c>
      <c r="G59" s="525">
        <f t="shared" si="17"/>
        <v>14101376.628205128</v>
      </c>
      <c r="H59" s="113">
        <f t="shared" si="14"/>
        <v>57908.064358974363</v>
      </c>
      <c r="I59" s="524">
        <f t="shared" ref="I59:I117" si="19">I58-H59</f>
        <v>-173724.19307692308</v>
      </c>
      <c r="J59" s="525">
        <f t="shared" ref="J59:J122" si="20">(I47+I59+SUM(I48:I58)*2)/24</f>
        <v>-21715.524134615385</v>
      </c>
      <c r="K59" s="526">
        <f t="shared" si="4"/>
        <v>17198695.114615384</v>
      </c>
      <c r="L59" s="525">
        <f t="shared" ref="L59:L79" si="21">-K59*35%</f>
        <v>-6019543.2901153844</v>
      </c>
      <c r="M59" s="525">
        <f>-L59+L58</f>
        <v>-20267.82252564095</v>
      </c>
      <c r="N59" s="529">
        <f t="shared" si="0"/>
        <v>-18119433.337923076</v>
      </c>
      <c r="O59" s="525">
        <f t="shared" si="2"/>
        <v>-2268307.1376613248</v>
      </c>
      <c r="P59" s="529">
        <f t="shared" si="15"/>
        <v>14930387.97695406</v>
      </c>
      <c r="Q59" s="528"/>
      <c r="R59" s="528"/>
      <c r="S59" s="528"/>
      <c r="T59" s="528"/>
      <c r="U59" s="529">
        <f>U58-M59</f>
        <v>-6019543.2901153844</v>
      </c>
      <c r="V59" s="525">
        <f>(U47+U59+SUM(U48:U58)*2)/24</f>
        <v>-1259138.4744054487</v>
      </c>
      <c r="W59" s="530">
        <f t="shared" si="9"/>
        <v>12820522.629665064</v>
      </c>
      <c r="X59" s="255">
        <f>F59+I59+U59</f>
        <v>11179151.8245</v>
      </c>
      <c r="Y59" s="136">
        <f t="shared" si="18"/>
        <v>14079661.104070513</v>
      </c>
      <c r="Z59" s="548"/>
    </row>
    <row r="60" spans="1:26" hidden="1" outlineLevel="1">
      <c r="A60" s="131"/>
      <c r="B60" s="134" t="s">
        <v>77</v>
      </c>
      <c r="C60" s="131"/>
      <c r="D60" s="113">
        <f>'LSR Prepaid Principal'!O58</f>
        <v>0</v>
      </c>
      <c r="E60" s="113"/>
      <c r="F60" s="113">
        <f t="shared" si="16"/>
        <v>17372419.307692308</v>
      </c>
      <c r="G60" s="525">
        <f t="shared" si="17"/>
        <v>14755919.48076923</v>
      </c>
      <c r="H60" s="113">
        <f t="shared" si="14"/>
        <v>57908.064358974363</v>
      </c>
      <c r="I60" s="524">
        <f>I59-H60</f>
        <v>-231632.25743589745</v>
      </c>
      <c r="J60" s="525">
        <f>(I48+I60+SUM(I49:I59)*2)/24</f>
        <v>-38605.37623931624</v>
      </c>
      <c r="K60" s="526">
        <f t="shared" si="4"/>
        <v>17140787.050256409</v>
      </c>
      <c r="L60" s="525">
        <f t="shared" si="21"/>
        <v>-5999275.4675897425</v>
      </c>
      <c r="M60" s="525">
        <f t="shared" si="11"/>
        <v>-20267.822525641881</v>
      </c>
      <c r="N60" s="529">
        <f t="shared" si="0"/>
        <v>-24118708.805512819</v>
      </c>
      <c r="O60" s="525">
        <f t="shared" si="2"/>
        <v>-4028229.7269711532</v>
      </c>
      <c r="P60" s="529">
        <f t="shared" si="15"/>
        <v>13112557.323285256</v>
      </c>
      <c r="Q60" s="528"/>
      <c r="R60" s="528"/>
      <c r="S60" s="528"/>
      <c r="T60" s="528"/>
      <c r="U60" s="529">
        <f t="shared" si="12"/>
        <v>-5999275.4675897425</v>
      </c>
      <c r="V60" s="525">
        <f t="shared" si="13"/>
        <v>-1759922.5893098291</v>
      </c>
      <c r="W60" s="530">
        <f t="shared" si="9"/>
        <v>12957391.515220085</v>
      </c>
      <c r="X60" s="255">
        <f t="shared" si="10"/>
        <v>11141511.582666665</v>
      </c>
      <c r="Y60" s="136">
        <f t="shared" si="18"/>
        <v>14717314.104529914</v>
      </c>
      <c r="Z60" s="548"/>
    </row>
    <row r="61" spans="1:26" hidden="1" outlineLevel="1">
      <c r="A61" s="131"/>
      <c r="B61" s="134" t="s">
        <v>208</v>
      </c>
      <c r="C61" s="131"/>
      <c r="D61" s="113">
        <f>'LSR Prepaid Principal'!O59</f>
        <v>0</v>
      </c>
      <c r="E61" s="113"/>
      <c r="F61" s="113">
        <f t="shared" si="16"/>
        <v>17372419.307692308</v>
      </c>
      <c r="G61" s="525">
        <f t="shared" si="17"/>
        <v>15338550.493589744</v>
      </c>
      <c r="H61" s="113">
        <f t="shared" si="14"/>
        <v>57908.064358974363</v>
      </c>
      <c r="I61" s="524">
        <f t="shared" si="19"/>
        <v>-289540.32179487182</v>
      </c>
      <c r="J61" s="525">
        <f t="shared" si="20"/>
        <v>-60320.900373931625</v>
      </c>
      <c r="K61" s="526">
        <f>F61+I61</f>
        <v>17082878.985897437</v>
      </c>
      <c r="L61" s="525">
        <f t="shared" si="21"/>
        <v>-5979007.6450641025</v>
      </c>
      <c r="M61" s="525">
        <f t="shared" si="11"/>
        <v>-20267.822525640018</v>
      </c>
      <c r="N61" s="529">
        <f t="shared" si="0"/>
        <v>-30097716.450576924</v>
      </c>
      <c r="O61" s="525">
        <f t="shared" si="2"/>
        <v>-6287247.4459748929</v>
      </c>
      <c r="P61" s="529">
        <f t="shared" si="15"/>
        <v>10795631.539922543</v>
      </c>
      <c r="Q61" s="528"/>
      <c r="R61" s="528"/>
      <c r="S61" s="528"/>
      <c r="T61" s="528"/>
      <c r="U61" s="529">
        <f t="shared" si="12"/>
        <v>-5979007.6450641025</v>
      </c>
      <c r="V61" s="525">
        <f t="shared" si="13"/>
        <v>-2259017.7190037393</v>
      </c>
      <c r="W61" s="530">
        <f t="shared" si="9"/>
        <v>13019211.874212073</v>
      </c>
      <c r="X61" s="255">
        <f t="shared" si="10"/>
        <v>11103871.340833334</v>
      </c>
      <c r="Y61" s="136">
        <f t="shared" si="18"/>
        <v>15278229.593215812</v>
      </c>
      <c r="Z61" s="548"/>
    </row>
    <row r="62" spans="1:26" hidden="1" outlineLevel="1">
      <c r="A62" s="131"/>
      <c r="B62" s="2" t="s">
        <v>209</v>
      </c>
      <c r="C62" s="131"/>
      <c r="D62" s="113">
        <f>'LSR Prepaid Principal'!O60</f>
        <v>0</v>
      </c>
      <c r="E62" s="113"/>
      <c r="F62" s="113">
        <f t="shared" si="16"/>
        <v>17372419.307692308</v>
      </c>
      <c r="G62" s="525">
        <f t="shared" si="17"/>
        <v>15847610.993589746</v>
      </c>
      <c r="H62" s="113">
        <f t="shared" si="14"/>
        <v>57908.064358974363</v>
      </c>
      <c r="I62" s="524">
        <f t="shared" si="19"/>
        <v>-347448.38615384616</v>
      </c>
      <c r="J62" s="525">
        <f t="shared" si="20"/>
        <v>-86862.096538461556</v>
      </c>
      <c r="K62" s="526">
        <f t="shared" si="4"/>
        <v>17024970.921538461</v>
      </c>
      <c r="L62" s="525">
        <f t="shared" si="21"/>
        <v>-5958739.8225384606</v>
      </c>
      <c r="M62" s="525">
        <f>-L62+L61</f>
        <v>-20267.822525641881</v>
      </c>
      <c r="N62" s="529">
        <f t="shared" si="0"/>
        <v>-36056456.273115382</v>
      </c>
      <c r="O62" s="525">
        <f t="shared" si="2"/>
        <v>-9043671.3094620723</v>
      </c>
      <c r="P62" s="529">
        <f t="shared" si="15"/>
        <v>7981299.6120763887</v>
      </c>
      <c r="Q62" s="528"/>
      <c r="R62" s="528"/>
      <c r="S62" s="528"/>
      <c r="T62" s="528"/>
      <c r="U62" s="529">
        <f t="shared" si="12"/>
        <v>-5958739.8225384606</v>
      </c>
      <c r="V62" s="525">
        <f t="shared" si="13"/>
        <v>-2756423.8634871794</v>
      </c>
      <c r="W62" s="530">
        <f t="shared" si="9"/>
        <v>13004325.033564106</v>
      </c>
      <c r="X62" s="255">
        <f t="shared" si="10"/>
        <v>11066231.098999999</v>
      </c>
      <c r="Y62" s="136">
        <f t="shared" si="18"/>
        <v>15760748.897051284</v>
      </c>
      <c r="Z62" s="548"/>
    </row>
    <row r="63" spans="1:26" hidden="1" outlineLevel="1">
      <c r="A63" s="131"/>
      <c r="B63" s="2" t="s">
        <v>210</v>
      </c>
      <c r="C63" s="131"/>
      <c r="D63" s="113">
        <f>'LSR Prepaid Principal'!O61</f>
        <v>0</v>
      </c>
      <c r="E63" s="113"/>
      <c r="F63" s="113">
        <f t="shared" si="16"/>
        <v>17372419.307692308</v>
      </c>
      <c r="G63" s="525">
        <f t="shared" si="17"/>
        <v>16283100.980769232</v>
      </c>
      <c r="H63" s="113">
        <f t="shared" si="14"/>
        <v>57908.064358974363</v>
      </c>
      <c r="I63" s="524">
        <f t="shared" si="19"/>
        <v>-405356.45051282051</v>
      </c>
      <c r="J63" s="525">
        <f>(I51+I63+SUM(I52:I62)*2)/24</f>
        <v>-118228.96473290598</v>
      </c>
      <c r="K63" s="526">
        <f t="shared" si="4"/>
        <v>16967062.857179489</v>
      </c>
      <c r="L63" s="525">
        <f t="shared" si="21"/>
        <v>-5938472.0000128206</v>
      </c>
      <c r="M63" s="525">
        <f t="shared" si="11"/>
        <v>-20267.822525640018</v>
      </c>
      <c r="N63" s="529">
        <f t="shared" si="0"/>
        <v>-41994928.273128204</v>
      </c>
      <c r="O63" s="525">
        <f t="shared" si="2"/>
        <v>-12295812.332222221</v>
      </c>
      <c r="P63" s="529">
        <f t="shared" si="15"/>
        <v>4671250.5249572676</v>
      </c>
      <c r="Q63" s="528"/>
      <c r="R63" s="528"/>
      <c r="S63" s="528"/>
      <c r="T63" s="528"/>
      <c r="U63" s="529">
        <f t="shared" si="12"/>
        <v>-5938472.0000128206</v>
      </c>
      <c r="V63" s="525">
        <f t="shared" si="13"/>
        <v>-3252141.0227601491</v>
      </c>
      <c r="W63" s="530">
        <f t="shared" si="9"/>
        <v>12912730.993276177</v>
      </c>
      <c r="X63" s="255">
        <f t="shared" si="10"/>
        <v>11028590.857166668</v>
      </c>
      <c r="Y63" s="136">
        <f t="shared" si="18"/>
        <v>16164872.016036326</v>
      </c>
      <c r="Z63" s="548"/>
    </row>
    <row r="64" spans="1:26" hidden="1" outlineLevel="1">
      <c r="A64" s="131"/>
      <c r="B64" s="2" t="s">
        <v>211</v>
      </c>
      <c r="C64" s="131"/>
      <c r="D64" s="113">
        <f>'LSR Prepaid Principal'!O62</f>
        <v>0</v>
      </c>
      <c r="E64" s="113"/>
      <c r="F64" s="113">
        <f t="shared" si="16"/>
        <v>17372419.307692308</v>
      </c>
      <c r="G64" s="525">
        <f t="shared" si="17"/>
        <v>16645020.455128206</v>
      </c>
      <c r="H64" s="113">
        <f t="shared" si="14"/>
        <v>57908.064358974363</v>
      </c>
      <c r="I64" s="524">
        <f t="shared" si="19"/>
        <v>-463264.51487179485</v>
      </c>
      <c r="J64" s="525">
        <f t="shared" si="20"/>
        <v>-154421.50495726496</v>
      </c>
      <c r="K64" s="526">
        <f t="shared" si="4"/>
        <v>16909154.792820513</v>
      </c>
      <c r="L64" s="525">
        <f>-K64*35%</f>
        <v>-5918204.1774871796</v>
      </c>
      <c r="M64" s="525">
        <f t="shared" si="11"/>
        <v>-20267.82252564095</v>
      </c>
      <c r="N64" s="529">
        <f t="shared" si="0"/>
        <v>-47913132.450615384</v>
      </c>
      <c r="O64" s="525">
        <f t="shared" si="2"/>
        <v>-16041981.529044872</v>
      </c>
      <c r="P64" s="529">
        <f t="shared" si="15"/>
        <v>867173.2637756411</v>
      </c>
      <c r="Q64" s="528"/>
      <c r="R64" s="528"/>
      <c r="S64" s="528"/>
      <c r="T64" s="528"/>
      <c r="U64" s="529">
        <f t="shared" si="12"/>
        <v>-5918204.1774871796</v>
      </c>
      <c r="V64" s="525">
        <f t="shared" si="13"/>
        <v>-3746169.1968226493</v>
      </c>
      <c r="W64" s="530">
        <f t="shared" si="9"/>
        <v>12744429.753348293</v>
      </c>
      <c r="X64" s="255">
        <f t="shared" si="10"/>
        <v>10990950.615333334</v>
      </c>
      <c r="Y64" s="136">
        <f t="shared" si="18"/>
        <v>16490598.950170942</v>
      </c>
      <c r="Z64" s="548"/>
    </row>
    <row r="65" spans="1:26" hidden="1" outlineLevel="1">
      <c r="A65" s="131"/>
      <c r="B65" s="2" t="s">
        <v>212</v>
      </c>
      <c r="C65" s="131"/>
      <c r="D65" s="113">
        <f>'LSR Prepaid Principal'!O63</f>
        <v>0</v>
      </c>
      <c r="E65" s="113"/>
      <c r="F65" s="113">
        <f t="shared" si="16"/>
        <v>17372419.307692308</v>
      </c>
      <c r="G65" s="525">
        <f t="shared" si="17"/>
        <v>16933369.416666668</v>
      </c>
      <c r="H65" s="113">
        <f t="shared" si="14"/>
        <v>57908.064358974363</v>
      </c>
      <c r="I65" s="524">
        <f>I64-H65</f>
        <v>-521172.57923076919</v>
      </c>
      <c r="J65" s="525">
        <f t="shared" si="20"/>
        <v>-195439.71721153846</v>
      </c>
      <c r="K65" s="526">
        <f>F65+I65</f>
        <v>16851246.728461538</v>
      </c>
      <c r="L65" s="525">
        <f t="shared" si="21"/>
        <v>-5897936.3549615378</v>
      </c>
      <c r="M65" s="525">
        <f t="shared" si="11"/>
        <v>-20267.822525641881</v>
      </c>
      <c r="N65" s="529">
        <f t="shared" si="0"/>
        <v>-53811068.805576921</v>
      </c>
      <c r="O65" s="525">
        <f t="shared" si="2"/>
        <v>-20280489.914719548</v>
      </c>
      <c r="P65" s="529">
        <f t="shared" si="15"/>
        <v>-3429243.1862580106</v>
      </c>
      <c r="Q65" s="528"/>
      <c r="R65" s="528"/>
      <c r="S65" s="528"/>
      <c r="T65" s="528"/>
      <c r="U65" s="529">
        <f t="shared" si="12"/>
        <v>-5897936.3549615378</v>
      </c>
      <c r="V65" s="525">
        <f t="shared" si="13"/>
        <v>-4238508.3856746797</v>
      </c>
      <c r="W65" s="530">
        <f>G65+J65+V65</f>
        <v>12499421.313780449</v>
      </c>
      <c r="X65" s="255">
        <f t="shared" si="10"/>
        <v>10953310.373500001</v>
      </c>
      <c r="Y65" s="136">
        <f>G65+J65</f>
        <v>16737929.699455129</v>
      </c>
      <c r="Z65" s="548"/>
    </row>
    <row r="66" spans="1:26" hidden="1" outlineLevel="1">
      <c r="A66" s="131"/>
      <c r="B66" s="2" t="s">
        <v>213</v>
      </c>
      <c r="C66" s="131"/>
      <c r="D66" s="113">
        <f>'LSR Prepaid Principal'!O64</f>
        <v>0</v>
      </c>
      <c r="E66" s="113"/>
      <c r="F66" s="113">
        <f t="shared" si="16"/>
        <v>17372419.307692308</v>
      </c>
      <c r="G66" s="525">
        <f t="shared" si="17"/>
        <v>17148147.865384616</v>
      </c>
      <c r="H66" s="113">
        <f t="shared" si="14"/>
        <v>57908.064358974363</v>
      </c>
      <c r="I66" s="524">
        <f t="shared" si="19"/>
        <v>-579080.64358974353</v>
      </c>
      <c r="J66" s="525">
        <f t="shared" si="20"/>
        <v>-241283.60149572647</v>
      </c>
      <c r="K66" s="526">
        <f t="shared" si="4"/>
        <v>16793338.664102565</v>
      </c>
      <c r="L66" s="525">
        <f>-K66*35%</f>
        <v>-5877668.5324358977</v>
      </c>
      <c r="M66" s="525">
        <f t="shared" si="11"/>
        <v>-20267.822525640018</v>
      </c>
      <c r="N66" s="529">
        <f t="shared" si="0"/>
        <v>-59688737.338012815</v>
      </c>
      <c r="O66" s="525">
        <f t="shared" si="2"/>
        <v>-25009648.504035786</v>
      </c>
      <c r="P66" s="529">
        <f t="shared" si="15"/>
        <v>-8216309.8399332203</v>
      </c>
      <c r="Q66" s="528"/>
      <c r="R66" s="528"/>
      <c r="S66" s="528"/>
      <c r="T66" s="528"/>
      <c r="U66" s="529">
        <f t="shared" si="12"/>
        <v>-5877668.5324358977</v>
      </c>
      <c r="V66" s="525">
        <f t="shared" si="13"/>
        <v>-4729158.5893162386</v>
      </c>
      <c r="W66" s="530">
        <f t="shared" si="9"/>
        <v>12177705.67457265</v>
      </c>
      <c r="X66" s="255">
        <f t="shared" si="10"/>
        <v>10915670.131666668</v>
      </c>
      <c r="Y66" s="136">
        <f t="shared" si="18"/>
        <v>16906864.263888888</v>
      </c>
      <c r="Z66" s="548"/>
    </row>
    <row r="67" spans="1:26" hidden="1" outlineLevel="1">
      <c r="A67" s="131"/>
      <c r="B67" s="2" t="s">
        <v>214</v>
      </c>
      <c r="C67" s="131"/>
      <c r="D67" s="113">
        <f>'LSR Prepaid Principal'!O65</f>
        <v>0</v>
      </c>
      <c r="E67" s="113"/>
      <c r="F67" s="113">
        <f t="shared" si="16"/>
        <v>17372419.307692308</v>
      </c>
      <c r="G67" s="525">
        <f t="shared" si="17"/>
        <v>17289355.801282052</v>
      </c>
      <c r="H67" s="113">
        <f t="shared" si="14"/>
        <v>57908.064358974363</v>
      </c>
      <c r="I67" s="524">
        <f t="shared" si="19"/>
        <v>-636988.70794871787</v>
      </c>
      <c r="J67" s="525">
        <f t="shared" si="20"/>
        <v>-291953.15780982905</v>
      </c>
      <c r="K67" s="526">
        <f t="shared" si="4"/>
        <v>16735430.59974359</v>
      </c>
      <c r="L67" s="525">
        <f t="shared" si="21"/>
        <v>-5857400.7099102559</v>
      </c>
      <c r="M67" s="525">
        <f t="shared" si="11"/>
        <v>-20267.822525641881</v>
      </c>
      <c r="N67" s="529">
        <f t="shared" si="0"/>
        <v>-65546138.047923073</v>
      </c>
      <c r="O67" s="525">
        <f t="shared" si="2"/>
        <v>-30227768.311783116</v>
      </c>
      <c r="P67" s="529">
        <f t="shared" si="15"/>
        <v>-13492337.712039527</v>
      </c>
      <c r="Q67" s="528"/>
      <c r="R67" s="528"/>
      <c r="S67" s="528"/>
      <c r="T67" s="528"/>
      <c r="U67" s="529">
        <f t="shared" si="12"/>
        <v>-5857400.7099102559</v>
      </c>
      <c r="V67" s="525">
        <f t="shared" si="13"/>
        <v>-5218119.8077473287</v>
      </c>
      <c r="W67" s="530">
        <f t="shared" si="9"/>
        <v>11779282.835724896</v>
      </c>
      <c r="X67" s="255">
        <f t="shared" si="10"/>
        <v>10878029.889833335</v>
      </c>
      <c r="Y67" s="136">
        <f t="shared" si="18"/>
        <v>16997402.643472224</v>
      </c>
      <c r="Z67" s="548"/>
    </row>
    <row r="68" spans="1:26" hidden="1" outlineLevel="1">
      <c r="A68" s="131"/>
      <c r="B68" s="132" t="s">
        <v>215</v>
      </c>
      <c r="C68" s="131"/>
      <c r="D68" s="113">
        <f>'LSR Prepaid Principal'!O66</f>
        <v>0</v>
      </c>
      <c r="E68" s="113"/>
      <c r="F68" s="113">
        <f t="shared" si="16"/>
        <v>17372419.307692308</v>
      </c>
      <c r="G68" s="525">
        <f t="shared" si="17"/>
        <v>17356993.22435898</v>
      </c>
      <c r="H68" s="113">
        <f t="shared" si="14"/>
        <v>57908.064358974363</v>
      </c>
      <c r="I68" s="524">
        <f t="shared" si="19"/>
        <v>-694896.77230769221</v>
      </c>
      <c r="J68" s="525">
        <f t="shared" si="20"/>
        <v>-347448.38615384611</v>
      </c>
      <c r="K68" s="526">
        <f t="shared" si="4"/>
        <v>16677522.535384616</v>
      </c>
      <c r="L68" s="525">
        <f t="shared" si="21"/>
        <v>-5837132.8873846149</v>
      </c>
      <c r="M68" s="525">
        <f t="shared" si="11"/>
        <v>-20267.82252564095</v>
      </c>
      <c r="N68" s="529">
        <f t="shared" si="0"/>
        <v>-71383270.935307682</v>
      </c>
      <c r="O68" s="525">
        <f t="shared" si="2"/>
        <v>-35933160.352751069</v>
      </c>
      <c r="P68" s="529">
        <f t="shared" si="15"/>
        <v>-19255637.817366451</v>
      </c>
      <c r="Q68" s="528"/>
      <c r="R68" s="528"/>
      <c r="S68" s="528"/>
      <c r="T68" s="528"/>
      <c r="U68" s="529">
        <f t="shared" si="12"/>
        <v>-5837132.8873846149</v>
      </c>
      <c r="V68" s="525">
        <f t="shared" si="13"/>
        <v>-5705392.0409679487</v>
      </c>
      <c r="W68" s="530">
        <f t="shared" si="9"/>
        <v>11304152.797237184</v>
      </c>
      <c r="X68" s="255">
        <f>F68+I68+U68</f>
        <v>10840389.648000002</v>
      </c>
      <c r="Y68" s="136">
        <f t="shared" si="18"/>
        <v>17009544.838205133</v>
      </c>
      <c r="Z68" s="548"/>
    </row>
    <row r="69" spans="1:26" hidden="1" outlineLevel="1">
      <c r="A69" s="131"/>
      <c r="B69" s="2" t="s">
        <v>216</v>
      </c>
      <c r="C69" s="131"/>
      <c r="D69" s="113">
        <f>'LSR Prepaid Principal'!O67</f>
        <v>0</v>
      </c>
      <c r="E69" s="113"/>
      <c r="F69" s="113">
        <f t="shared" si="16"/>
        <v>17372419.307692308</v>
      </c>
      <c r="G69" s="525">
        <f t="shared" si="17"/>
        <v>17372419.307692312</v>
      </c>
      <c r="H69" s="113">
        <f t="shared" si="14"/>
        <v>57908.064358974363</v>
      </c>
      <c r="I69" s="524">
        <f t="shared" si="19"/>
        <v>-752804.83666666655</v>
      </c>
      <c r="J69" s="525">
        <f t="shared" si="20"/>
        <v>-405356.45051282045</v>
      </c>
      <c r="K69" s="526">
        <f t="shared" si="4"/>
        <v>16619614.471025642</v>
      </c>
      <c r="L69" s="525">
        <f t="shared" si="21"/>
        <v>-5816865.064858974</v>
      </c>
      <c r="M69" s="525">
        <f t="shared" si="11"/>
        <v>-20267.82252564095</v>
      </c>
      <c r="N69" s="529">
        <f t="shared" si="0"/>
        <v>-77200136.000166655</v>
      </c>
      <c r="O69" s="525">
        <f t="shared" si="2"/>
        <v>-41871632.352763891</v>
      </c>
      <c r="P69" s="529">
        <f t="shared" si="15"/>
        <v>-25252017.881738249</v>
      </c>
      <c r="Q69" s="528"/>
      <c r="R69" s="528"/>
      <c r="S69" s="528"/>
      <c r="T69" s="528"/>
      <c r="U69" s="529">
        <f t="shared" si="12"/>
        <v>-5816865.064858974</v>
      </c>
      <c r="V69" s="525">
        <f t="shared" si="13"/>
        <v>-5938472.0000128197</v>
      </c>
      <c r="W69" s="530">
        <f t="shared" si="9"/>
        <v>11028590.857166674</v>
      </c>
      <c r="X69" s="255">
        <f t="shared" si="10"/>
        <v>10802749.406166669</v>
      </c>
      <c r="Y69" s="136">
        <f>G69+J69</f>
        <v>16967062.857179493</v>
      </c>
      <c r="Z69" s="548"/>
    </row>
    <row r="70" spans="1:26" hidden="1" outlineLevel="1">
      <c r="A70" s="131"/>
      <c r="B70" s="2" t="s">
        <v>217</v>
      </c>
      <c r="C70" s="131"/>
      <c r="D70" s="113"/>
      <c r="E70" s="113"/>
      <c r="F70" s="113">
        <f t="shared" si="16"/>
        <v>17372419.307692308</v>
      </c>
      <c r="G70" s="525">
        <f t="shared" si="17"/>
        <v>17372419.307692312</v>
      </c>
      <c r="H70" s="113">
        <f t="shared" si="14"/>
        <v>57908.064358974363</v>
      </c>
      <c r="I70" s="524">
        <f t="shared" si="19"/>
        <v>-810712.90102564089</v>
      </c>
      <c r="J70" s="525">
        <f t="shared" si="20"/>
        <v>-463264.51487179479</v>
      </c>
      <c r="K70" s="526">
        <f>F70+I70</f>
        <v>16561706.406666666</v>
      </c>
      <c r="L70" s="525">
        <f t="shared" si="21"/>
        <v>-5796597.242333333</v>
      </c>
      <c r="M70" s="525">
        <f t="shared" si="11"/>
        <v>-20267.82252564095</v>
      </c>
      <c r="N70" s="529">
        <f t="shared" si="0"/>
        <v>-82996733.242499992</v>
      </c>
      <c r="O70" s="525">
        <f t="shared" si="2"/>
        <v>-47789836.530251063</v>
      </c>
      <c r="P70" s="529">
        <f t="shared" si="15"/>
        <v>-31228130.123584397</v>
      </c>
      <c r="Q70" s="528"/>
      <c r="R70" s="528"/>
      <c r="S70" s="528"/>
      <c r="T70" s="528"/>
      <c r="U70" s="529">
        <f t="shared" si="12"/>
        <v>-5796597.242333333</v>
      </c>
      <c r="V70" s="525">
        <f t="shared" si="13"/>
        <v>-5918204.1774871796</v>
      </c>
      <c r="W70" s="530">
        <f t="shared" si="9"/>
        <v>10990950.615333337</v>
      </c>
      <c r="X70" s="255">
        <f t="shared" si="10"/>
        <v>10765109.164333332</v>
      </c>
      <c r="Y70" s="136">
        <f t="shared" si="18"/>
        <v>16909154.792820517</v>
      </c>
      <c r="Z70" s="548"/>
    </row>
    <row r="71" spans="1:26" hidden="1" outlineLevel="1">
      <c r="A71" s="131"/>
      <c r="B71" s="2" t="s">
        <v>218</v>
      </c>
      <c r="C71" s="131"/>
      <c r="D71" s="113"/>
      <c r="E71" s="113"/>
      <c r="F71" s="113">
        <f t="shared" si="16"/>
        <v>17372419.307692308</v>
      </c>
      <c r="G71" s="525">
        <f t="shared" si="17"/>
        <v>17372419.307692312</v>
      </c>
      <c r="H71" s="113">
        <f t="shared" si="14"/>
        <v>57908.064358974363</v>
      </c>
      <c r="I71" s="524">
        <f t="shared" si="19"/>
        <v>-868620.96538461524</v>
      </c>
      <c r="J71" s="525">
        <f t="shared" si="20"/>
        <v>-521172.57923076913</v>
      </c>
      <c r="K71" s="526">
        <f t="shared" si="4"/>
        <v>16503798.342307692</v>
      </c>
      <c r="L71" s="525">
        <f t="shared" si="21"/>
        <v>-5776329.4198076921</v>
      </c>
      <c r="M71" s="525">
        <f t="shared" si="11"/>
        <v>-20267.82252564095</v>
      </c>
      <c r="N71" s="529">
        <f t="shared" si="0"/>
        <v>-88773062.66230768</v>
      </c>
      <c r="O71" s="525">
        <f t="shared" si="2"/>
        <v>-53687772.8852126</v>
      </c>
      <c r="P71" s="529">
        <f t="shared" si="15"/>
        <v>-37183974.542904906</v>
      </c>
      <c r="Q71" s="528"/>
      <c r="R71" s="528"/>
      <c r="S71" s="528"/>
      <c r="T71" s="528"/>
      <c r="U71" s="529">
        <f t="shared" si="12"/>
        <v>-5776329.4198076921</v>
      </c>
      <c r="V71" s="525">
        <f t="shared" si="13"/>
        <v>-5897936.3549615378</v>
      </c>
      <c r="W71" s="530">
        <f t="shared" si="9"/>
        <v>10953310.373500004</v>
      </c>
      <c r="X71" s="255">
        <f t="shared" si="10"/>
        <v>10727468.922499999</v>
      </c>
      <c r="Y71" s="136">
        <f t="shared" si="18"/>
        <v>16851246.728461541</v>
      </c>
      <c r="Z71" s="548"/>
    </row>
    <row r="72" spans="1:26" hidden="1" outlineLevel="1">
      <c r="A72" s="131"/>
      <c r="B72" s="2" t="s">
        <v>219</v>
      </c>
      <c r="C72" s="131"/>
      <c r="D72" s="113"/>
      <c r="E72" s="113"/>
      <c r="F72" s="113">
        <f t="shared" si="16"/>
        <v>17372419.307692308</v>
      </c>
      <c r="G72" s="525">
        <f t="shared" si="17"/>
        <v>17372419.307692312</v>
      </c>
      <c r="H72" s="113">
        <f t="shared" si="14"/>
        <v>57908.064358974363</v>
      </c>
      <c r="I72" s="524">
        <f t="shared" si="19"/>
        <v>-926529.02974358958</v>
      </c>
      <c r="J72" s="525">
        <f t="shared" si="20"/>
        <v>-579080.64358974353</v>
      </c>
      <c r="K72" s="526">
        <f t="shared" si="4"/>
        <v>16445890.277948719</v>
      </c>
      <c r="L72" s="525">
        <f t="shared" si="21"/>
        <v>-5756061.5972820511</v>
      </c>
      <c r="M72" s="525">
        <f t="shared" si="11"/>
        <v>-20267.82252564095</v>
      </c>
      <c r="N72" s="529">
        <f t="shared" si="0"/>
        <v>-94529124.259589732</v>
      </c>
      <c r="O72" s="525">
        <f t="shared" si="2"/>
        <v>-59565441.417648494</v>
      </c>
      <c r="P72" s="529">
        <f t="shared" si="15"/>
        <v>-43119551.139699772</v>
      </c>
      <c r="Q72" s="528"/>
      <c r="R72" s="528"/>
      <c r="S72" s="528"/>
      <c r="T72" s="528"/>
      <c r="U72" s="529">
        <f t="shared" si="12"/>
        <v>-5756061.5972820511</v>
      </c>
      <c r="V72" s="525">
        <f t="shared" si="13"/>
        <v>-5877668.5324358977</v>
      </c>
      <c r="W72" s="530">
        <f t="shared" si="9"/>
        <v>10915670.131666671</v>
      </c>
      <c r="X72" s="255">
        <f t="shared" si="10"/>
        <v>10689828.680666666</v>
      </c>
      <c r="Y72" s="136">
        <f t="shared" si="18"/>
        <v>16793338.664102569</v>
      </c>
      <c r="Z72" s="548"/>
    </row>
    <row r="73" spans="1:26" hidden="1" outlineLevel="1">
      <c r="A73" s="131"/>
      <c r="B73" s="2" t="s">
        <v>220</v>
      </c>
      <c r="C73" s="131"/>
      <c r="D73" s="113"/>
      <c r="E73" s="113"/>
      <c r="F73" s="113">
        <f t="shared" si="16"/>
        <v>17372419.307692308</v>
      </c>
      <c r="G73" s="525">
        <f>(F61+F73+SUM(F62:F72)*2)/24</f>
        <v>17372419.307692312</v>
      </c>
      <c r="H73" s="113">
        <f t="shared" si="14"/>
        <v>57908.064358974363</v>
      </c>
      <c r="I73" s="524">
        <f t="shared" si="19"/>
        <v>-984437.09410256392</v>
      </c>
      <c r="J73" s="525">
        <f t="shared" si="20"/>
        <v>-636988.70794871787</v>
      </c>
      <c r="K73" s="526">
        <f t="shared" si="4"/>
        <v>16387982.213589745</v>
      </c>
      <c r="L73" s="525">
        <f t="shared" si="21"/>
        <v>-5735793.7747564102</v>
      </c>
      <c r="M73" s="525">
        <f t="shared" si="11"/>
        <v>-20267.82252564095</v>
      </c>
      <c r="N73" s="529">
        <f t="shared" si="0"/>
        <v>-100264918.03434615</v>
      </c>
      <c r="O73" s="525">
        <f t="shared" si="2"/>
        <v>-65422842.12755876</v>
      </c>
      <c r="P73" s="529">
        <f t="shared" si="15"/>
        <v>-49034859.913969018</v>
      </c>
      <c r="Q73" s="528"/>
      <c r="R73" s="528"/>
      <c r="S73" s="528"/>
      <c r="T73" s="528"/>
      <c r="U73" s="529">
        <f t="shared" si="12"/>
        <v>-5735793.7747564102</v>
      </c>
      <c r="V73" s="525">
        <f t="shared" si="13"/>
        <v>-5857400.7099102559</v>
      </c>
      <c r="W73" s="530">
        <f t="shared" si="9"/>
        <v>10878029.889833339</v>
      </c>
      <c r="X73" s="255">
        <f t="shared" si="10"/>
        <v>10652188.438833334</v>
      </c>
      <c r="Y73" s="136">
        <f t="shared" si="18"/>
        <v>16735430.599743593</v>
      </c>
      <c r="Z73" s="548"/>
    </row>
    <row r="74" spans="1:26" hidden="1" outlineLevel="1">
      <c r="A74" s="131"/>
      <c r="B74" s="2" t="s">
        <v>221</v>
      </c>
      <c r="C74" s="131"/>
      <c r="D74" s="113"/>
      <c r="E74" s="526"/>
      <c r="F74" s="113">
        <f>F73+E74</f>
        <v>17372419.307692308</v>
      </c>
      <c r="G74" s="525">
        <f>(F62+F74+SUM(F63:F73)*2)/24</f>
        <v>17372419.307692312</v>
      </c>
      <c r="H74" s="113">
        <f>H73</f>
        <v>57908.064358974363</v>
      </c>
      <c r="I74" s="524">
        <f>I73-H74</f>
        <v>-1042345.1584615383</v>
      </c>
      <c r="J74" s="525">
        <f t="shared" si="20"/>
        <v>-694896.77230769221</v>
      </c>
      <c r="K74" s="526">
        <f>F74+I74</f>
        <v>16330074.149230769</v>
      </c>
      <c r="L74" s="525">
        <f t="shared" si="21"/>
        <v>-5715525.9522307692</v>
      </c>
      <c r="M74" s="525">
        <f>-20268</f>
        <v>-20268</v>
      </c>
      <c r="N74" s="529">
        <f t="shared" si="0"/>
        <v>-105980443.98657691</v>
      </c>
      <c r="O74" s="525">
        <f t="shared" si="2"/>
        <v>-71259975.014943361</v>
      </c>
      <c r="P74" s="529">
        <f t="shared" si="15"/>
        <v>-54929900.865712591</v>
      </c>
      <c r="Q74" s="528"/>
      <c r="R74" s="528"/>
      <c r="S74" s="528"/>
      <c r="T74" s="528"/>
      <c r="U74" s="529">
        <f t="shared" si="12"/>
        <v>-5715525.7747564102</v>
      </c>
      <c r="V74" s="525">
        <f t="shared" si="13"/>
        <v>-5837132.8799898503</v>
      </c>
      <c r="W74" s="530">
        <f t="shared" si="9"/>
        <v>10840389.65539477</v>
      </c>
      <c r="X74" s="255">
        <f t="shared" si="10"/>
        <v>10614548.374474358</v>
      </c>
      <c r="Y74" s="136">
        <f t="shared" si="18"/>
        <v>16677522.53538462</v>
      </c>
      <c r="Z74" s="548"/>
    </row>
    <row r="75" spans="1:26" hidden="1" outlineLevel="1">
      <c r="A75" s="131"/>
      <c r="B75" s="2" t="s">
        <v>222</v>
      </c>
      <c r="C75" s="131"/>
      <c r="D75" s="113"/>
      <c r="E75" s="526">
        <v>-96421</v>
      </c>
      <c r="F75" s="113">
        <f>F74+E75</f>
        <v>17275998.307692308</v>
      </c>
      <c r="G75" s="525">
        <f t="shared" si="17"/>
        <v>17368401.766025644</v>
      </c>
      <c r="H75" s="113">
        <v>57586</v>
      </c>
      <c r="I75" s="524">
        <f>I74-H75</f>
        <v>-1099931.1584615381</v>
      </c>
      <c r="J75" s="525">
        <f>(I63+I75+SUM(I64:I74)*2)/24</f>
        <v>-752791.4173183759</v>
      </c>
      <c r="K75" s="526">
        <f>F75+I75</f>
        <v>16176067.149230771</v>
      </c>
      <c r="L75" s="525">
        <f t="shared" si="21"/>
        <v>-5661623.502230769</v>
      </c>
      <c r="M75" s="525">
        <f>-53902.45</f>
        <v>-53902.45</v>
      </c>
      <c r="N75" s="529">
        <f t="shared" ref="N75:N80" si="22">N74+L75</f>
        <v>-111642067.48880768</v>
      </c>
      <c r="O75" s="525">
        <f t="shared" si="2"/>
        <v>-77075438.636990905</v>
      </c>
      <c r="P75" s="529">
        <f t="shared" si="15"/>
        <v>-60899371.487760134</v>
      </c>
      <c r="Q75" s="528"/>
      <c r="R75" s="528"/>
      <c r="S75" s="528"/>
      <c r="T75" s="528"/>
      <c r="U75" s="529">
        <f t="shared" si="12"/>
        <v>-5661623.32475641</v>
      </c>
      <c r="V75" s="525">
        <f t="shared" si="13"/>
        <v>-5815463.599863247</v>
      </c>
      <c r="W75" s="530">
        <f t="shared" si="9"/>
        <v>10800146.74884402</v>
      </c>
      <c r="X75" s="255">
        <f>F75+I75+U75</f>
        <v>10514443.824474361</v>
      </c>
      <c r="Y75" s="136">
        <f>G75+J75</f>
        <v>16615610.348707268</v>
      </c>
      <c r="Z75" s="548"/>
    </row>
    <row r="76" spans="1:26" hidden="1" outlineLevel="1">
      <c r="A76" s="131"/>
      <c r="B76" s="2" t="s">
        <v>223</v>
      </c>
      <c r="C76" s="131"/>
      <c r="D76" s="113"/>
      <c r="E76" s="113"/>
      <c r="F76" s="113">
        <f>F75+E76</f>
        <v>17275998.307692308</v>
      </c>
      <c r="G76" s="525">
        <f t="shared" si="17"/>
        <v>17360366.682692312</v>
      </c>
      <c r="H76" s="113">
        <v>57586</v>
      </c>
      <c r="I76" s="524">
        <f t="shared" si="19"/>
        <v>-1157517.1584615381</v>
      </c>
      <c r="J76" s="525">
        <f t="shared" si="20"/>
        <v>-810659.2236324785</v>
      </c>
      <c r="K76" s="526">
        <f t="shared" si="4"/>
        <v>16118481.149230771</v>
      </c>
      <c r="L76" s="525">
        <f t="shared" si="21"/>
        <v>-5641468.4022307694</v>
      </c>
      <c r="M76" s="525">
        <f>-20155</f>
        <v>-20155</v>
      </c>
      <c r="N76" s="529">
        <f t="shared" si="22"/>
        <v>-117283535.89103845</v>
      </c>
      <c r="O76" s="525">
        <f t="shared" si="2"/>
        <v>-82867836.247661844</v>
      </c>
      <c r="P76" s="529">
        <f t="shared" si="15"/>
        <v>-66749355.098431073</v>
      </c>
      <c r="Q76" s="528"/>
      <c r="R76" s="528"/>
      <c r="S76" s="528"/>
      <c r="T76" s="528"/>
      <c r="U76" s="529">
        <f t="shared" si="12"/>
        <v>-5641468.32475641</v>
      </c>
      <c r="V76" s="525">
        <f>(U64+U76+SUM(U65:U75)*2)/24</f>
        <v>-5792397.5778637817</v>
      </c>
      <c r="W76" s="530">
        <f>G76+J76+V76</f>
        <v>10757309.881196052</v>
      </c>
      <c r="X76" s="255">
        <f t="shared" si="10"/>
        <v>10477012.824474361</v>
      </c>
      <c r="Y76" s="136">
        <f t="shared" si="18"/>
        <v>16549707.459059833</v>
      </c>
      <c r="Z76" s="548"/>
    </row>
    <row r="77" spans="1:26" hidden="1" outlineLevel="1">
      <c r="A77" s="131"/>
      <c r="B77" s="2" t="s">
        <v>224</v>
      </c>
      <c r="C77" s="131"/>
      <c r="D77" s="113"/>
      <c r="E77" s="113"/>
      <c r="F77" s="113">
        <f t="shared" si="16"/>
        <v>17275998.307692308</v>
      </c>
      <c r="G77" s="525">
        <f t="shared" si="17"/>
        <v>17352331.59935898</v>
      </c>
      <c r="H77" s="113">
        <f>57285-603</f>
        <v>56682</v>
      </c>
      <c r="I77" s="524">
        <f t="shared" si="19"/>
        <v>-1214199.1584615381</v>
      </c>
      <c r="J77" s="525">
        <f t="shared" si="20"/>
        <v>-868462.52458333306</v>
      </c>
      <c r="K77" s="526">
        <f t="shared" si="4"/>
        <v>16061799.149230771</v>
      </c>
      <c r="L77" s="525">
        <f t="shared" si="21"/>
        <v>-5621629.7022307692</v>
      </c>
      <c r="M77" s="525">
        <f t="shared" si="11"/>
        <v>-19838.700000000186</v>
      </c>
      <c r="N77" s="529">
        <f t="shared" si="22"/>
        <v>-122905165.59326921</v>
      </c>
      <c r="O77" s="525">
        <f t="shared" si="2"/>
        <v>-88637190.423833326</v>
      </c>
      <c r="P77" s="529">
        <f t="shared" si="15"/>
        <v>-72575391.274602562</v>
      </c>
      <c r="Q77" s="528"/>
      <c r="R77" s="528"/>
      <c r="S77" s="528"/>
      <c r="T77" s="528"/>
      <c r="U77" s="529">
        <f t="shared" si="12"/>
        <v>-5621629.6247564098</v>
      </c>
      <c r="V77" s="525">
        <f t="shared" si="13"/>
        <v>-5769354.1369081186</v>
      </c>
      <c r="W77" s="530">
        <f t="shared" si="9"/>
        <v>10714514.93786753</v>
      </c>
      <c r="X77" s="255">
        <f t="shared" si="10"/>
        <v>10440169.52447436</v>
      </c>
      <c r="Y77" s="136">
        <f t="shared" si="18"/>
        <v>16483869.074775647</v>
      </c>
      <c r="Z77" s="548"/>
    </row>
    <row r="78" spans="1:26" hidden="1" outlineLevel="1">
      <c r="A78" s="131"/>
      <c r="B78" s="2" t="s">
        <v>225</v>
      </c>
      <c r="C78" s="131"/>
      <c r="D78" s="113"/>
      <c r="E78" s="113"/>
      <c r="F78" s="113">
        <f t="shared" si="16"/>
        <v>17275998.307692308</v>
      </c>
      <c r="G78" s="525">
        <f>(F66+F78+SUM(F67:F77)*2)/24</f>
        <v>17344296.516025644</v>
      </c>
      <c r="H78" s="113">
        <f>57285</f>
        <v>57285</v>
      </c>
      <c r="I78" s="524">
        <f>I77-H78</f>
        <v>-1271484.1584615381</v>
      </c>
      <c r="J78" s="525">
        <f>(I66+I78+SUM(I67:I77)*2)/24</f>
        <v>-926188.77850427327</v>
      </c>
      <c r="K78" s="526">
        <f>F78+I78</f>
        <v>16004514.149230771</v>
      </c>
      <c r="L78" s="525">
        <f t="shared" si="21"/>
        <v>-5601579.9522307692</v>
      </c>
      <c r="M78" s="525">
        <f t="shared" si="11"/>
        <v>-20049.75</v>
      </c>
      <c r="N78" s="529">
        <f t="shared" si="22"/>
        <v>-128506745.54549998</v>
      </c>
      <c r="O78" s="525">
        <f t="shared" si="2"/>
        <v>-94383528.131965801</v>
      </c>
      <c r="P78" s="529">
        <f t="shared" si="15"/>
        <v>-78379013.982735038</v>
      </c>
      <c r="Q78" s="528"/>
      <c r="R78" s="528"/>
      <c r="S78" s="528"/>
      <c r="T78" s="528"/>
      <c r="U78" s="529">
        <f>U77-M78</f>
        <v>-5601579.8747564098</v>
      </c>
      <c r="V78" s="525">
        <f>(U66+U78+SUM(U67:U77)*2)/24</f>
        <v>-5746337.6624129275</v>
      </c>
      <c r="W78" s="530">
        <f t="shared" si="9"/>
        <v>10671770.075108442</v>
      </c>
      <c r="X78" s="255">
        <f t="shared" si="10"/>
        <v>10402934.27447436</v>
      </c>
      <c r="Y78" s="136">
        <f>G78+J78</f>
        <v>16418107.737521371</v>
      </c>
      <c r="Z78" s="548"/>
    </row>
    <row r="79" spans="1:26" hidden="1" outlineLevel="1">
      <c r="A79" s="131"/>
      <c r="B79" s="2" t="s">
        <v>226</v>
      </c>
      <c r="C79" s="131"/>
      <c r="D79" s="113"/>
      <c r="E79" s="113"/>
      <c r="F79" s="113">
        <f t="shared" si="16"/>
        <v>17275998.307692308</v>
      </c>
      <c r="G79" s="525">
        <f t="shared" si="17"/>
        <v>17336261.432692312</v>
      </c>
      <c r="H79" s="113">
        <f t="shared" ref="H79:H142" si="23">H78</f>
        <v>57285</v>
      </c>
      <c r="I79" s="524">
        <f t="shared" si="19"/>
        <v>-1328769.1584615381</v>
      </c>
      <c r="J79" s="525">
        <f t="shared" si="20"/>
        <v>-983863.11039529892</v>
      </c>
      <c r="K79" s="526">
        <f t="shared" si="4"/>
        <v>15947229.149230771</v>
      </c>
      <c r="L79" s="525">
        <f t="shared" si="21"/>
        <v>-5581530.2022307692</v>
      </c>
      <c r="M79" s="525">
        <f t="shared" si="11"/>
        <v>-20049.75</v>
      </c>
      <c r="N79" s="529">
        <f t="shared" si="22"/>
        <v>-134088275.74773075</v>
      </c>
      <c r="O79" s="525">
        <f t="shared" si="2"/>
        <v>-100106867.54476975</v>
      </c>
      <c r="P79" s="529">
        <f t="shared" si="15"/>
        <v>-84159638.395538986</v>
      </c>
      <c r="Q79" s="528"/>
      <c r="R79" s="528"/>
      <c r="S79" s="528"/>
      <c r="T79" s="528"/>
      <c r="U79" s="529">
        <f t="shared" si="12"/>
        <v>-5581530.1247564098</v>
      </c>
      <c r="V79" s="525">
        <f t="shared" si="13"/>
        <v>-5723339.3606282054</v>
      </c>
      <c r="W79" s="530">
        <f t="shared" si="9"/>
        <v>10629058.961668808</v>
      </c>
      <c r="X79" s="255">
        <f t="shared" si="10"/>
        <v>10365699.02447436</v>
      </c>
      <c r="Y79" s="136">
        <f t="shared" si="18"/>
        <v>16352398.322297012</v>
      </c>
      <c r="Z79" s="548"/>
    </row>
    <row r="80" spans="1:26" hidden="1" outlineLevel="1">
      <c r="A80" s="131"/>
      <c r="B80" s="2" t="s">
        <v>227</v>
      </c>
      <c r="C80" s="131"/>
      <c r="D80" s="113"/>
      <c r="E80" s="113"/>
      <c r="F80" s="113">
        <f t="shared" si="16"/>
        <v>17275998.307692308</v>
      </c>
      <c r="G80" s="525">
        <f t="shared" si="17"/>
        <v>17328226.34935898</v>
      </c>
      <c r="H80" s="113">
        <f t="shared" si="23"/>
        <v>57285</v>
      </c>
      <c r="I80" s="524">
        <f t="shared" si="19"/>
        <v>-1386054.1584615381</v>
      </c>
      <c r="J80" s="525">
        <f t="shared" si="20"/>
        <v>-1041485.5202564099</v>
      </c>
      <c r="K80" s="526">
        <f t="shared" si="4"/>
        <v>15889944.149230771</v>
      </c>
      <c r="L80" s="525">
        <f>-K80*35%</f>
        <v>-5561480.4522307692</v>
      </c>
      <c r="M80" s="525">
        <f t="shared" si="11"/>
        <v>-20049.75</v>
      </c>
      <c r="N80" s="529">
        <f t="shared" si="22"/>
        <v>-139649756.19996151</v>
      </c>
      <c r="O80" s="525">
        <f t="shared" si="2"/>
        <v>-105807226.83495565</v>
      </c>
      <c r="P80" s="529">
        <f t="shared" si="15"/>
        <v>-89917282.685724884</v>
      </c>
      <c r="Q80" s="528"/>
      <c r="R80" s="528"/>
      <c r="S80" s="528"/>
      <c r="T80" s="528"/>
      <c r="U80" s="529">
        <f t="shared" si="12"/>
        <v>-5561480.3747564098</v>
      </c>
      <c r="V80" s="525">
        <f t="shared" si="13"/>
        <v>-5700359.2315539531</v>
      </c>
      <c r="W80" s="530">
        <f t="shared" si="9"/>
        <v>10586381.597548617</v>
      </c>
      <c r="X80" s="255">
        <f t="shared" si="10"/>
        <v>10328463.77447436</v>
      </c>
      <c r="Y80" s="136">
        <f t="shared" si="18"/>
        <v>16286740.82910257</v>
      </c>
      <c r="Z80" s="548"/>
    </row>
    <row r="81" spans="1:26" hidden="1" outlineLevel="1">
      <c r="A81" s="131"/>
      <c r="B81" s="2" t="s">
        <v>228</v>
      </c>
      <c r="C81" s="131"/>
      <c r="D81" s="113"/>
      <c r="E81" s="113"/>
      <c r="F81" s="113">
        <f t="shared" si="16"/>
        <v>17275998.307692308</v>
      </c>
      <c r="G81" s="525">
        <f t="shared" si="17"/>
        <v>17320191.266025644</v>
      </c>
      <c r="H81" s="113">
        <f t="shared" si="23"/>
        <v>57285</v>
      </c>
      <c r="I81" s="524">
        <f t="shared" si="19"/>
        <v>-1443339.1584615381</v>
      </c>
      <c r="J81" s="525">
        <f t="shared" si="20"/>
        <v>-1099056.0080876064</v>
      </c>
      <c r="K81" s="526">
        <f>F81+I81</f>
        <v>15832659.149230771</v>
      </c>
      <c r="L81" s="525">
        <f>-K81*35%</f>
        <v>-5541430.7022307692</v>
      </c>
      <c r="M81" s="525">
        <f t="shared" si="11"/>
        <v>-20049.75</v>
      </c>
      <c r="N81" s="529"/>
      <c r="O81" s="525">
        <f t="shared" si="2"/>
        <v>-105434991.38764262</v>
      </c>
      <c r="P81" s="529">
        <f t="shared" si="15"/>
        <v>-89602332.238411844</v>
      </c>
      <c r="Q81" s="528"/>
      <c r="R81" s="528"/>
      <c r="S81" s="528"/>
      <c r="T81" s="528"/>
      <c r="U81" s="529">
        <f t="shared" si="12"/>
        <v>-5541430.6247564098</v>
      </c>
      <c r="V81" s="525">
        <f t="shared" si="13"/>
        <v>-5677397.2751901718</v>
      </c>
      <c r="W81" s="530">
        <f t="shared" si="9"/>
        <v>10543737.982747864</v>
      </c>
      <c r="X81" s="255">
        <f t="shared" si="10"/>
        <v>10291228.52447436</v>
      </c>
      <c r="Y81" s="136">
        <f t="shared" si="18"/>
        <v>16221135.257938037</v>
      </c>
      <c r="Z81" s="548"/>
    </row>
    <row r="82" spans="1:26" hidden="1" outlineLevel="1">
      <c r="A82" s="131"/>
      <c r="B82" s="2" t="s">
        <v>229</v>
      </c>
      <c r="C82" s="131"/>
      <c r="D82" s="113"/>
      <c r="E82" s="113"/>
      <c r="F82" s="113">
        <f t="shared" si="16"/>
        <v>17275998.307692308</v>
      </c>
      <c r="G82" s="525">
        <f t="shared" si="17"/>
        <v>17312156.182692312</v>
      </c>
      <c r="H82" s="113">
        <f t="shared" si="23"/>
        <v>57285</v>
      </c>
      <c r="I82" s="524">
        <f t="shared" si="19"/>
        <v>-1500624.1584615381</v>
      </c>
      <c r="J82" s="525">
        <f t="shared" si="20"/>
        <v>-1156574.5738888883</v>
      </c>
      <c r="K82" s="526">
        <f t="shared" si="4"/>
        <v>15775374.149230771</v>
      </c>
      <c r="L82" s="525">
        <f t="shared" ref="L82:L145" si="24">-K82*35%</f>
        <v>-5521380.9522307692</v>
      </c>
      <c r="M82" s="525">
        <f t="shared" si="11"/>
        <v>-20049.75</v>
      </c>
      <c r="N82" s="529"/>
      <c r="O82" s="525">
        <f t="shared" si="2"/>
        <v>-98760121.835864827</v>
      </c>
      <c r="P82" s="529">
        <f t="shared" si="15"/>
        <v>-82984747.686634064</v>
      </c>
      <c r="Q82" s="528"/>
      <c r="R82" s="528"/>
      <c r="S82" s="528"/>
      <c r="T82" s="528"/>
      <c r="U82" s="529">
        <f t="shared" si="12"/>
        <v>-5521380.8747564098</v>
      </c>
      <c r="V82" s="525">
        <f t="shared" si="13"/>
        <v>-5654453.4915368594</v>
      </c>
      <c r="W82" s="530">
        <f t="shared" si="9"/>
        <v>10501128.117266564</v>
      </c>
      <c r="X82" s="255">
        <f t="shared" si="10"/>
        <v>10253993.27447436</v>
      </c>
      <c r="Y82" s="136">
        <f t="shared" si="18"/>
        <v>16155581.608803423</v>
      </c>
      <c r="Z82" s="548"/>
    </row>
    <row r="83" spans="1:26" hidden="1" outlineLevel="1">
      <c r="A83" s="131"/>
      <c r="B83" s="2" t="s">
        <v>230</v>
      </c>
      <c r="C83" s="131"/>
      <c r="D83" s="113"/>
      <c r="E83" s="113"/>
      <c r="F83" s="113">
        <f t="shared" si="16"/>
        <v>17275998.307692308</v>
      </c>
      <c r="G83" s="525">
        <f t="shared" si="17"/>
        <v>17304121.09935898</v>
      </c>
      <c r="H83" s="113">
        <f t="shared" si="23"/>
        <v>57285</v>
      </c>
      <c r="I83" s="524">
        <f t="shared" si="19"/>
        <v>-1557909.1584615381</v>
      </c>
      <c r="J83" s="525">
        <f t="shared" si="20"/>
        <v>-1214041.217660256</v>
      </c>
      <c r="K83" s="526">
        <f t="shared" si="4"/>
        <v>15718089.149230771</v>
      </c>
      <c r="L83" s="525">
        <f t="shared" si="24"/>
        <v>-5501331.2022307692</v>
      </c>
      <c r="M83" s="525">
        <f t="shared" si="11"/>
        <v>-20049.75</v>
      </c>
      <c r="N83" s="529"/>
      <c r="O83" s="525">
        <f t="shared" si="2"/>
        <v>-91603047.006497845</v>
      </c>
      <c r="P83" s="529">
        <f t="shared" si="15"/>
        <v>-75884957.857267082</v>
      </c>
      <c r="Q83" s="528"/>
      <c r="R83" s="528"/>
      <c r="S83" s="528"/>
      <c r="T83" s="528"/>
      <c r="U83" s="529">
        <f t="shared" si="12"/>
        <v>-5501331.1247564098</v>
      </c>
      <c r="V83" s="525">
        <f t="shared" si="13"/>
        <v>-5631527.8805940179</v>
      </c>
      <c r="W83" s="530">
        <f t="shared" si="9"/>
        <v>10458552.001104705</v>
      </c>
      <c r="X83" s="255">
        <f t="shared" si="10"/>
        <v>10216758.02447436</v>
      </c>
      <c r="Y83" s="136">
        <f t="shared" si="18"/>
        <v>16090079.881698724</v>
      </c>
      <c r="Z83" s="548"/>
    </row>
    <row r="84" spans="1:26" hidden="1" outlineLevel="1">
      <c r="A84" s="131"/>
      <c r="B84" s="2" t="s">
        <v>231</v>
      </c>
      <c r="C84" s="131"/>
      <c r="D84" s="113"/>
      <c r="E84" s="113"/>
      <c r="F84" s="113">
        <f t="shared" si="16"/>
        <v>17275998.307692308</v>
      </c>
      <c r="G84" s="525">
        <f t="shared" si="17"/>
        <v>17296086.016025644</v>
      </c>
      <c r="H84" s="113">
        <f t="shared" si="23"/>
        <v>57285</v>
      </c>
      <c r="I84" s="524">
        <f t="shared" si="19"/>
        <v>-1615194.1584615381</v>
      </c>
      <c r="J84" s="525">
        <f t="shared" si="20"/>
        <v>-1271455.939401709</v>
      </c>
      <c r="K84" s="526">
        <f t="shared" si="4"/>
        <v>15660804.149230771</v>
      </c>
      <c r="L84" s="525">
        <f t="shared" si="24"/>
        <v>-5481281.4522307692</v>
      </c>
      <c r="M84" s="525">
        <f t="shared" si="11"/>
        <v>-20049.75</v>
      </c>
      <c r="N84" s="529"/>
      <c r="O84" s="525">
        <f t="shared" si="2"/>
        <v>-83965455.884752125</v>
      </c>
      <c r="P84" s="529">
        <f t="shared" si="15"/>
        <v>-68304651.735521346</v>
      </c>
      <c r="Q84" s="528"/>
      <c r="R84" s="528"/>
      <c r="S84" s="528"/>
      <c r="T84" s="528"/>
      <c r="U84" s="529">
        <f t="shared" si="12"/>
        <v>-5481281.3747564098</v>
      </c>
      <c r="V84" s="525">
        <f t="shared" si="13"/>
        <v>-5608620.4423616454</v>
      </c>
      <c r="W84" s="530">
        <f t="shared" si="9"/>
        <v>10416009.63426229</v>
      </c>
      <c r="X84" s="255">
        <f t="shared" si="10"/>
        <v>10179522.77447436</v>
      </c>
      <c r="Y84" s="136">
        <f t="shared" si="18"/>
        <v>16024630.076623935</v>
      </c>
      <c r="Z84" s="548"/>
    </row>
    <row r="85" spans="1:26" hidden="1" outlineLevel="1">
      <c r="A85" s="131"/>
      <c r="B85" s="2" t="s">
        <v>232</v>
      </c>
      <c r="C85" s="131"/>
      <c r="D85" s="113"/>
      <c r="E85" s="113"/>
      <c r="F85" s="113">
        <f t="shared" si="16"/>
        <v>17275998.307692308</v>
      </c>
      <c r="G85" s="525">
        <f t="shared" si="17"/>
        <v>17288050.932692312</v>
      </c>
      <c r="H85" s="113">
        <f t="shared" si="23"/>
        <v>57285</v>
      </c>
      <c r="I85" s="524">
        <f t="shared" si="19"/>
        <v>-1672479.1584615381</v>
      </c>
      <c r="J85" s="525">
        <f t="shared" si="20"/>
        <v>-1328818.7391132473</v>
      </c>
      <c r="K85" s="526">
        <f t="shared" si="4"/>
        <v>15603519.149230771</v>
      </c>
      <c r="L85" s="525">
        <f t="shared" si="24"/>
        <v>-5461231.7022307692</v>
      </c>
      <c r="M85" s="525">
        <f t="shared" si="11"/>
        <v>-20049.75</v>
      </c>
      <c r="N85" s="529"/>
      <c r="O85" s="525">
        <f t="shared" si="2"/>
        <v>-75849037.455838129</v>
      </c>
      <c r="P85" s="529">
        <f t="shared" si="15"/>
        <v>-60245518.306607358</v>
      </c>
      <c r="Q85" s="528"/>
      <c r="R85" s="528"/>
      <c r="S85" s="528"/>
      <c r="T85" s="528"/>
      <c r="U85" s="529">
        <f t="shared" si="12"/>
        <v>-5461231.6247564098</v>
      </c>
      <c r="V85" s="525">
        <f t="shared" si="13"/>
        <v>-5585731.1768397437</v>
      </c>
      <c r="W85" s="530">
        <f t="shared" si="9"/>
        <v>10373501.01673932</v>
      </c>
      <c r="X85" s="255">
        <f t="shared" si="10"/>
        <v>10142287.52447436</v>
      </c>
      <c r="Y85" s="136">
        <f t="shared" si="18"/>
        <v>15959232.193579065</v>
      </c>
      <c r="Z85" s="548"/>
    </row>
    <row r="86" spans="1:26" hidden="1" outlineLevel="1">
      <c r="A86" s="131"/>
      <c r="B86" s="2" t="s">
        <v>233</v>
      </c>
      <c r="C86" s="131"/>
      <c r="D86" s="113"/>
      <c r="E86" s="113"/>
      <c r="F86" s="113">
        <f t="shared" si="16"/>
        <v>17275998.307692308</v>
      </c>
      <c r="G86" s="525">
        <f t="shared" si="17"/>
        <v>17280015.84935898</v>
      </c>
      <c r="H86" s="113">
        <f t="shared" si="23"/>
        <v>57285</v>
      </c>
      <c r="I86" s="524">
        <f t="shared" si="19"/>
        <v>-1729764.1584615381</v>
      </c>
      <c r="J86" s="525">
        <f t="shared" si="20"/>
        <v>-1386129.6167948712</v>
      </c>
      <c r="K86" s="526">
        <f t="shared" si="4"/>
        <v>15546234.149230771</v>
      </c>
      <c r="L86" s="525">
        <f t="shared" si="24"/>
        <v>-5441181.9522307692</v>
      </c>
      <c r="M86" s="525">
        <f t="shared" si="11"/>
        <v>-20049.75</v>
      </c>
      <c r="N86" s="529"/>
      <c r="O86" s="525">
        <f t="shared" si="2"/>
        <v>-67255480.704966351</v>
      </c>
      <c r="P86" s="529">
        <f t="shared" si="15"/>
        <v>-51709246.555735581</v>
      </c>
      <c r="Q86" s="528"/>
      <c r="R86" s="528"/>
      <c r="S86" s="528"/>
      <c r="T86" s="528"/>
      <c r="U86" s="529">
        <f t="shared" si="12"/>
        <v>-5441181.8747564098</v>
      </c>
      <c r="V86" s="525">
        <f t="shared" si="13"/>
        <v>-5562860.0914230766</v>
      </c>
      <c r="W86" s="530">
        <f t="shared" si="9"/>
        <v>10331026.141141031</v>
      </c>
      <c r="X86" s="255">
        <f t="shared" si="10"/>
        <v>10105052.27447436</v>
      </c>
      <c r="Y86" s="136">
        <f t="shared" si="18"/>
        <v>15893886.232564108</v>
      </c>
      <c r="Z86" s="548"/>
    </row>
    <row r="87" spans="1:26" hidden="1" outlineLevel="1">
      <c r="A87" s="131"/>
      <c r="B87" s="2" t="s">
        <v>234</v>
      </c>
      <c r="C87" s="131"/>
      <c r="D87" s="113"/>
      <c r="E87" s="113"/>
      <c r="F87" s="113">
        <f t="shared" si="16"/>
        <v>17275998.307692308</v>
      </c>
      <c r="G87" s="525">
        <f t="shared" si="17"/>
        <v>17275998.307692312</v>
      </c>
      <c r="H87" s="113">
        <f t="shared" si="23"/>
        <v>57285</v>
      </c>
      <c r="I87" s="524">
        <f t="shared" si="19"/>
        <v>-1787049.1584615381</v>
      </c>
      <c r="J87" s="525">
        <f t="shared" si="20"/>
        <v>-1443401.9917948712</v>
      </c>
      <c r="K87" s="526">
        <f t="shared" si="4"/>
        <v>15488949.149230771</v>
      </c>
      <c r="L87" s="525">
        <f t="shared" si="24"/>
        <v>-5421132.2022307692</v>
      </c>
      <c r="M87" s="525">
        <f t="shared" si="11"/>
        <v>-20049.75</v>
      </c>
      <c r="N87" s="529"/>
      <c r="O87" s="525">
        <f t="shared" si="2"/>
        <v>-58187876.06015864</v>
      </c>
      <c r="P87" s="529">
        <f t="shared" si="15"/>
        <v>-42698926.910927869</v>
      </c>
      <c r="Q87" s="528"/>
      <c r="R87" s="528"/>
      <c r="S87" s="528"/>
      <c r="T87" s="528"/>
      <c r="U87" s="529">
        <f t="shared" si="12"/>
        <v>-5421132.1247564098</v>
      </c>
      <c r="V87" s="525">
        <f t="shared" si="13"/>
        <v>-5541408.6289230771</v>
      </c>
      <c r="W87" s="530">
        <f t="shared" si="9"/>
        <v>10291187.686974363</v>
      </c>
      <c r="X87" s="255">
        <f t="shared" si="10"/>
        <v>10067817.02447436</v>
      </c>
      <c r="Y87" s="136">
        <f t="shared" si="18"/>
        <v>15832596.315897441</v>
      </c>
      <c r="Z87" s="548"/>
    </row>
    <row r="88" spans="1:26" hidden="1" outlineLevel="1">
      <c r="A88" s="131"/>
      <c r="B88" s="2" t="s">
        <v>235</v>
      </c>
      <c r="C88" s="131"/>
      <c r="D88" s="113"/>
      <c r="E88" s="113"/>
      <c r="F88" s="113">
        <f t="shared" si="16"/>
        <v>17275998.307692308</v>
      </c>
      <c r="G88" s="525">
        <f t="shared" si="17"/>
        <v>17275998.307692312</v>
      </c>
      <c r="H88" s="113">
        <f t="shared" si="23"/>
        <v>57285</v>
      </c>
      <c r="I88" s="524">
        <f t="shared" si="19"/>
        <v>-1844334.1584615381</v>
      </c>
      <c r="J88" s="525">
        <f t="shared" si="20"/>
        <v>-1500649.2834615379</v>
      </c>
      <c r="K88" s="526">
        <f t="shared" si="4"/>
        <v>15431664.149230771</v>
      </c>
      <c r="L88" s="525">
        <f t="shared" si="24"/>
        <v>-5401082.4522307692</v>
      </c>
      <c r="M88" s="525">
        <f t="shared" si="11"/>
        <v>-20049.75</v>
      </c>
      <c r="N88" s="529"/>
      <c r="O88" s="525">
        <f t="shared" ref="O88:O151" si="25">(N76+N88+SUM(N77:N87)*2)/24</f>
        <v>-48649309.25266505</v>
      </c>
      <c r="P88" s="529">
        <f t="shared" si="15"/>
        <v>-33217645.10343428</v>
      </c>
      <c r="Q88" s="528"/>
      <c r="R88" s="528"/>
      <c r="S88" s="528"/>
      <c r="T88" s="528"/>
      <c r="U88" s="529">
        <f t="shared" si="12"/>
        <v>-5401082.3747564098</v>
      </c>
      <c r="V88" s="525">
        <f t="shared" si="13"/>
        <v>-5521372.0810064105</v>
      </c>
      <c r="W88" s="530">
        <f t="shared" si="9"/>
        <v>10253976.943224363</v>
      </c>
      <c r="X88" s="255">
        <f t="shared" si="10"/>
        <v>10030581.77447436</v>
      </c>
      <c r="Y88" s="136">
        <f t="shared" si="18"/>
        <v>15775349.024230774</v>
      </c>
      <c r="Z88" s="548"/>
    </row>
    <row r="89" spans="1:26" hidden="1" outlineLevel="1">
      <c r="A89" s="131"/>
      <c r="B89" s="2" t="s">
        <v>236</v>
      </c>
      <c r="C89" s="131"/>
      <c r="D89" s="113"/>
      <c r="E89" s="113"/>
      <c r="F89" s="113">
        <f t="shared" si="16"/>
        <v>17275998.307692308</v>
      </c>
      <c r="G89" s="525">
        <f t="shared" si="17"/>
        <v>17275998.307692312</v>
      </c>
      <c r="H89" s="113">
        <f t="shared" si="23"/>
        <v>57285</v>
      </c>
      <c r="I89" s="524">
        <f t="shared" si="19"/>
        <v>-1901619.1584615381</v>
      </c>
      <c r="J89" s="525">
        <f t="shared" si="20"/>
        <v>-1557909.1584615379</v>
      </c>
      <c r="K89" s="526">
        <f t="shared" si="4"/>
        <v>15374379.149230771</v>
      </c>
      <c r="L89" s="525">
        <f t="shared" si="24"/>
        <v>-5381032.7022307692</v>
      </c>
      <c r="M89" s="525">
        <f t="shared" si="11"/>
        <v>-20049.75</v>
      </c>
      <c r="N89" s="529"/>
      <c r="O89" s="525">
        <f t="shared" si="25"/>
        <v>-38641446.690818898</v>
      </c>
      <c r="P89" s="529">
        <f t="shared" si="15"/>
        <v>-23267067.541588128</v>
      </c>
      <c r="Q89" s="528"/>
      <c r="R89" s="528"/>
      <c r="S89" s="528"/>
      <c r="T89" s="528"/>
      <c r="U89" s="529">
        <f t="shared" si="12"/>
        <v>-5381032.6247564098</v>
      </c>
      <c r="V89" s="525">
        <f t="shared" si="13"/>
        <v>-5501331.1247564098</v>
      </c>
      <c r="W89" s="530">
        <f t="shared" si="9"/>
        <v>10216758.024474364</v>
      </c>
      <c r="X89" s="255">
        <f t="shared" si="10"/>
        <v>9993346.52447436</v>
      </c>
      <c r="Y89" s="136">
        <f t="shared" si="18"/>
        <v>15718089.149230774</v>
      </c>
      <c r="Z89" s="548"/>
    </row>
    <row r="90" spans="1:26" hidden="1" outlineLevel="1">
      <c r="A90" s="131"/>
      <c r="B90" s="2" t="s">
        <v>237</v>
      </c>
      <c r="C90" s="131"/>
      <c r="D90" s="113"/>
      <c r="E90" s="113"/>
      <c r="F90" s="113">
        <f t="shared" si="16"/>
        <v>17275998.307692308</v>
      </c>
      <c r="G90" s="525">
        <f t="shared" si="17"/>
        <v>17275998.307692312</v>
      </c>
      <c r="H90" s="113">
        <f t="shared" si="23"/>
        <v>57285</v>
      </c>
      <c r="I90" s="524">
        <f t="shared" si="19"/>
        <v>-1958904.1584615381</v>
      </c>
      <c r="J90" s="525">
        <f t="shared" si="20"/>
        <v>-1615194.1584615379</v>
      </c>
      <c r="K90" s="526">
        <f t="shared" si="4"/>
        <v>15317094.149230771</v>
      </c>
      <c r="L90" s="525">
        <f t="shared" si="24"/>
        <v>-5360982.9522307692</v>
      </c>
      <c r="M90" s="525">
        <f t="shared" si="11"/>
        <v>-20049.75</v>
      </c>
      <c r="N90" s="529"/>
      <c r="O90" s="525">
        <f t="shared" si="25"/>
        <v>-28165950.393370192</v>
      </c>
      <c r="P90" s="529">
        <f t="shared" si="15"/>
        <v>-12848856.244139422</v>
      </c>
      <c r="Q90" s="528"/>
      <c r="R90" s="528"/>
      <c r="S90" s="528"/>
      <c r="T90" s="528"/>
      <c r="U90" s="529">
        <f t="shared" si="12"/>
        <v>-5360982.8747564098</v>
      </c>
      <c r="V90" s="525">
        <f t="shared" si="13"/>
        <v>-5481281.3747564098</v>
      </c>
      <c r="W90" s="530">
        <f t="shared" si="9"/>
        <v>10179522.774474364</v>
      </c>
      <c r="X90" s="255">
        <f t="shared" si="10"/>
        <v>9956111.27447436</v>
      </c>
      <c r="Y90" s="136">
        <f t="shared" si="18"/>
        <v>15660804.149230774</v>
      </c>
      <c r="Z90" s="548"/>
    </row>
    <row r="91" spans="1:26" hidden="1" outlineLevel="1">
      <c r="A91" s="131"/>
      <c r="B91" s="2" t="s">
        <v>238</v>
      </c>
      <c r="C91" s="131"/>
      <c r="D91" s="113"/>
      <c r="E91" s="113"/>
      <c r="F91" s="113">
        <f t="shared" si="16"/>
        <v>17275998.307692308</v>
      </c>
      <c r="G91" s="525">
        <f t="shared" si="17"/>
        <v>17275998.307692312</v>
      </c>
      <c r="H91" s="113">
        <f t="shared" si="23"/>
        <v>57285</v>
      </c>
      <c r="I91" s="524">
        <f t="shared" si="19"/>
        <v>-2016189.1584615381</v>
      </c>
      <c r="J91" s="525">
        <f t="shared" si="20"/>
        <v>-1672479.1584615379</v>
      </c>
      <c r="K91" s="526">
        <f t="shared" si="4"/>
        <v>15259809.149230771</v>
      </c>
      <c r="L91" s="525">
        <f t="shared" si="24"/>
        <v>-5340933.2022307692</v>
      </c>
      <c r="M91" s="525">
        <f t="shared" si="11"/>
        <v>-20049.75</v>
      </c>
      <c r="N91" s="529"/>
      <c r="O91" s="525">
        <f>(N79+N91+SUM(N80:N90)*2)/24</f>
        <v>-17224491.172818907</v>
      </c>
      <c r="P91" s="529">
        <f t="shared" si="15"/>
        <v>-1964682.0235881358</v>
      </c>
      <c r="Q91" s="528"/>
      <c r="R91" s="528"/>
      <c r="S91" s="528"/>
      <c r="T91" s="528"/>
      <c r="U91" s="529">
        <f t="shared" si="12"/>
        <v>-5340933.1247564098</v>
      </c>
      <c r="V91" s="525">
        <f t="shared" si="13"/>
        <v>-5461231.6247564098</v>
      </c>
      <c r="W91" s="530">
        <f t="shared" si="9"/>
        <v>10142287.524474364</v>
      </c>
      <c r="X91" s="255">
        <f t="shared" si="10"/>
        <v>9918876.02447436</v>
      </c>
      <c r="Y91" s="136">
        <f t="shared" si="18"/>
        <v>15603519.149230774</v>
      </c>
      <c r="Z91" s="548"/>
    </row>
    <row r="92" spans="1:26" hidden="1" outlineLevel="1">
      <c r="A92" s="131"/>
      <c r="B92" s="2" t="s">
        <v>239</v>
      </c>
      <c r="C92" s="131"/>
      <c r="D92" s="113"/>
      <c r="E92" s="113"/>
      <c r="F92" s="113">
        <f t="shared" si="16"/>
        <v>17275998.307692308</v>
      </c>
      <c r="G92" s="525">
        <f t="shared" si="17"/>
        <v>17275998.307692312</v>
      </c>
      <c r="H92" s="113">
        <f t="shared" si="23"/>
        <v>57285</v>
      </c>
      <c r="I92" s="524">
        <f t="shared" si="19"/>
        <v>-2073474.1584615381</v>
      </c>
      <c r="J92" s="525">
        <f t="shared" si="20"/>
        <v>-1729764.1584615379</v>
      </c>
      <c r="K92" s="526">
        <f t="shared" si="4"/>
        <v>15202524.149230771</v>
      </c>
      <c r="L92" s="525">
        <f t="shared" si="24"/>
        <v>-5320883.4522307692</v>
      </c>
      <c r="M92" s="525">
        <f t="shared" si="11"/>
        <v>-20049.75</v>
      </c>
      <c r="N92" s="529"/>
      <c r="O92" s="525">
        <f t="shared" si="25"/>
        <v>-5818739.8416650631</v>
      </c>
      <c r="P92" s="529">
        <f t="shared" si="15"/>
        <v>9383784.3075657077</v>
      </c>
      <c r="Q92" s="528"/>
      <c r="R92" s="528"/>
      <c r="S92" s="528"/>
      <c r="T92" s="528"/>
      <c r="U92" s="529">
        <f t="shared" si="12"/>
        <v>-5320883.3747564098</v>
      </c>
      <c r="V92" s="525">
        <f t="shared" si="13"/>
        <v>-5441181.8747564098</v>
      </c>
      <c r="W92" s="530">
        <f t="shared" si="9"/>
        <v>10105052.274474364</v>
      </c>
      <c r="X92" s="255">
        <f t="shared" si="10"/>
        <v>9881640.77447436</v>
      </c>
      <c r="Y92" s="136">
        <f t="shared" si="18"/>
        <v>15546234.149230774</v>
      </c>
      <c r="Z92" s="548"/>
    </row>
    <row r="93" spans="1:26" hidden="1" outlineLevel="1">
      <c r="A93" s="131"/>
      <c r="B93" s="2" t="s">
        <v>240</v>
      </c>
      <c r="C93" s="131"/>
      <c r="D93" s="113"/>
      <c r="E93" s="113"/>
      <c r="F93" s="113">
        <f t="shared" si="16"/>
        <v>17275998.307692308</v>
      </c>
      <c r="G93" s="525">
        <f t="shared" si="17"/>
        <v>17275998.307692312</v>
      </c>
      <c r="H93" s="113">
        <f t="shared" si="23"/>
        <v>57285</v>
      </c>
      <c r="I93" s="524">
        <f t="shared" si="19"/>
        <v>-2130759.1584615381</v>
      </c>
      <c r="J93" s="525">
        <f t="shared" si="20"/>
        <v>-1787049.1584615379</v>
      </c>
      <c r="K93" s="526">
        <f t="shared" si="4"/>
        <v>15145239.149230771</v>
      </c>
      <c r="L93" s="525">
        <f t="shared" si="24"/>
        <v>-5300833.7022307692</v>
      </c>
      <c r="M93" s="525">
        <f t="shared" si="11"/>
        <v>-20049.75</v>
      </c>
      <c r="N93" s="529"/>
      <c r="O93" s="525">
        <f t="shared" si="25"/>
        <v>0</v>
      </c>
      <c r="P93" s="529">
        <f t="shared" si="15"/>
        <v>15145239.149230771</v>
      </c>
      <c r="Q93" s="528"/>
      <c r="R93" s="528"/>
      <c r="S93" s="528"/>
      <c r="T93" s="528"/>
      <c r="U93" s="529">
        <f t="shared" si="12"/>
        <v>-5300833.6247564098</v>
      </c>
      <c r="V93" s="525">
        <f t="shared" si="13"/>
        <v>-5421132.1247564098</v>
      </c>
      <c r="W93" s="530">
        <f t="shared" si="9"/>
        <v>10067817.024474364</v>
      </c>
      <c r="X93" s="255">
        <f t="shared" si="10"/>
        <v>9844405.52447436</v>
      </c>
      <c r="Y93" s="136">
        <f t="shared" si="18"/>
        <v>15488949.149230774</v>
      </c>
      <c r="Z93" s="548"/>
    </row>
    <row r="94" spans="1:26" hidden="1" outlineLevel="1">
      <c r="A94" s="131"/>
      <c r="B94" s="2" t="s">
        <v>241</v>
      </c>
      <c r="C94" s="131"/>
      <c r="D94" s="113"/>
      <c r="E94" s="113"/>
      <c r="F94" s="113">
        <f t="shared" si="16"/>
        <v>17275998.307692308</v>
      </c>
      <c r="G94" s="525">
        <f t="shared" si="17"/>
        <v>17275998.307692312</v>
      </c>
      <c r="H94" s="113">
        <f t="shared" si="23"/>
        <v>57285</v>
      </c>
      <c r="I94" s="524">
        <f t="shared" si="19"/>
        <v>-2188044.1584615381</v>
      </c>
      <c r="J94" s="525">
        <f t="shared" si="20"/>
        <v>-1844334.1584615379</v>
      </c>
      <c r="K94" s="526">
        <f t="shared" si="4"/>
        <v>15087954.149230771</v>
      </c>
      <c r="L94" s="525">
        <f t="shared" si="24"/>
        <v>-5280783.9522307692</v>
      </c>
      <c r="M94" s="525">
        <f t="shared" si="11"/>
        <v>-20049.75</v>
      </c>
      <c r="N94" s="529"/>
      <c r="O94" s="525">
        <f t="shared" si="25"/>
        <v>0</v>
      </c>
      <c r="P94" s="529">
        <f t="shared" si="15"/>
        <v>15087954.149230771</v>
      </c>
      <c r="Q94" s="528"/>
      <c r="R94" s="528"/>
      <c r="S94" s="528"/>
      <c r="T94" s="528"/>
      <c r="U94" s="529">
        <f t="shared" si="12"/>
        <v>-5280783.8747564098</v>
      </c>
      <c r="V94" s="525">
        <f t="shared" si="13"/>
        <v>-5401082.3747564098</v>
      </c>
      <c r="W94" s="530">
        <f t="shared" si="9"/>
        <v>10030581.774474364</v>
      </c>
      <c r="X94" s="255">
        <f t="shared" si="10"/>
        <v>9807170.27447436</v>
      </c>
      <c r="Y94" s="136">
        <f t="shared" si="18"/>
        <v>15431664.149230774</v>
      </c>
      <c r="Z94" s="548"/>
    </row>
    <row r="95" spans="1:26" hidden="1" outlineLevel="1">
      <c r="A95" s="131"/>
      <c r="B95" s="2" t="s">
        <v>242</v>
      </c>
      <c r="C95" s="131"/>
      <c r="D95" s="113"/>
      <c r="E95" s="113"/>
      <c r="F95" s="113">
        <f t="shared" si="16"/>
        <v>17275998.307692308</v>
      </c>
      <c r="G95" s="525">
        <f t="shared" si="17"/>
        <v>17275998.307692312</v>
      </c>
      <c r="H95" s="113">
        <f t="shared" si="23"/>
        <v>57285</v>
      </c>
      <c r="I95" s="524">
        <f t="shared" si="19"/>
        <v>-2245329.1584615381</v>
      </c>
      <c r="J95" s="525">
        <f t="shared" si="20"/>
        <v>-1901619.1584615374</v>
      </c>
      <c r="K95" s="526">
        <f t="shared" si="4"/>
        <v>15030669.149230771</v>
      </c>
      <c r="L95" s="525">
        <f t="shared" si="24"/>
        <v>-5260734.2022307692</v>
      </c>
      <c r="M95" s="525">
        <f t="shared" si="11"/>
        <v>-20049.75</v>
      </c>
      <c r="N95" s="529"/>
      <c r="O95" s="525">
        <f t="shared" si="25"/>
        <v>0</v>
      </c>
      <c r="P95" s="529">
        <f t="shared" si="15"/>
        <v>15030669.149230771</v>
      </c>
      <c r="Q95" s="528"/>
      <c r="R95" s="528"/>
      <c r="S95" s="528"/>
      <c r="T95" s="528"/>
      <c r="U95" s="529">
        <f t="shared" si="12"/>
        <v>-5260734.1247564098</v>
      </c>
      <c r="V95" s="525">
        <f t="shared" si="13"/>
        <v>-5381032.6247564098</v>
      </c>
      <c r="W95" s="530">
        <f t="shared" si="9"/>
        <v>9993346.5244743638</v>
      </c>
      <c r="X95" s="255">
        <f t="shared" si="10"/>
        <v>9769935.02447436</v>
      </c>
      <c r="Y95" s="136">
        <f t="shared" si="18"/>
        <v>15374379.149230774</v>
      </c>
      <c r="Z95" s="548"/>
    </row>
    <row r="96" spans="1:26" hidden="1" outlineLevel="1">
      <c r="A96" s="131"/>
      <c r="B96" s="2" t="s">
        <v>243</v>
      </c>
      <c r="C96" s="131"/>
      <c r="D96" s="113"/>
      <c r="E96" s="113"/>
      <c r="F96" s="113">
        <f t="shared" si="16"/>
        <v>17275998.307692308</v>
      </c>
      <c r="G96" s="525">
        <f t="shared" si="17"/>
        <v>17275998.307692312</v>
      </c>
      <c r="H96" s="113">
        <f t="shared" si="23"/>
        <v>57285</v>
      </c>
      <c r="I96" s="524">
        <f t="shared" si="19"/>
        <v>-2302614.1584615381</v>
      </c>
      <c r="J96" s="525">
        <f t="shared" si="20"/>
        <v>-1958904.1584615374</v>
      </c>
      <c r="K96" s="526">
        <f t="shared" si="4"/>
        <v>14973384.149230771</v>
      </c>
      <c r="L96" s="525">
        <f t="shared" si="24"/>
        <v>-5240684.4522307692</v>
      </c>
      <c r="M96" s="525">
        <f t="shared" si="11"/>
        <v>-20049.75</v>
      </c>
      <c r="N96" s="529"/>
      <c r="O96" s="525">
        <f t="shared" si="25"/>
        <v>0</v>
      </c>
      <c r="P96" s="529">
        <f t="shared" si="15"/>
        <v>14973384.149230771</v>
      </c>
      <c r="Q96" s="528"/>
      <c r="R96" s="528"/>
      <c r="S96" s="528"/>
      <c r="T96" s="528"/>
      <c r="U96" s="529">
        <f t="shared" si="12"/>
        <v>-5240684.3747564098</v>
      </c>
      <c r="V96" s="525">
        <f t="shared" si="13"/>
        <v>-5360982.8747564098</v>
      </c>
      <c r="W96" s="530">
        <f t="shared" si="9"/>
        <v>9956111.2744743638</v>
      </c>
      <c r="X96" s="255">
        <f t="shared" si="10"/>
        <v>9732699.77447436</v>
      </c>
      <c r="Y96" s="136">
        <f t="shared" si="18"/>
        <v>15317094.149230774</v>
      </c>
      <c r="Z96" s="548"/>
    </row>
    <row r="97" spans="1:26" hidden="1" outlineLevel="1">
      <c r="A97" s="131"/>
      <c r="B97" s="2" t="s">
        <v>244</v>
      </c>
      <c r="C97" s="131"/>
      <c r="D97" s="113"/>
      <c r="E97" s="113"/>
      <c r="F97" s="113">
        <f t="shared" si="16"/>
        <v>17275998.307692308</v>
      </c>
      <c r="G97" s="525">
        <f t="shared" si="17"/>
        <v>17275998.307692312</v>
      </c>
      <c r="H97" s="113">
        <f t="shared" si="23"/>
        <v>57285</v>
      </c>
      <c r="I97" s="524">
        <f t="shared" si="19"/>
        <v>-2359899.1584615381</v>
      </c>
      <c r="J97" s="525">
        <f t="shared" si="20"/>
        <v>-2016189.1584615374</v>
      </c>
      <c r="K97" s="526">
        <f t="shared" si="4"/>
        <v>14916099.149230771</v>
      </c>
      <c r="L97" s="525">
        <f t="shared" si="24"/>
        <v>-5220634.7022307692</v>
      </c>
      <c r="M97" s="525">
        <f t="shared" si="11"/>
        <v>-20049.75</v>
      </c>
      <c r="N97" s="529"/>
      <c r="O97" s="525">
        <f t="shared" si="25"/>
        <v>0</v>
      </c>
      <c r="P97" s="529">
        <f t="shared" si="15"/>
        <v>14916099.149230771</v>
      </c>
      <c r="Q97" s="528"/>
      <c r="R97" s="528"/>
      <c r="S97" s="528"/>
      <c r="T97" s="528"/>
      <c r="U97" s="529">
        <f t="shared" si="12"/>
        <v>-5220634.6247564098</v>
      </c>
      <c r="V97" s="525">
        <f t="shared" si="13"/>
        <v>-5340933.1247564098</v>
      </c>
      <c r="W97" s="530">
        <f t="shared" si="9"/>
        <v>9918876.0244743638</v>
      </c>
      <c r="X97" s="255">
        <f t="shared" si="10"/>
        <v>9695464.52447436</v>
      </c>
      <c r="Y97" s="136">
        <f t="shared" si="18"/>
        <v>15259809.149230774</v>
      </c>
      <c r="Z97" s="548"/>
    </row>
    <row r="98" spans="1:26" hidden="1" outlineLevel="1">
      <c r="A98" s="131"/>
      <c r="B98" s="2" t="s">
        <v>245</v>
      </c>
      <c r="C98" s="131"/>
      <c r="D98" s="113"/>
      <c r="E98" s="113"/>
      <c r="F98" s="113">
        <f t="shared" si="16"/>
        <v>17275998.307692308</v>
      </c>
      <c r="G98" s="525">
        <f t="shared" si="17"/>
        <v>17275998.307692312</v>
      </c>
      <c r="H98" s="113">
        <f t="shared" si="23"/>
        <v>57285</v>
      </c>
      <c r="I98" s="524">
        <f t="shared" si="19"/>
        <v>-2417184.1584615381</v>
      </c>
      <c r="J98" s="525">
        <f t="shared" si="20"/>
        <v>-2073474.1584615374</v>
      </c>
      <c r="K98" s="526">
        <f t="shared" si="4"/>
        <v>14858814.149230771</v>
      </c>
      <c r="L98" s="525">
        <f t="shared" si="24"/>
        <v>-5200584.9522307692</v>
      </c>
      <c r="M98" s="525">
        <f t="shared" si="11"/>
        <v>-20049.75</v>
      </c>
      <c r="N98" s="529"/>
      <c r="O98" s="525">
        <f t="shared" si="25"/>
        <v>0</v>
      </c>
      <c r="P98" s="529">
        <f t="shared" si="15"/>
        <v>14858814.149230771</v>
      </c>
      <c r="Q98" s="528"/>
      <c r="R98" s="528"/>
      <c r="S98" s="528"/>
      <c r="T98" s="528"/>
      <c r="U98" s="529">
        <f t="shared" si="12"/>
        <v>-5200584.8747564098</v>
      </c>
      <c r="V98" s="525">
        <f t="shared" si="13"/>
        <v>-5320883.3747564098</v>
      </c>
      <c r="W98" s="530">
        <f t="shared" si="9"/>
        <v>9881640.7744743638</v>
      </c>
      <c r="X98" s="255">
        <f t="shared" si="10"/>
        <v>9658229.27447436</v>
      </c>
      <c r="Y98" s="136">
        <f t="shared" si="18"/>
        <v>15202524.149230774</v>
      </c>
      <c r="Z98" s="548"/>
    </row>
    <row r="99" spans="1:26" hidden="1" outlineLevel="1">
      <c r="A99" s="131"/>
      <c r="B99" s="2" t="s">
        <v>246</v>
      </c>
      <c r="C99" s="131"/>
      <c r="D99" s="113"/>
      <c r="E99" s="113"/>
      <c r="F99" s="113">
        <f t="shared" si="16"/>
        <v>17275998.307692308</v>
      </c>
      <c r="G99" s="525">
        <f t="shared" si="17"/>
        <v>17275998.307692312</v>
      </c>
      <c r="H99" s="113">
        <f t="shared" si="23"/>
        <v>57285</v>
      </c>
      <c r="I99" s="524">
        <f t="shared" si="19"/>
        <v>-2474469.1584615381</v>
      </c>
      <c r="J99" s="525">
        <f t="shared" si="20"/>
        <v>-2130759.1584615377</v>
      </c>
      <c r="K99" s="526">
        <f t="shared" si="4"/>
        <v>14801529.149230771</v>
      </c>
      <c r="L99" s="525">
        <f t="shared" si="24"/>
        <v>-5180535.2022307692</v>
      </c>
      <c r="M99" s="525">
        <f t="shared" si="11"/>
        <v>-20049.75</v>
      </c>
      <c r="N99" s="529"/>
      <c r="O99" s="525">
        <f t="shared" si="25"/>
        <v>0</v>
      </c>
      <c r="P99" s="529">
        <f t="shared" si="15"/>
        <v>14801529.149230771</v>
      </c>
      <c r="Q99" s="528"/>
      <c r="R99" s="528"/>
      <c r="S99" s="528"/>
      <c r="T99" s="528"/>
      <c r="U99" s="529">
        <f t="shared" si="12"/>
        <v>-5180535.1247564098</v>
      </c>
      <c r="V99" s="525">
        <f t="shared" si="13"/>
        <v>-5300833.6247564098</v>
      </c>
      <c r="W99" s="530">
        <f t="shared" si="9"/>
        <v>9844405.5244743638</v>
      </c>
      <c r="X99" s="255">
        <f t="shared" si="10"/>
        <v>9620994.02447436</v>
      </c>
      <c r="Y99" s="136">
        <f t="shared" si="18"/>
        <v>15145239.149230774</v>
      </c>
      <c r="Z99" s="548"/>
    </row>
    <row r="100" spans="1:26" hidden="1" outlineLevel="1">
      <c r="A100" s="131"/>
      <c r="B100" s="2" t="s">
        <v>247</v>
      </c>
      <c r="C100" s="131"/>
      <c r="D100" s="113"/>
      <c r="E100" s="113"/>
      <c r="F100" s="113">
        <f t="shared" si="16"/>
        <v>17275998.307692308</v>
      </c>
      <c r="G100" s="525">
        <f t="shared" si="17"/>
        <v>17275998.307692312</v>
      </c>
      <c r="H100" s="113">
        <f t="shared" si="23"/>
        <v>57285</v>
      </c>
      <c r="I100" s="524">
        <f t="shared" si="19"/>
        <v>-2531754.1584615381</v>
      </c>
      <c r="J100" s="525">
        <f t="shared" si="20"/>
        <v>-2188044.1584615377</v>
      </c>
      <c r="K100" s="526">
        <f t="shared" si="4"/>
        <v>14744244.149230771</v>
      </c>
      <c r="L100" s="525">
        <f t="shared" si="24"/>
        <v>-5160485.4522307692</v>
      </c>
      <c r="M100" s="525">
        <f t="shared" si="11"/>
        <v>-20049.75</v>
      </c>
      <c r="N100" s="529"/>
      <c r="O100" s="525">
        <f t="shared" si="25"/>
        <v>0</v>
      </c>
      <c r="P100" s="529">
        <f t="shared" si="15"/>
        <v>14744244.149230771</v>
      </c>
      <c r="Q100" s="528"/>
      <c r="R100" s="528"/>
      <c r="S100" s="528"/>
      <c r="T100" s="528"/>
      <c r="U100" s="529">
        <f t="shared" si="12"/>
        <v>-5160485.3747564098</v>
      </c>
      <c r="V100" s="525">
        <f t="shared" si="13"/>
        <v>-5280783.8747564098</v>
      </c>
      <c r="W100" s="530">
        <f t="shared" si="9"/>
        <v>9807170.2744743638</v>
      </c>
      <c r="X100" s="255">
        <f t="shared" si="10"/>
        <v>9583758.77447436</v>
      </c>
      <c r="Y100" s="136">
        <f t="shared" si="18"/>
        <v>15087954.149230774</v>
      </c>
      <c r="Z100" s="548"/>
    </row>
    <row r="101" spans="1:26" hidden="1" outlineLevel="1">
      <c r="A101" s="131"/>
      <c r="B101" s="2" t="s">
        <v>248</v>
      </c>
      <c r="C101" s="131"/>
      <c r="D101" s="113"/>
      <c r="E101" s="113"/>
      <c r="F101" s="113">
        <f t="shared" si="16"/>
        <v>17275998.307692308</v>
      </c>
      <c r="G101" s="525">
        <f t="shared" si="17"/>
        <v>17275998.307692312</v>
      </c>
      <c r="H101" s="113">
        <f t="shared" si="23"/>
        <v>57285</v>
      </c>
      <c r="I101" s="524">
        <f t="shared" si="19"/>
        <v>-2589039.1584615381</v>
      </c>
      <c r="J101" s="525">
        <f t="shared" si="20"/>
        <v>-2245329.1584615377</v>
      </c>
      <c r="K101" s="526">
        <f t="shared" ref="K101:K164" si="26">F101+I101</f>
        <v>14686959.149230771</v>
      </c>
      <c r="L101" s="525">
        <f t="shared" si="24"/>
        <v>-5140435.7022307692</v>
      </c>
      <c r="M101" s="525">
        <f t="shared" si="11"/>
        <v>-20049.75</v>
      </c>
      <c r="N101" s="529"/>
      <c r="O101" s="525">
        <f t="shared" si="25"/>
        <v>0</v>
      </c>
      <c r="P101" s="529">
        <f t="shared" si="15"/>
        <v>14686959.149230771</v>
      </c>
      <c r="Q101" s="528"/>
      <c r="R101" s="528"/>
      <c r="S101" s="528"/>
      <c r="T101" s="528"/>
      <c r="U101" s="529">
        <f t="shared" si="12"/>
        <v>-5140435.6247564098</v>
      </c>
      <c r="V101" s="525">
        <f t="shared" si="13"/>
        <v>-5260734.1247564098</v>
      </c>
      <c r="W101" s="530">
        <f t="shared" si="9"/>
        <v>9769935.0244743638</v>
      </c>
      <c r="X101" s="255">
        <f t="shared" si="10"/>
        <v>9546523.52447436</v>
      </c>
      <c r="Y101" s="136">
        <f t="shared" si="18"/>
        <v>15030669.149230774</v>
      </c>
      <c r="Z101" s="548"/>
    </row>
    <row r="102" spans="1:26" hidden="1" outlineLevel="1">
      <c r="A102" s="131"/>
      <c r="B102" s="2" t="s">
        <v>249</v>
      </c>
      <c r="C102" s="131"/>
      <c r="D102" s="113"/>
      <c r="E102" s="113"/>
      <c r="F102" s="113">
        <f t="shared" si="16"/>
        <v>17275998.307692308</v>
      </c>
      <c r="G102" s="525">
        <f t="shared" si="17"/>
        <v>17275998.307692312</v>
      </c>
      <c r="H102" s="113">
        <f t="shared" si="23"/>
        <v>57285</v>
      </c>
      <c r="I102" s="524">
        <f t="shared" si="19"/>
        <v>-2646324.1584615381</v>
      </c>
      <c r="J102" s="525">
        <f t="shared" si="20"/>
        <v>-2302614.1584615377</v>
      </c>
      <c r="K102" s="526">
        <f t="shared" si="26"/>
        <v>14629674.149230771</v>
      </c>
      <c r="L102" s="525">
        <f t="shared" si="24"/>
        <v>-5120385.9522307692</v>
      </c>
      <c r="M102" s="525">
        <f t="shared" si="11"/>
        <v>-20049.75</v>
      </c>
      <c r="N102" s="529"/>
      <c r="O102" s="525">
        <f t="shared" si="25"/>
        <v>0</v>
      </c>
      <c r="P102" s="529">
        <f t="shared" si="15"/>
        <v>14629674.149230771</v>
      </c>
      <c r="Q102" s="528"/>
      <c r="R102" s="528"/>
      <c r="S102" s="528"/>
      <c r="T102" s="528"/>
      <c r="U102" s="529">
        <f t="shared" si="12"/>
        <v>-5120385.8747564098</v>
      </c>
      <c r="V102" s="525">
        <f t="shared" si="13"/>
        <v>-5240684.3747564098</v>
      </c>
      <c r="W102" s="530">
        <f t="shared" si="9"/>
        <v>9732699.7744743638</v>
      </c>
      <c r="X102" s="255">
        <f t="shared" si="10"/>
        <v>9509288.27447436</v>
      </c>
      <c r="Y102" s="136">
        <f t="shared" si="18"/>
        <v>14973384.149230774</v>
      </c>
      <c r="Z102" s="548"/>
    </row>
    <row r="103" spans="1:26" hidden="1" outlineLevel="1">
      <c r="A103" s="131"/>
      <c r="B103" s="2" t="s">
        <v>250</v>
      </c>
      <c r="C103" s="131"/>
      <c r="D103" s="113"/>
      <c r="E103" s="113"/>
      <c r="F103" s="113">
        <f t="shared" si="16"/>
        <v>17275998.307692308</v>
      </c>
      <c r="G103" s="525">
        <f t="shared" si="17"/>
        <v>17275998.307692312</v>
      </c>
      <c r="H103" s="113">
        <f t="shared" si="23"/>
        <v>57285</v>
      </c>
      <c r="I103" s="524">
        <f t="shared" si="19"/>
        <v>-2703609.1584615381</v>
      </c>
      <c r="J103" s="525">
        <f t="shared" si="20"/>
        <v>-2359899.1584615377</v>
      </c>
      <c r="K103" s="526">
        <f t="shared" si="26"/>
        <v>14572389.149230771</v>
      </c>
      <c r="L103" s="525">
        <f t="shared" si="24"/>
        <v>-5100336.2022307692</v>
      </c>
      <c r="M103" s="525">
        <f t="shared" si="11"/>
        <v>-20049.75</v>
      </c>
      <c r="N103" s="529"/>
      <c r="O103" s="525">
        <f t="shared" si="25"/>
        <v>0</v>
      </c>
      <c r="P103" s="529">
        <f t="shared" si="15"/>
        <v>14572389.149230771</v>
      </c>
      <c r="Q103" s="528"/>
      <c r="R103" s="528"/>
      <c r="S103" s="528"/>
      <c r="T103" s="528"/>
      <c r="U103" s="529">
        <f t="shared" ref="U103:U166" si="27">U102-M103</f>
        <v>-5100336.1247564098</v>
      </c>
      <c r="V103" s="525">
        <f t="shared" si="13"/>
        <v>-5220634.6247564098</v>
      </c>
      <c r="W103" s="530">
        <f t="shared" si="9"/>
        <v>9695464.5244743638</v>
      </c>
      <c r="X103" s="255">
        <f t="shared" si="10"/>
        <v>9472053.02447436</v>
      </c>
      <c r="Y103" s="136">
        <f t="shared" si="18"/>
        <v>14916099.149230774</v>
      </c>
      <c r="Z103" s="548"/>
    </row>
    <row r="104" spans="1:26" hidden="1" outlineLevel="1">
      <c r="A104" s="131"/>
      <c r="B104" s="2" t="s">
        <v>251</v>
      </c>
      <c r="C104" s="131"/>
      <c r="D104" s="113"/>
      <c r="E104" s="113"/>
      <c r="F104" s="113">
        <f t="shared" si="16"/>
        <v>17275998.307692308</v>
      </c>
      <c r="G104" s="525">
        <f t="shared" si="17"/>
        <v>17275998.307692312</v>
      </c>
      <c r="H104" s="113">
        <f t="shared" si="23"/>
        <v>57285</v>
      </c>
      <c r="I104" s="524">
        <f t="shared" si="19"/>
        <v>-2760894.1584615381</v>
      </c>
      <c r="J104" s="525">
        <f t="shared" si="20"/>
        <v>-2417184.1584615377</v>
      </c>
      <c r="K104" s="526">
        <f t="shared" si="26"/>
        <v>14515104.149230771</v>
      </c>
      <c r="L104" s="525">
        <f t="shared" si="24"/>
        <v>-5080286.4522307692</v>
      </c>
      <c r="M104" s="525">
        <f t="shared" ref="M104:M167" si="28">-L104+L103</f>
        <v>-20049.75</v>
      </c>
      <c r="N104" s="529"/>
      <c r="O104" s="525">
        <f t="shared" si="25"/>
        <v>0</v>
      </c>
      <c r="P104" s="529">
        <f t="shared" si="15"/>
        <v>14515104.149230771</v>
      </c>
      <c r="Q104" s="528"/>
      <c r="R104" s="528"/>
      <c r="S104" s="528"/>
      <c r="T104" s="528"/>
      <c r="U104" s="529">
        <f t="shared" si="27"/>
        <v>-5080286.3747564098</v>
      </c>
      <c r="V104" s="525">
        <f t="shared" si="13"/>
        <v>-5200584.8747564098</v>
      </c>
      <c r="W104" s="530">
        <f t="shared" si="9"/>
        <v>9658229.2744743638</v>
      </c>
      <c r="X104" s="255">
        <f t="shared" si="10"/>
        <v>9434817.77447436</v>
      </c>
      <c r="Y104" s="136">
        <f t="shared" si="18"/>
        <v>14858814.149230774</v>
      </c>
      <c r="Z104" s="548"/>
    </row>
    <row r="105" spans="1:26" hidden="1" outlineLevel="1">
      <c r="A105" s="131"/>
      <c r="B105" s="2" t="s">
        <v>252</v>
      </c>
      <c r="C105" s="131"/>
      <c r="D105" s="113"/>
      <c r="E105" s="113"/>
      <c r="F105" s="113">
        <f t="shared" si="16"/>
        <v>17275998.307692308</v>
      </c>
      <c r="G105" s="525">
        <f t="shared" si="17"/>
        <v>17275998.307692312</v>
      </c>
      <c r="H105" s="113">
        <f t="shared" si="23"/>
        <v>57285</v>
      </c>
      <c r="I105" s="524">
        <f t="shared" si="19"/>
        <v>-2818179.1584615381</v>
      </c>
      <c r="J105" s="525">
        <f t="shared" si="20"/>
        <v>-2474469.1584615377</v>
      </c>
      <c r="K105" s="526">
        <f t="shared" si="26"/>
        <v>14457819.149230771</v>
      </c>
      <c r="L105" s="525">
        <f t="shared" si="24"/>
        <v>-5060236.7022307692</v>
      </c>
      <c r="M105" s="525">
        <f t="shared" si="28"/>
        <v>-20049.75</v>
      </c>
      <c r="N105" s="529"/>
      <c r="O105" s="525">
        <f t="shared" si="25"/>
        <v>0</v>
      </c>
      <c r="P105" s="529">
        <f t="shared" si="15"/>
        <v>14457819.149230771</v>
      </c>
      <c r="Q105" s="528"/>
      <c r="R105" s="528"/>
      <c r="S105" s="528"/>
      <c r="T105" s="528"/>
      <c r="U105" s="529">
        <f t="shared" si="27"/>
        <v>-5060236.6247564098</v>
      </c>
      <c r="V105" s="525">
        <f t="shared" si="13"/>
        <v>-5180535.1247564098</v>
      </c>
      <c r="W105" s="530">
        <f t="shared" si="9"/>
        <v>9620994.0244743638</v>
      </c>
      <c r="X105" s="255">
        <f t="shared" si="10"/>
        <v>9397582.52447436</v>
      </c>
      <c r="Y105" s="136">
        <f t="shared" si="18"/>
        <v>14801529.149230774</v>
      </c>
      <c r="Z105" s="548"/>
    </row>
    <row r="106" spans="1:26" hidden="1" outlineLevel="1">
      <c r="A106" s="131"/>
      <c r="B106" s="2" t="s">
        <v>253</v>
      </c>
      <c r="C106" s="131"/>
      <c r="D106" s="113"/>
      <c r="E106" s="113"/>
      <c r="F106" s="113">
        <f t="shared" si="16"/>
        <v>17275998.307692308</v>
      </c>
      <c r="G106" s="525">
        <f t="shared" si="17"/>
        <v>17275998.307692312</v>
      </c>
      <c r="H106" s="113">
        <f t="shared" si="23"/>
        <v>57285</v>
      </c>
      <c r="I106" s="524">
        <f t="shared" si="19"/>
        <v>-2875464.1584615381</v>
      </c>
      <c r="J106" s="525">
        <f t="shared" si="20"/>
        <v>-2531754.1584615377</v>
      </c>
      <c r="K106" s="526">
        <f t="shared" si="26"/>
        <v>14400534.149230771</v>
      </c>
      <c r="L106" s="525">
        <f t="shared" si="24"/>
        <v>-5040186.9522307692</v>
      </c>
      <c r="M106" s="525">
        <f t="shared" si="28"/>
        <v>-20049.75</v>
      </c>
      <c r="N106" s="529"/>
      <c r="O106" s="525">
        <f t="shared" si="25"/>
        <v>0</v>
      </c>
      <c r="P106" s="529">
        <f t="shared" si="15"/>
        <v>14400534.149230771</v>
      </c>
      <c r="Q106" s="528"/>
      <c r="R106" s="528"/>
      <c r="S106" s="528"/>
      <c r="T106" s="528"/>
      <c r="U106" s="529">
        <f t="shared" si="27"/>
        <v>-5040186.8747564098</v>
      </c>
      <c r="V106" s="525">
        <f t="shared" si="13"/>
        <v>-5160485.3747564098</v>
      </c>
      <c r="W106" s="530">
        <f t="shared" si="9"/>
        <v>9583758.7744743638</v>
      </c>
      <c r="X106" s="255">
        <f t="shared" si="10"/>
        <v>9360347.27447436</v>
      </c>
      <c r="Y106" s="136">
        <f t="shared" si="18"/>
        <v>14744244.149230774</v>
      </c>
      <c r="Z106" s="548"/>
    </row>
    <row r="107" spans="1:26" hidden="1" outlineLevel="1">
      <c r="A107" s="131"/>
      <c r="B107" s="2" t="s">
        <v>254</v>
      </c>
      <c r="C107" s="131"/>
      <c r="D107" s="113"/>
      <c r="E107" s="113"/>
      <c r="F107" s="113">
        <f t="shared" si="16"/>
        <v>17275998.307692308</v>
      </c>
      <c r="G107" s="525">
        <f t="shared" si="17"/>
        <v>17275998.307692312</v>
      </c>
      <c r="H107" s="113">
        <f t="shared" si="23"/>
        <v>57285</v>
      </c>
      <c r="I107" s="524">
        <f t="shared" si="19"/>
        <v>-2932749.1584615381</v>
      </c>
      <c r="J107" s="525">
        <f t="shared" si="20"/>
        <v>-2589039.1584615377</v>
      </c>
      <c r="K107" s="526">
        <f t="shared" si="26"/>
        <v>14343249.149230771</v>
      </c>
      <c r="L107" s="525">
        <f t="shared" si="24"/>
        <v>-5020137.2022307692</v>
      </c>
      <c r="M107" s="525">
        <f t="shared" si="28"/>
        <v>-20049.75</v>
      </c>
      <c r="N107" s="529"/>
      <c r="O107" s="525">
        <f t="shared" si="25"/>
        <v>0</v>
      </c>
      <c r="P107" s="529">
        <f t="shared" si="15"/>
        <v>14343249.149230771</v>
      </c>
      <c r="Q107" s="528"/>
      <c r="R107" s="528"/>
      <c r="S107" s="528"/>
      <c r="T107" s="528"/>
      <c r="U107" s="529">
        <f t="shared" si="27"/>
        <v>-5020137.1247564098</v>
      </c>
      <c r="V107" s="525">
        <f t="shared" si="13"/>
        <v>-5140435.6247564098</v>
      </c>
      <c r="W107" s="530">
        <f t="shared" si="9"/>
        <v>9546523.5244743638</v>
      </c>
      <c r="X107" s="255">
        <f t="shared" si="10"/>
        <v>9323112.02447436</v>
      </c>
      <c r="Y107" s="136">
        <f t="shared" si="18"/>
        <v>14686959.149230774</v>
      </c>
      <c r="Z107" s="548"/>
    </row>
    <row r="108" spans="1:26" hidden="1" outlineLevel="1">
      <c r="A108" s="131"/>
      <c r="B108" s="2" t="s">
        <v>255</v>
      </c>
      <c r="C108" s="131"/>
      <c r="D108" s="113"/>
      <c r="E108" s="113"/>
      <c r="F108" s="113">
        <f t="shared" si="16"/>
        <v>17275998.307692308</v>
      </c>
      <c r="G108" s="525">
        <f t="shared" si="17"/>
        <v>17275998.307692312</v>
      </c>
      <c r="H108" s="113">
        <f t="shared" si="23"/>
        <v>57285</v>
      </c>
      <c r="I108" s="524">
        <f t="shared" si="19"/>
        <v>-2990034.1584615381</v>
      </c>
      <c r="J108" s="525">
        <f t="shared" si="20"/>
        <v>-2646324.1584615377</v>
      </c>
      <c r="K108" s="526">
        <f t="shared" si="26"/>
        <v>14285964.149230771</v>
      </c>
      <c r="L108" s="525">
        <f t="shared" si="24"/>
        <v>-5000087.4522307692</v>
      </c>
      <c r="M108" s="525">
        <f t="shared" si="28"/>
        <v>-20049.75</v>
      </c>
      <c r="N108" s="529"/>
      <c r="O108" s="525">
        <f t="shared" si="25"/>
        <v>0</v>
      </c>
      <c r="P108" s="529">
        <f t="shared" si="15"/>
        <v>14285964.149230771</v>
      </c>
      <c r="Q108" s="528"/>
      <c r="R108" s="528"/>
      <c r="S108" s="528"/>
      <c r="T108" s="528"/>
      <c r="U108" s="529">
        <f t="shared" si="27"/>
        <v>-5000087.3747564098</v>
      </c>
      <c r="V108" s="525">
        <f t="shared" si="13"/>
        <v>-5120385.8747564098</v>
      </c>
      <c r="W108" s="530">
        <f t="shared" si="9"/>
        <v>9509288.2744743638</v>
      </c>
      <c r="X108" s="255">
        <f t="shared" si="10"/>
        <v>9285876.77447436</v>
      </c>
      <c r="Y108" s="136">
        <f t="shared" si="18"/>
        <v>14629674.149230774</v>
      </c>
      <c r="Z108" s="548"/>
    </row>
    <row r="109" spans="1:26" hidden="1" outlineLevel="1">
      <c r="A109" s="131"/>
      <c r="B109" s="2" t="s">
        <v>256</v>
      </c>
      <c r="C109" s="131"/>
      <c r="D109" s="113"/>
      <c r="E109" s="113"/>
      <c r="F109" s="113">
        <f t="shared" si="16"/>
        <v>17275998.307692308</v>
      </c>
      <c r="G109" s="525">
        <f t="shared" si="17"/>
        <v>17275998.307692312</v>
      </c>
      <c r="H109" s="113">
        <f t="shared" si="23"/>
        <v>57285</v>
      </c>
      <c r="I109" s="524">
        <f t="shared" si="19"/>
        <v>-3047319.1584615381</v>
      </c>
      <c r="J109" s="525">
        <f t="shared" si="20"/>
        <v>-2703609.1584615377</v>
      </c>
      <c r="K109" s="526">
        <f t="shared" si="26"/>
        <v>14228679.149230771</v>
      </c>
      <c r="L109" s="525">
        <f t="shared" si="24"/>
        <v>-4980037.7022307692</v>
      </c>
      <c r="M109" s="525">
        <f t="shared" si="28"/>
        <v>-20049.75</v>
      </c>
      <c r="N109" s="529"/>
      <c r="O109" s="525">
        <f t="shared" si="25"/>
        <v>0</v>
      </c>
      <c r="P109" s="529">
        <f t="shared" si="15"/>
        <v>14228679.149230771</v>
      </c>
      <c r="Q109" s="528"/>
      <c r="R109" s="528"/>
      <c r="S109" s="528"/>
      <c r="T109" s="528"/>
      <c r="U109" s="529">
        <f t="shared" si="27"/>
        <v>-4980037.6247564098</v>
      </c>
      <c r="V109" s="525">
        <f t="shared" si="13"/>
        <v>-5100336.1247564098</v>
      </c>
      <c r="W109" s="530">
        <f t="shared" si="9"/>
        <v>9472053.0244743638</v>
      </c>
      <c r="X109" s="255">
        <f t="shared" si="10"/>
        <v>9248641.52447436</v>
      </c>
      <c r="Y109" s="136">
        <f t="shared" si="18"/>
        <v>14572389.149230774</v>
      </c>
      <c r="Z109" s="548"/>
    </row>
    <row r="110" spans="1:26" hidden="1" outlineLevel="1">
      <c r="A110" s="131"/>
      <c r="B110" s="2" t="s">
        <v>257</v>
      </c>
      <c r="C110" s="131"/>
      <c r="D110" s="113"/>
      <c r="E110" s="113"/>
      <c r="F110" s="113">
        <f t="shared" si="16"/>
        <v>17275998.307692308</v>
      </c>
      <c r="G110" s="525">
        <f t="shared" si="17"/>
        <v>17275998.307692312</v>
      </c>
      <c r="H110" s="113">
        <f t="shared" si="23"/>
        <v>57285</v>
      </c>
      <c r="I110" s="524">
        <f t="shared" si="19"/>
        <v>-3104604.1584615381</v>
      </c>
      <c r="J110" s="525">
        <f t="shared" si="20"/>
        <v>-2760894.1584615377</v>
      </c>
      <c r="K110" s="526">
        <f t="shared" si="26"/>
        <v>14171394.149230771</v>
      </c>
      <c r="L110" s="525">
        <f t="shared" si="24"/>
        <v>-4959987.9522307692</v>
      </c>
      <c r="M110" s="525">
        <f t="shared" si="28"/>
        <v>-20049.75</v>
      </c>
      <c r="N110" s="529"/>
      <c r="O110" s="525">
        <f t="shared" si="25"/>
        <v>0</v>
      </c>
      <c r="P110" s="529">
        <f t="shared" si="15"/>
        <v>14171394.149230771</v>
      </c>
      <c r="Q110" s="528"/>
      <c r="R110" s="528"/>
      <c r="S110" s="528"/>
      <c r="T110" s="528"/>
      <c r="U110" s="529">
        <f t="shared" si="27"/>
        <v>-4959987.8747564098</v>
      </c>
      <c r="V110" s="525">
        <f t="shared" si="13"/>
        <v>-5080286.3747564098</v>
      </c>
      <c r="W110" s="530">
        <f t="shared" si="9"/>
        <v>9434817.7744743638</v>
      </c>
      <c r="X110" s="255">
        <f t="shared" si="10"/>
        <v>9211406.27447436</v>
      </c>
      <c r="Y110" s="136">
        <f t="shared" si="18"/>
        <v>14515104.149230774</v>
      </c>
      <c r="Z110" s="548"/>
    </row>
    <row r="111" spans="1:26" hidden="1" outlineLevel="1">
      <c r="A111" s="131"/>
      <c r="B111" s="2" t="s">
        <v>258</v>
      </c>
      <c r="C111" s="131"/>
      <c r="D111" s="113"/>
      <c r="E111" s="113"/>
      <c r="F111" s="113">
        <f t="shared" si="16"/>
        <v>17275998.307692308</v>
      </c>
      <c r="G111" s="525">
        <f t="shared" si="17"/>
        <v>17275998.307692312</v>
      </c>
      <c r="H111" s="113">
        <f t="shared" si="23"/>
        <v>57285</v>
      </c>
      <c r="I111" s="524">
        <f t="shared" si="19"/>
        <v>-3161889.1584615381</v>
      </c>
      <c r="J111" s="525">
        <f t="shared" si="20"/>
        <v>-2818179.1584615377</v>
      </c>
      <c r="K111" s="526">
        <f t="shared" si="26"/>
        <v>14114109.149230771</v>
      </c>
      <c r="L111" s="525">
        <f t="shared" si="24"/>
        <v>-4939938.2022307692</v>
      </c>
      <c r="M111" s="525">
        <f t="shared" si="28"/>
        <v>-20049.75</v>
      </c>
      <c r="N111" s="529"/>
      <c r="O111" s="525">
        <f t="shared" si="25"/>
        <v>0</v>
      </c>
      <c r="P111" s="529">
        <f t="shared" si="15"/>
        <v>14114109.149230771</v>
      </c>
      <c r="Q111" s="528"/>
      <c r="R111" s="528"/>
      <c r="S111" s="528"/>
      <c r="T111" s="528"/>
      <c r="U111" s="529">
        <f t="shared" si="27"/>
        <v>-4939938.1247564098</v>
      </c>
      <c r="V111" s="525">
        <f t="shared" si="13"/>
        <v>-5060236.6247564098</v>
      </c>
      <c r="W111" s="530">
        <f t="shared" si="9"/>
        <v>9397582.5244743638</v>
      </c>
      <c r="X111" s="255">
        <f t="shared" si="10"/>
        <v>9174171.02447436</v>
      </c>
      <c r="Y111" s="136">
        <f t="shared" si="18"/>
        <v>14457819.149230774</v>
      </c>
      <c r="Z111" s="548"/>
    </row>
    <row r="112" spans="1:26" hidden="1" outlineLevel="1">
      <c r="A112" s="131"/>
      <c r="B112" s="2" t="s">
        <v>259</v>
      </c>
      <c r="C112" s="131"/>
      <c r="D112" s="113"/>
      <c r="E112" s="113"/>
      <c r="F112" s="113">
        <f t="shared" si="16"/>
        <v>17275998.307692308</v>
      </c>
      <c r="G112" s="525">
        <f t="shared" si="17"/>
        <v>17275998.307692312</v>
      </c>
      <c r="H112" s="113">
        <f t="shared" si="23"/>
        <v>57285</v>
      </c>
      <c r="I112" s="524">
        <f t="shared" si="19"/>
        <v>-3219174.1584615381</v>
      </c>
      <c r="J112" s="525">
        <f t="shared" si="20"/>
        <v>-2875464.1584615377</v>
      </c>
      <c r="K112" s="526">
        <f t="shared" si="26"/>
        <v>14056824.149230771</v>
      </c>
      <c r="L112" s="525">
        <f t="shared" si="24"/>
        <v>-4919888.4522307692</v>
      </c>
      <c r="M112" s="525">
        <f t="shared" si="28"/>
        <v>-20049.75</v>
      </c>
      <c r="N112" s="529"/>
      <c r="O112" s="525">
        <f t="shared" si="25"/>
        <v>0</v>
      </c>
      <c r="P112" s="529">
        <f t="shared" si="15"/>
        <v>14056824.149230771</v>
      </c>
      <c r="Q112" s="528"/>
      <c r="R112" s="528"/>
      <c r="S112" s="528"/>
      <c r="T112" s="528"/>
      <c r="U112" s="529">
        <f t="shared" si="27"/>
        <v>-4919888.3747564098</v>
      </c>
      <c r="V112" s="525">
        <f t="shared" si="13"/>
        <v>-5040186.8747564098</v>
      </c>
      <c r="W112" s="530">
        <f t="shared" si="9"/>
        <v>9360347.2744743638</v>
      </c>
      <c r="X112" s="255">
        <f t="shared" si="10"/>
        <v>9136935.77447436</v>
      </c>
      <c r="Y112" s="136">
        <f t="shared" si="18"/>
        <v>14400534.149230774</v>
      </c>
      <c r="Z112" s="548"/>
    </row>
    <row r="113" spans="1:26" hidden="1" outlineLevel="1">
      <c r="A113" s="131"/>
      <c r="B113" s="2" t="s">
        <v>260</v>
      </c>
      <c r="C113" s="131"/>
      <c r="D113" s="113"/>
      <c r="E113" s="113"/>
      <c r="F113" s="113">
        <f t="shared" si="16"/>
        <v>17275998.307692308</v>
      </c>
      <c r="G113" s="525">
        <f t="shared" si="17"/>
        <v>17275998.307692312</v>
      </c>
      <c r="H113" s="113">
        <f t="shared" si="23"/>
        <v>57285</v>
      </c>
      <c r="I113" s="524">
        <f t="shared" si="19"/>
        <v>-3276459.1584615381</v>
      </c>
      <c r="J113" s="525">
        <f t="shared" si="20"/>
        <v>-2932749.1584615377</v>
      </c>
      <c r="K113" s="526">
        <f t="shared" si="26"/>
        <v>13999539.149230771</v>
      </c>
      <c r="L113" s="525">
        <f t="shared" si="24"/>
        <v>-4899838.7022307692</v>
      </c>
      <c r="M113" s="525">
        <f t="shared" si="28"/>
        <v>-20049.75</v>
      </c>
      <c r="N113" s="529"/>
      <c r="O113" s="525">
        <f t="shared" si="25"/>
        <v>0</v>
      </c>
      <c r="P113" s="529">
        <f t="shared" si="15"/>
        <v>13999539.149230771</v>
      </c>
      <c r="Q113" s="528"/>
      <c r="R113" s="528"/>
      <c r="S113" s="528"/>
      <c r="T113" s="528"/>
      <c r="U113" s="529">
        <f t="shared" si="27"/>
        <v>-4899838.6247564098</v>
      </c>
      <c r="V113" s="525">
        <f t="shared" si="13"/>
        <v>-5020137.1247564098</v>
      </c>
      <c r="W113" s="530">
        <f t="shared" si="9"/>
        <v>9323112.0244743638</v>
      </c>
      <c r="X113" s="255">
        <f t="shared" si="10"/>
        <v>9099700.52447436</v>
      </c>
      <c r="Y113" s="136">
        <f t="shared" si="18"/>
        <v>14343249.149230774</v>
      </c>
      <c r="Z113" s="548"/>
    </row>
    <row r="114" spans="1:26" hidden="1" outlineLevel="1">
      <c r="A114" s="131"/>
      <c r="B114" s="2" t="s">
        <v>261</v>
      </c>
      <c r="C114" s="131"/>
      <c r="D114" s="113"/>
      <c r="E114" s="113"/>
      <c r="F114" s="113">
        <f t="shared" si="16"/>
        <v>17275998.307692308</v>
      </c>
      <c r="G114" s="525">
        <f t="shared" si="17"/>
        <v>17275998.307692312</v>
      </c>
      <c r="H114" s="113">
        <f t="shared" si="23"/>
        <v>57285</v>
      </c>
      <c r="I114" s="524">
        <f t="shared" si="19"/>
        <v>-3333744.1584615381</v>
      </c>
      <c r="J114" s="525">
        <f t="shared" si="20"/>
        <v>-2990034.1584615377</v>
      </c>
      <c r="K114" s="526">
        <f t="shared" si="26"/>
        <v>13942254.149230771</v>
      </c>
      <c r="L114" s="525">
        <f t="shared" si="24"/>
        <v>-4879788.9522307692</v>
      </c>
      <c r="M114" s="525">
        <f t="shared" si="28"/>
        <v>-20049.75</v>
      </c>
      <c r="N114" s="529"/>
      <c r="O114" s="525">
        <f t="shared" si="25"/>
        <v>0</v>
      </c>
      <c r="P114" s="529">
        <f t="shared" si="15"/>
        <v>13942254.149230771</v>
      </c>
      <c r="Q114" s="528"/>
      <c r="R114" s="528"/>
      <c r="S114" s="528"/>
      <c r="T114" s="528"/>
      <c r="U114" s="529">
        <f t="shared" si="27"/>
        <v>-4879788.8747564098</v>
      </c>
      <c r="V114" s="525">
        <f t="shared" ref="V114:V177" si="29">(U102+U114+SUM(U103:U113)*2)/24</f>
        <v>-5000087.3747564098</v>
      </c>
      <c r="W114" s="530">
        <f t="shared" ref="W114:W177" si="30">G114+J114+V114</f>
        <v>9285876.7744743638</v>
      </c>
      <c r="X114" s="255">
        <f t="shared" si="10"/>
        <v>9062465.27447436</v>
      </c>
      <c r="Y114" s="136">
        <f t="shared" si="18"/>
        <v>14285964.149230774</v>
      </c>
      <c r="Z114" s="548"/>
    </row>
    <row r="115" spans="1:26" hidden="1" outlineLevel="1">
      <c r="A115" s="131"/>
      <c r="B115" s="2" t="s">
        <v>262</v>
      </c>
      <c r="C115" s="131"/>
      <c r="D115" s="113"/>
      <c r="E115" s="113"/>
      <c r="F115" s="113">
        <f t="shared" si="16"/>
        <v>17275998.307692308</v>
      </c>
      <c r="G115" s="525">
        <f t="shared" si="17"/>
        <v>17275998.307692312</v>
      </c>
      <c r="H115" s="113">
        <f t="shared" si="23"/>
        <v>57285</v>
      </c>
      <c r="I115" s="524">
        <f t="shared" si="19"/>
        <v>-3391029.1584615381</v>
      </c>
      <c r="J115" s="525">
        <f t="shared" si="20"/>
        <v>-3047319.1584615377</v>
      </c>
      <c r="K115" s="526">
        <f t="shared" si="26"/>
        <v>13884969.149230771</v>
      </c>
      <c r="L115" s="525">
        <f t="shared" si="24"/>
        <v>-4859739.2022307692</v>
      </c>
      <c r="M115" s="525">
        <f t="shared" si="28"/>
        <v>-20049.75</v>
      </c>
      <c r="N115" s="529"/>
      <c r="O115" s="525">
        <f t="shared" si="25"/>
        <v>0</v>
      </c>
      <c r="P115" s="529">
        <f t="shared" si="15"/>
        <v>13884969.149230771</v>
      </c>
      <c r="Q115" s="528"/>
      <c r="R115" s="528"/>
      <c r="S115" s="528"/>
      <c r="T115" s="528"/>
      <c r="U115" s="529">
        <f t="shared" si="27"/>
        <v>-4859739.1247564098</v>
      </c>
      <c r="V115" s="525">
        <f t="shared" si="29"/>
        <v>-4980037.6247564098</v>
      </c>
      <c r="W115" s="530">
        <f t="shared" si="30"/>
        <v>9248641.5244743638</v>
      </c>
      <c r="X115" s="255">
        <f t="shared" si="10"/>
        <v>9025230.02447436</v>
      </c>
      <c r="Y115" s="136">
        <f t="shared" si="18"/>
        <v>14228679.149230774</v>
      </c>
      <c r="Z115" s="548"/>
    </row>
    <row r="116" spans="1:26" hidden="1" outlineLevel="1">
      <c r="A116" s="131"/>
      <c r="B116" s="2" t="s">
        <v>263</v>
      </c>
      <c r="C116" s="131"/>
      <c r="D116" s="113"/>
      <c r="E116" s="113"/>
      <c r="F116" s="113">
        <f t="shared" si="16"/>
        <v>17275998.307692308</v>
      </c>
      <c r="G116" s="525">
        <f t="shared" si="17"/>
        <v>17275998.307692312</v>
      </c>
      <c r="H116" s="113">
        <f t="shared" si="23"/>
        <v>57285</v>
      </c>
      <c r="I116" s="524">
        <f t="shared" si="19"/>
        <v>-3448314.1584615381</v>
      </c>
      <c r="J116" s="525">
        <f t="shared" si="20"/>
        <v>-3104604.1584615377</v>
      </c>
      <c r="K116" s="526">
        <f t="shared" si="26"/>
        <v>13827684.149230771</v>
      </c>
      <c r="L116" s="525">
        <f t="shared" si="24"/>
        <v>-4839689.4522307692</v>
      </c>
      <c r="M116" s="525">
        <f t="shared" si="28"/>
        <v>-20049.75</v>
      </c>
      <c r="N116" s="529"/>
      <c r="O116" s="525">
        <f t="shared" si="25"/>
        <v>0</v>
      </c>
      <c r="P116" s="529">
        <f t="shared" si="15"/>
        <v>13827684.149230771</v>
      </c>
      <c r="Q116" s="528"/>
      <c r="R116" s="528"/>
      <c r="S116" s="528"/>
      <c r="T116" s="528"/>
      <c r="U116" s="529">
        <f t="shared" si="27"/>
        <v>-4839689.3747564098</v>
      </c>
      <c r="V116" s="525">
        <f t="shared" si="29"/>
        <v>-4959987.8747564098</v>
      </c>
      <c r="W116" s="530">
        <f t="shared" si="30"/>
        <v>9211406.2744743638</v>
      </c>
      <c r="X116" s="255">
        <f t="shared" si="10"/>
        <v>8987994.77447436</v>
      </c>
      <c r="Y116" s="136">
        <f t="shared" si="18"/>
        <v>14171394.149230774</v>
      </c>
      <c r="Z116" s="548"/>
    </row>
    <row r="117" spans="1:26" hidden="1" outlineLevel="1">
      <c r="A117" s="131"/>
      <c r="B117" s="2" t="s">
        <v>264</v>
      </c>
      <c r="C117" s="131"/>
      <c r="D117" s="113"/>
      <c r="E117" s="113"/>
      <c r="F117" s="113">
        <f t="shared" si="16"/>
        <v>17275998.307692308</v>
      </c>
      <c r="G117" s="525">
        <f t="shared" si="17"/>
        <v>17275998.307692312</v>
      </c>
      <c r="H117" s="113">
        <f t="shared" si="23"/>
        <v>57285</v>
      </c>
      <c r="I117" s="524">
        <f t="shared" si="19"/>
        <v>-3505599.1584615381</v>
      </c>
      <c r="J117" s="525">
        <f t="shared" si="20"/>
        <v>-3161889.1584615377</v>
      </c>
      <c r="K117" s="526">
        <f t="shared" si="26"/>
        <v>13770399.149230771</v>
      </c>
      <c r="L117" s="525">
        <f t="shared" si="24"/>
        <v>-4819639.7022307692</v>
      </c>
      <c r="M117" s="525">
        <f t="shared" si="28"/>
        <v>-20049.75</v>
      </c>
      <c r="N117" s="529"/>
      <c r="O117" s="525">
        <f t="shared" si="25"/>
        <v>0</v>
      </c>
      <c r="P117" s="529">
        <f t="shared" si="15"/>
        <v>13770399.149230771</v>
      </c>
      <c r="Q117" s="528"/>
      <c r="R117" s="528"/>
      <c r="S117" s="528"/>
      <c r="T117" s="528"/>
      <c r="U117" s="529">
        <f t="shared" si="27"/>
        <v>-4819639.6247564098</v>
      </c>
      <c r="V117" s="525">
        <f t="shared" si="29"/>
        <v>-4939938.1247564098</v>
      </c>
      <c r="W117" s="530">
        <f t="shared" si="30"/>
        <v>9174171.0244743638</v>
      </c>
      <c r="X117" s="255">
        <f t="shared" ref="X117:X180" si="31">F117+I117+U117</f>
        <v>8950759.52447436</v>
      </c>
      <c r="Y117" s="136">
        <f t="shared" si="18"/>
        <v>14114109.149230774</v>
      </c>
      <c r="Z117" s="548"/>
    </row>
    <row r="118" spans="1:26" hidden="1" outlineLevel="1">
      <c r="A118" s="131"/>
      <c r="B118" s="2" t="s">
        <v>265</v>
      </c>
      <c r="C118" s="131"/>
      <c r="D118" s="113"/>
      <c r="E118" s="113"/>
      <c r="F118" s="113">
        <f t="shared" si="16"/>
        <v>17275998.307692308</v>
      </c>
      <c r="G118" s="525">
        <f t="shared" si="17"/>
        <v>17275998.307692312</v>
      </c>
      <c r="H118" s="113">
        <f t="shared" si="23"/>
        <v>57285</v>
      </c>
      <c r="I118" s="524">
        <f>I117-H118</f>
        <v>-3562884.1584615381</v>
      </c>
      <c r="J118" s="525">
        <f t="shared" si="20"/>
        <v>-3219174.1584615377</v>
      </c>
      <c r="K118" s="526">
        <f t="shared" si="26"/>
        <v>13713114.149230771</v>
      </c>
      <c r="L118" s="525">
        <f t="shared" si="24"/>
        <v>-4799589.9522307692</v>
      </c>
      <c r="M118" s="525">
        <f t="shared" si="28"/>
        <v>-20049.75</v>
      </c>
      <c r="N118" s="529"/>
      <c r="O118" s="525">
        <f t="shared" si="25"/>
        <v>0</v>
      </c>
      <c r="P118" s="529">
        <f t="shared" si="15"/>
        <v>13713114.149230771</v>
      </c>
      <c r="Q118" s="528"/>
      <c r="R118" s="528"/>
      <c r="S118" s="528"/>
      <c r="T118" s="528"/>
      <c r="U118" s="529">
        <f t="shared" si="27"/>
        <v>-4799589.8747564098</v>
      </c>
      <c r="V118" s="525">
        <f t="shared" si="29"/>
        <v>-4919888.3747564098</v>
      </c>
      <c r="W118" s="530">
        <f t="shared" si="30"/>
        <v>9136935.7744743638</v>
      </c>
      <c r="X118" s="255">
        <f t="shared" si="31"/>
        <v>8913524.27447436</v>
      </c>
      <c r="Y118" s="136">
        <f t="shared" si="18"/>
        <v>14056824.149230774</v>
      </c>
      <c r="Z118" s="548"/>
    </row>
    <row r="119" spans="1:26" hidden="1" outlineLevel="1">
      <c r="A119" s="131"/>
      <c r="B119" s="2" t="s">
        <v>266</v>
      </c>
      <c r="C119" s="131"/>
      <c r="D119" s="113"/>
      <c r="E119" s="113"/>
      <c r="F119" s="113">
        <f t="shared" si="16"/>
        <v>17275998.307692308</v>
      </c>
      <c r="G119" s="525">
        <f t="shared" si="17"/>
        <v>17275998.307692312</v>
      </c>
      <c r="H119" s="113">
        <f t="shared" si="23"/>
        <v>57285</v>
      </c>
      <c r="I119" s="524">
        <f t="shared" ref="I119:I182" si="32">I118-H119</f>
        <v>-3620169.1584615381</v>
      </c>
      <c r="J119" s="525">
        <f t="shared" si="20"/>
        <v>-3276459.1584615377</v>
      </c>
      <c r="K119" s="526">
        <f t="shared" si="26"/>
        <v>13655829.149230771</v>
      </c>
      <c r="L119" s="525">
        <f t="shared" si="24"/>
        <v>-4779540.2022307692</v>
      </c>
      <c r="M119" s="525">
        <f t="shared" si="28"/>
        <v>-20049.75</v>
      </c>
      <c r="N119" s="529"/>
      <c r="O119" s="525">
        <f t="shared" si="25"/>
        <v>0</v>
      </c>
      <c r="P119" s="529">
        <f t="shared" si="15"/>
        <v>13655829.149230771</v>
      </c>
      <c r="Q119" s="528"/>
      <c r="R119" s="528"/>
      <c r="S119" s="528"/>
      <c r="T119" s="528"/>
      <c r="U119" s="529">
        <f t="shared" si="27"/>
        <v>-4779540.1247564098</v>
      </c>
      <c r="V119" s="525">
        <f t="shared" si="29"/>
        <v>-4899838.6247564098</v>
      </c>
      <c r="W119" s="530">
        <f t="shared" si="30"/>
        <v>9099700.5244743638</v>
      </c>
      <c r="X119" s="255">
        <f t="shared" si="31"/>
        <v>8876289.02447436</v>
      </c>
      <c r="Y119" s="136">
        <f t="shared" si="18"/>
        <v>13999539.149230774</v>
      </c>
      <c r="Z119" s="548"/>
    </row>
    <row r="120" spans="1:26" hidden="1" outlineLevel="1">
      <c r="A120" s="131"/>
      <c r="B120" s="2" t="s">
        <v>267</v>
      </c>
      <c r="C120" s="131"/>
      <c r="D120" s="113"/>
      <c r="E120" s="113"/>
      <c r="F120" s="113">
        <f t="shared" si="16"/>
        <v>17275998.307692308</v>
      </c>
      <c r="G120" s="525">
        <f t="shared" si="17"/>
        <v>17275998.307692312</v>
      </c>
      <c r="H120" s="113">
        <f t="shared" si="23"/>
        <v>57285</v>
      </c>
      <c r="I120" s="524">
        <f t="shared" si="32"/>
        <v>-3677454.1584615381</v>
      </c>
      <c r="J120" s="525">
        <f t="shared" si="20"/>
        <v>-3333744.1584615377</v>
      </c>
      <c r="K120" s="526">
        <f t="shared" si="26"/>
        <v>13598544.149230771</v>
      </c>
      <c r="L120" s="525">
        <f t="shared" si="24"/>
        <v>-4759490.4522307692</v>
      </c>
      <c r="M120" s="525">
        <f t="shared" si="28"/>
        <v>-20049.75</v>
      </c>
      <c r="N120" s="529"/>
      <c r="O120" s="525">
        <f t="shared" si="25"/>
        <v>0</v>
      </c>
      <c r="P120" s="529">
        <f t="shared" si="15"/>
        <v>13598544.149230771</v>
      </c>
      <c r="Q120" s="528"/>
      <c r="R120" s="528"/>
      <c r="S120" s="528"/>
      <c r="T120" s="528"/>
      <c r="U120" s="529">
        <f t="shared" si="27"/>
        <v>-4759490.3747564098</v>
      </c>
      <c r="V120" s="525">
        <f t="shared" si="29"/>
        <v>-4879788.8747564098</v>
      </c>
      <c r="W120" s="530">
        <f t="shared" si="30"/>
        <v>9062465.2744743638</v>
      </c>
      <c r="X120" s="255">
        <f t="shared" si="31"/>
        <v>8839053.77447436</v>
      </c>
      <c r="Y120" s="136">
        <f t="shared" si="18"/>
        <v>13942254.149230774</v>
      </c>
      <c r="Z120" s="548"/>
    </row>
    <row r="121" spans="1:26" hidden="1" outlineLevel="1">
      <c r="A121" s="131"/>
      <c r="B121" s="2" t="s">
        <v>268</v>
      </c>
      <c r="C121" s="131"/>
      <c r="D121" s="113"/>
      <c r="E121" s="113"/>
      <c r="F121" s="113">
        <f t="shared" si="16"/>
        <v>17275998.307692308</v>
      </c>
      <c r="G121" s="525">
        <f t="shared" si="17"/>
        <v>17275998.307692312</v>
      </c>
      <c r="H121" s="113">
        <f t="shared" si="23"/>
        <v>57285</v>
      </c>
      <c r="I121" s="524">
        <f t="shared" si="32"/>
        <v>-3734739.1584615381</v>
      </c>
      <c r="J121" s="525">
        <f t="shared" si="20"/>
        <v>-3391029.1584615386</v>
      </c>
      <c r="K121" s="526">
        <f t="shared" si="26"/>
        <v>13541259.149230771</v>
      </c>
      <c r="L121" s="525">
        <f t="shared" si="24"/>
        <v>-4739440.7022307692</v>
      </c>
      <c r="M121" s="525">
        <f t="shared" si="28"/>
        <v>-20049.75</v>
      </c>
      <c r="N121" s="529"/>
      <c r="O121" s="525">
        <f t="shared" si="25"/>
        <v>0</v>
      </c>
      <c r="P121" s="529">
        <f t="shared" ref="P121:P184" si="33">K121+O121</f>
        <v>13541259.149230771</v>
      </c>
      <c r="Q121" s="528"/>
      <c r="R121" s="528"/>
      <c r="S121" s="528"/>
      <c r="T121" s="528"/>
      <c r="U121" s="529">
        <f t="shared" si="27"/>
        <v>-4739440.6247564098</v>
      </c>
      <c r="V121" s="525">
        <f t="shared" si="29"/>
        <v>-4859739.1247564098</v>
      </c>
      <c r="W121" s="530">
        <f t="shared" si="30"/>
        <v>9025230.0244743638</v>
      </c>
      <c r="X121" s="255">
        <f t="shared" si="31"/>
        <v>8801818.52447436</v>
      </c>
      <c r="Y121" s="136">
        <f t="shared" si="18"/>
        <v>13884969.149230773</v>
      </c>
      <c r="Z121" s="548"/>
    </row>
    <row r="122" spans="1:26" hidden="1" outlineLevel="1">
      <c r="A122" s="131"/>
      <c r="B122" s="2" t="s">
        <v>269</v>
      </c>
      <c r="C122" s="131"/>
      <c r="D122" s="113"/>
      <c r="E122" s="113"/>
      <c r="F122" s="113">
        <f t="shared" ref="F122:F185" si="34">F121</f>
        <v>17275998.307692308</v>
      </c>
      <c r="G122" s="525">
        <f t="shared" ref="G122:G185" si="35">(F110+F122+SUM(F111:F121)*2)/24</f>
        <v>17275998.307692312</v>
      </c>
      <c r="H122" s="113">
        <f t="shared" si="23"/>
        <v>57285</v>
      </c>
      <c r="I122" s="524">
        <f t="shared" si="32"/>
        <v>-3792024.1584615381</v>
      </c>
      <c r="J122" s="525">
        <f t="shared" si="20"/>
        <v>-3448314.1584615386</v>
      </c>
      <c r="K122" s="526">
        <f t="shared" si="26"/>
        <v>13483974.149230771</v>
      </c>
      <c r="L122" s="525">
        <f t="shared" si="24"/>
        <v>-4719390.9522307692</v>
      </c>
      <c r="M122" s="525">
        <f t="shared" si="28"/>
        <v>-20049.75</v>
      </c>
      <c r="N122" s="529"/>
      <c r="O122" s="525">
        <f t="shared" si="25"/>
        <v>0</v>
      </c>
      <c r="P122" s="529">
        <f t="shared" si="33"/>
        <v>13483974.149230771</v>
      </c>
      <c r="Q122" s="528"/>
      <c r="R122" s="528"/>
      <c r="S122" s="528"/>
      <c r="T122" s="528"/>
      <c r="U122" s="529">
        <f t="shared" si="27"/>
        <v>-4719390.8747564098</v>
      </c>
      <c r="V122" s="525">
        <f t="shared" si="29"/>
        <v>-4839689.3747564098</v>
      </c>
      <c r="W122" s="530">
        <f t="shared" si="30"/>
        <v>8987994.7744743638</v>
      </c>
      <c r="X122" s="255">
        <f t="shared" si="31"/>
        <v>8764583.27447436</v>
      </c>
      <c r="Y122" s="136">
        <f t="shared" ref="Y122:Y185" si="36">G122+J122</f>
        <v>13827684.149230773</v>
      </c>
      <c r="Z122" s="548"/>
    </row>
    <row r="123" spans="1:26" hidden="1" outlineLevel="1">
      <c r="A123" s="131"/>
      <c r="B123" s="2" t="s">
        <v>270</v>
      </c>
      <c r="C123" s="131"/>
      <c r="D123" s="113"/>
      <c r="E123" s="113"/>
      <c r="F123" s="113">
        <f t="shared" si="34"/>
        <v>17275998.307692308</v>
      </c>
      <c r="G123" s="525">
        <f t="shared" si="35"/>
        <v>17275998.307692312</v>
      </c>
      <c r="H123" s="113">
        <f t="shared" si="23"/>
        <v>57285</v>
      </c>
      <c r="I123" s="524">
        <f t="shared" si="32"/>
        <v>-3849309.1584615381</v>
      </c>
      <c r="J123" s="525">
        <f t="shared" ref="J123:J186" si="37">(I111+I123+SUM(I112:I122)*2)/24</f>
        <v>-3505599.1584615386</v>
      </c>
      <c r="K123" s="526">
        <f t="shared" si="26"/>
        <v>13426689.149230771</v>
      </c>
      <c r="L123" s="525">
        <f t="shared" si="24"/>
        <v>-4699341.2022307692</v>
      </c>
      <c r="M123" s="525">
        <f t="shared" si="28"/>
        <v>-20049.75</v>
      </c>
      <c r="N123" s="529"/>
      <c r="O123" s="525">
        <f t="shared" si="25"/>
        <v>0</v>
      </c>
      <c r="P123" s="529">
        <f t="shared" si="33"/>
        <v>13426689.149230771</v>
      </c>
      <c r="Q123" s="528"/>
      <c r="R123" s="528"/>
      <c r="S123" s="528"/>
      <c r="T123" s="528"/>
      <c r="U123" s="529">
        <f t="shared" si="27"/>
        <v>-4699341.1247564098</v>
      </c>
      <c r="V123" s="525">
        <f t="shared" si="29"/>
        <v>-4819639.6247564098</v>
      </c>
      <c r="W123" s="530">
        <f t="shared" si="30"/>
        <v>8950759.5244743638</v>
      </c>
      <c r="X123" s="255">
        <f t="shared" si="31"/>
        <v>8727348.02447436</v>
      </c>
      <c r="Y123" s="136">
        <f t="shared" si="36"/>
        <v>13770399.149230773</v>
      </c>
      <c r="Z123" s="548"/>
    </row>
    <row r="124" spans="1:26" hidden="1" outlineLevel="1">
      <c r="A124" s="131"/>
      <c r="B124" s="2" t="s">
        <v>271</v>
      </c>
      <c r="C124" s="131"/>
      <c r="D124" s="113"/>
      <c r="E124" s="113"/>
      <c r="F124" s="113">
        <f t="shared" si="34"/>
        <v>17275998.307692308</v>
      </c>
      <c r="G124" s="525">
        <f t="shared" si="35"/>
        <v>17275998.307692312</v>
      </c>
      <c r="H124" s="113">
        <f t="shared" si="23"/>
        <v>57285</v>
      </c>
      <c r="I124" s="524">
        <f t="shared" si="32"/>
        <v>-3906594.1584615381</v>
      </c>
      <c r="J124" s="525">
        <f t="shared" si="37"/>
        <v>-3562884.1584615386</v>
      </c>
      <c r="K124" s="526">
        <f t="shared" si="26"/>
        <v>13369404.149230771</v>
      </c>
      <c r="L124" s="525">
        <f t="shared" si="24"/>
        <v>-4679291.4522307692</v>
      </c>
      <c r="M124" s="525">
        <f t="shared" si="28"/>
        <v>-20049.75</v>
      </c>
      <c r="N124" s="529"/>
      <c r="O124" s="525">
        <f t="shared" si="25"/>
        <v>0</v>
      </c>
      <c r="P124" s="529">
        <f t="shared" si="33"/>
        <v>13369404.149230771</v>
      </c>
      <c r="Q124" s="528"/>
      <c r="R124" s="528"/>
      <c r="S124" s="528"/>
      <c r="T124" s="528"/>
      <c r="U124" s="529">
        <f t="shared" si="27"/>
        <v>-4679291.3747564098</v>
      </c>
      <c r="V124" s="525">
        <f t="shared" si="29"/>
        <v>-4799589.8747564098</v>
      </c>
      <c r="W124" s="530">
        <f t="shared" si="30"/>
        <v>8913524.2744743638</v>
      </c>
      <c r="X124" s="255">
        <f t="shared" si="31"/>
        <v>8690112.77447436</v>
      </c>
      <c r="Y124" s="136">
        <f t="shared" si="36"/>
        <v>13713114.149230773</v>
      </c>
      <c r="Z124" s="548"/>
    </row>
    <row r="125" spans="1:26" s="563" customFormat="1" collapsed="1">
      <c r="A125" s="781"/>
      <c r="B125" s="134" t="s">
        <v>272</v>
      </c>
      <c r="C125" s="781"/>
      <c r="D125" s="814"/>
      <c r="E125" s="814"/>
      <c r="F125" s="814">
        <f t="shared" si="34"/>
        <v>17275998.307692308</v>
      </c>
      <c r="G125" s="814">
        <f t="shared" si="35"/>
        <v>17275998.307692312</v>
      </c>
      <c r="H125" s="814">
        <f t="shared" si="23"/>
        <v>57285</v>
      </c>
      <c r="I125" s="814">
        <f t="shared" si="32"/>
        <v>-3963879.1584615381</v>
      </c>
      <c r="J125" s="814">
        <f t="shared" si="37"/>
        <v>-3620169.1584615386</v>
      </c>
      <c r="K125" s="814">
        <f t="shared" si="26"/>
        <v>13312119.149230771</v>
      </c>
      <c r="L125" s="814">
        <f>H125*21%+L124</f>
        <v>-4667261.6022307696</v>
      </c>
      <c r="M125" s="814">
        <f t="shared" si="28"/>
        <v>-12029.849999999627</v>
      </c>
      <c r="N125" s="814"/>
      <c r="O125" s="814">
        <f t="shared" si="25"/>
        <v>0</v>
      </c>
      <c r="P125" s="814">
        <f t="shared" si="33"/>
        <v>13312119.149230771</v>
      </c>
      <c r="Q125" s="816"/>
      <c r="R125" s="816"/>
      <c r="S125" s="816"/>
      <c r="T125" s="816"/>
      <c r="U125" s="814">
        <f t="shared" si="27"/>
        <v>-4667261.5247564102</v>
      </c>
      <c r="V125" s="814">
        <f t="shared" si="29"/>
        <v>-4779874.2872564094</v>
      </c>
      <c r="W125" s="818">
        <f t="shared" si="30"/>
        <v>8875954.8619743623</v>
      </c>
      <c r="X125" s="358">
        <f t="shared" si="31"/>
        <v>8644857.6244743615</v>
      </c>
      <c r="Y125" s="561">
        <f t="shared" si="36"/>
        <v>13655829.149230773</v>
      </c>
      <c r="Z125" s="548"/>
    </row>
    <row r="126" spans="1:26" s="563" customFormat="1">
      <c r="A126" s="781"/>
      <c r="B126" s="134" t="s">
        <v>273</v>
      </c>
      <c r="C126" s="781"/>
      <c r="D126" s="814"/>
      <c r="E126" s="814"/>
      <c r="F126" s="814">
        <f t="shared" si="34"/>
        <v>17275998.307692308</v>
      </c>
      <c r="G126" s="814">
        <f t="shared" si="35"/>
        <v>17275998.307692312</v>
      </c>
      <c r="H126" s="814">
        <f t="shared" si="23"/>
        <v>57285</v>
      </c>
      <c r="I126" s="814">
        <f t="shared" si="32"/>
        <v>-4021164.1584615381</v>
      </c>
      <c r="J126" s="814">
        <f t="shared" si="37"/>
        <v>-3677454.1584615386</v>
      </c>
      <c r="K126" s="814">
        <f t="shared" si="26"/>
        <v>13254834.149230771</v>
      </c>
      <c r="L126" s="814">
        <f t="shared" ref="L126:L141" si="38">H126*21%+L125</f>
        <v>-4655231.75223077</v>
      </c>
      <c r="M126" s="814">
        <f t="shared" si="28"/>
        <v>-12029.849999999627</v>
      </c>
      <c r="N126" s="814"/>
      <c r="O126" s="814">
        <f t="shared" si="25"/>
        <v>0</v>
      </c>
      <c r="P126" s="814">
        <f t="shared" si="33"/>
        <v>13254834.149230771</v>
      </c>
      <c r="Q126" s="816"/>
      <c r="R126" s="816"/>
      <c r="S126" s="816"/>
      <c r="T126" s="816"/>
      <c r="U126" s="814">
        <f t="shared" si="27"/>
        <v>-4655231.6747564105</v>
      </c>
      <c r="V126" s="814">
        <f t="shared" si="29"/>
        <v>-4760827.0247564102</v>
      </c>
      <c r="W126" s="818">
        <f t="shared" si="30"/>
        <v>8837717.1244743615</v>
      </c>
      <c r="X126" s="358">
        <f t="shared" si="31"/>
        <v>8599602.4744743593</v>
      </c>
      <c r="Y126" s="561">
        <f t="shared" si="36"/>
        <v>13598544.149230773</v>
      </c>
      <c r="Z126" s="548"/>
    </row>
    <row r="127" spans="1:26" s="563" customFormat="1">
      <c r="A127" s="781"/>
      <c r="B127" s="134" t="s">
        <v>274</v>
      </c>
      <c r="C127" s="781"/>
      <c r="D127" s="814"/>
      <c r="E127" s="814"/>
      <c r="F127" s="814">
        <f t="shared" si="34"/>
        <v>17275998.307692308</v>
      </c>
      <c r="G127" s="814">
        <f t="shared" si="35"/>
        <v>17275998.307692312</v>
      </c>
      <c r="H127" s="814">
        <f t="shared" si="23"/>
        <v>57285</v>
      </c>
      <c r="I127" s="814">
        <f t="shared" si="32"/>
        <v>-4078449.1584615381</v>
      </c>
      <c r="J127" s="814">
        <f t="shared" si="37"/>
        <v>-3734739.1584615386</v>
      </c>
      <c r="K127" s="814">
        <f t="shared" si="26"/>
        <v>13197549.149230771</v>
      </c>
      <c r="L127" s="814">
        <f t="shared" si="38"/>
        <v>-4643201.9022307703</v>
      </c>
      <c r="M127" s="814">
        <f t="shared" si="28"/>
        <v>-12029.849999999627</v>
      </c>
      <c r="N127" s="814"/>
      <c r="O127" s="814">
        <f t="shared" si="25"/>
        <v>0</v>
      </c>
      <c r="P127" s="814">
        <f t="shared" si="33"/>
        <v>13197549.149230771</v>
      </c>
      <c r="Q127" s="816"/>
      <c r="R127" s="816"/>
      <c r="S127" s="816"/>
      <c r="T127" s="816"/>
      <c r="U127" s="814">
        <f t="shared" si="27"/>
        <v>-4643201.8247564109</v>
      </c>
      <c r="V127" s="814">
        <f t="shared" si="29"/>
        <v>-4742448.0872564102</v>
      </c>
      <c r="W127" s="818">
        <f t="shared" si="30"/>
        <v>8798811.0619743615</v>
      </c>
      <c r="X127" s="358">
        <f t="shared" si="31"/>
        <v>8554347.3244743608</v>
      </c>
      <c r="Y127" s="561">
        <f t="shared" si="36"/>
        <v>13541259.149230773</v>
      </c>
      <c r="Z127" s="548"/>
    </row>
    <row r="128" spans="1:26" s="563" customFormat="1">
      <c r="A128" s="781"/>
      <c r="B128" s="134" t="s">
        <v>275</v>
      </c>
      <c r="C128" s="781"/>
      <c r="D128" s="814"/>
      <c r="E128" s="814"/>
      <c r="F128" s="814">
        <f t="shared" si="34"/>
        <v>17275998.307692308</v>
      </c>
      <c r="G128" s="814">
        <f t="shared" si="35"/>
        <v>17275998.307692312</v>
      </c>
      <c r="H128" s="814">
        <f t="shared" si="23"/>
        <v>57285</v>
      </c>
      <c r="I128" s="814">
        <f t="shared" si="32"/>
        <v>-4135734.1584615381</v>
      </c>
      <c r="J128" s="814">
        <f t="shared" si="37"/>
        <v>-3792024.1584615386</v>
      </c>
      <c r="K128" s="814">
        <f t="shared" si="26"/>
        <v>13140264.149230771</v>
      </c>
      <c r="L128" s="814">
        <f t="shared" si="38"/>
        <v>-4631172.0522307707</v>
      </c>
      <c r="M128" s="814">
        <f t="shared" si="28"/>
        <v>-12029.849999999627</v>
      </c>
      <c r="N128" s="814"/>
      <c r="O128" s="814">
        <f t="shared" si="25"/>
        <v>0</v>
      </c>
      <c r="P128" s="814">
        <f t="shared" si="33"/>
        <v>13140264.149230771</v>
      </c>
      <c r="Q128" s="816"/>
      <c r="R128" s="816"/>
      <c r="S128" s="816"/>
      <c r="T128" s="816"/>
      <c r="U128" s="814">
        <f t="shared" si="27"/>
        <v>-4631171.9747564113</v>
      </c>
      <c r="V128" s="814">
        <f t="shared" si="29"/>
        <v>-4724737.4747564094</v>
      </c>
      <c r="W128" s="818">
        <f t="shared" si="30"/>
        <v>8759236.6744743623</v>
      </c>
      <c r="X128" s="358">
        <f t="shared" si="31"/>
        <v>8509092.1744743586</v>
      </c>
      <c r="Y128" s="561">
        <f t="shared" si="36"/>
        <v>13483974.149230773</v>
      </c>
      <c r="Z128" s="548"/>
    </row>
    <row r="129" spans="1:26" s="563" customFormat="1">
      <c r="A129" s="781"/>
      <c r="B129" s="134" t="s">
        <v>276</v>
      </c>
      <c r="C129" s="781"/>
      <c r="D129" s="814"/>
      <c r="E129" s="814"/>
      <c r="F129" s="814">
        <f t="shared" si="34"/>
        <v>17275998.307692308</v>
      </c>
      <c r="G129" s="814">
        <f t="shared" si="35"/>
        <v>17275998.307692312</v>
      </c>
      <c r="H129" s="814">
        <f t="shared" si="23"/>
        <v>57285</v>
      </c>
      <c r="I129" s="814">
        <f t="shared" si="32"/>
        <v>-4193019.1584615381</v>
      </c>
      <c r="J129" s="814">
        <f t="shared" si="37"/>
        <v>-3849309.1584615386</v>
      </c>
      <c r="K129" s="814">
        <f t="shared" si="26"/>
        <v>13082979.149230771</v>
      </c>
      <c r="L129" s="814">
        <f t="shared" si="38"/>
        <v>-4619142.2022307711</v>
      </c>
      <c r="M129" s="814">
        <f t="shared" si="28"/>
        <v>-12029.849999999627</v>
      </c>
      <c r="N129" s="814"/>
      <c r="O129" s="814">
        <f t="shared" si="25"/>
        <v>0</v>
      </c>
      <c r="P129" s="814">
        <f t="shared" si="33"/>
        <v>13082979.149230771</v>
      </c>
      <c r="Q129" s="816"/>
      <c r="R129" s="816"/>
      <c r="S129" s="816"/>
      <c r="T129" s="816"/>
      <c r="U129" s="814">
        <f t="shared" si="27"/>
        <v>-4619142.1247564116</v>
      </c>
      <c r="V129" s="814">
        <f t="shared" si="29"/>
        <v>-4707695.1872564107</v>
      </c>
      <c r="W129" s="818">
        <f t="shared" si="30"/>
        <v>8718993.9619743619</v>
      </c>
      <c r="X129" s="358">
        <f t="shared" si="31"/>
        <v>8463837.02447436</v>
      </c>
      <c r="Y129" s="561">
        <f t="shared" si="36"/>
        <v>13426689.149230773</v>
      </c>
      <c r="Z129" s="548"/>
    </row>
    <row r="130" spans="1:26" s="563" customFormat="1">
      <c r="A130" s="781"/>
      <c r="B130" s="134" t="s">
        <v>277</v>
      </c>
      <c r="C130" s="781"/>
      <c r="D130" s="814"/>
      <c r="E130" s="814"/>
      <c r="F130" s="814">
        <f t="shared" si="34"/>
        <v>17275998.307692308</v>
      </c>
      <c r="G130" s="814">
        <f t="shared" si="35"/>
        <v>17275998.307692312</v>
      </c>
      <c r="H130" s="814">
        <f t="shared" si="23"/>
        <v>57285</v>
      </c>
      <c r="I130" s="814">
        <f t="shared" si="32"/>
        <v>-4250304.1584615381</v>
      </c>
      <c r="J130" s="814">
        <f t="shared" si="37"/>
        <v>-3906594.1584615386</v>
      </c>
      <c r="K130" s="814">
        <f t="shared" si="26"/>
        <v>13025694.149230771</v>
      </c>
      <c r="L130" s="814">
        <f t="shared" si="38"/>
        <v>-4607112.3522307714</v>
      </c>
      <c r="M130" s="814">
        <f t="shared" si="28"/>
        <v>-12029.849999999627</v>
      </c>
      <c r="N130" s="814"/>
      <c r="O130" s="814">
        <f t="shared" si="25"/>
        <v>0</v>
      </c>
      <c r="P130" s="814">
        <f t="shared" si="33"/>
        <v>13025694.149230771</v>
      </c>
      <c r="Q130" s="816"/>
      <c r="R130" s="816"/>
      <c r="S130" s="816"/>
      <c r="T130" s="816"/>
      <c r="U130" s="814">
        <f t="shared" si="27"/>
        <v>-4607112.274756412</v>
      </c>
      <c r="V130" s="814">
        <f t="shared" si="29"/>
        <v>-4691321.2247564113</v>
      </c>
      <c r="W130" s="818">
        <f t="shared" si="30"/>
        <v>8678082.9244743623</v>
      </c>
      <c r="X130" s="358">
        <f t="shared" si="31"/>
        <v>8418581.8744743578</v>
      </c>
      <c r="Y130" s="561">
        <f t="shared" si="36"/>
        <v>13369404.149230773</v>
      </c>
      <c r="Z130" s="548"/>
    </row>
    <row r="131" spans="1:26" s="563" customFormat="1">
      <c r="A131" s="781"/>
      <c r="B131" s="134" t="s">
        <v>278</v>
      </c>
      <c r="C131" s="781"/>
      <c r="D131" s="814"/>
      <c r="E131" s="814"/>
      <c r="F131" s="814">
        <f t="shared" si="34"/>
        <v>17275998.307692308</v>
      </c>
      <c r="G131" s="814">
        <f t="shared" si="35"/>
        <v>17275998.307692312</v>
      </c>
      <c r="H131" s="814">
        <f t="shared" si="23"/>
        <v>57285</v>
      </c>
      <c r="I131" s="814">
        <f t="shared" si="32"/>
        <v>-4307589.1584615381</v>
      </c>
      <c r="J131" s="814">
        <f t="shared" si="37"/>
        <v>-3963879.1584615386</v>
      </c>
      <c r="K131" s="814">
        <f t="shared" si="26"/>
        <v>12968409.149230771</v>
      </c>
      <c r="L131" s="814">
        <f t="shared" si="38"/>
        <v>-4595082.5022307718</v>
      </c>
      <c r="M131" s="814">
        <f t="shared" si="28"/>
        <v>-12029.849999999627</v>
      </c>
      <c r="N131" s="814"/>
      <c r="O131" s="814">
        <f t="shared" si="25"/>
        <v>0</v>
      </c>
      <c r="P131" s="814">
        <f t="shared" si="33"/>
        <v>12968409.149230771</v>
      </c>
      <c r="Q131" s="816"/>
      <c r="R131" s="816"/>
      <c r="S131" s="816"/>
      <c r="T131" s="816"/>
      <c r="U131" s="814">
        <f t="shared" si="27"/>
        <v>-4595082.4247564124</v>
      </c>
      <c r="V131" s="814">
        <f t="shared" si="29"/>
        <v>-4675615.5872564102</v>
      </c>
      <c r="W131" s="818">
        <f t="shared" si="30"/>
        <v>8636503.5619743615</v>
      </c>
      <c r="X131" s="358">
        <f t="shared" si="31"/>
        <v>8373326.7244743584</v>
      </c>
      <c r="Y131" s="561">
        <f t="shared" si="36"/>
        <v>13312119.149230773</v>
      </c>
      <c r="Z131" s="548"/>
    </row>
    <row r="132" spans="1:26" s="563" customFormat="1">
      <c r="A132" s="781"/>
      <c r="B132" s="134" t="s">
        <v>279</v>
      </c>
      <c r="C132" s="781"/>
      <c r="D132" s="814"/>
      <c r="E132" s="814"/>
      <c r="F132" s="814">
        <f t="shared" si="34"/>
        <v>17275998.307692308</v>
      </c>
      <c r="G132" s="814">
        <f t="shared" si="35"/>
        <v>17275998.307692312</v>
      </c>
      <c r="H132" s="814">
        <f t="shared" si="23"/>
        <v>57285</v>
      </c>
      <c r="I132" s="814">
        <f t="shared" si="32"/>
        <v>-4364874.1584615381</v>
      </c>
      <c r="J132" s="814">
        <f t="shared" si="37"/>
        <v>-4021164.1584615386</v>
      </c>
      <c r="K132" s="814">
        <f t="shared" si="26"/>
        <v>12911124.149230771</v>
      </c>
      <c r="L132" s="814">
        <f t="shared" si="38"/>
        <v>-4583052.6522307722</v>
      </c>
      <c r="M132" s="814">
        <f t="shared" si="28"/>
        <v>-12029.849999999627</v>
      </c>
      <c r="N132" s="814"/>
      <c r="O132" s="814">
        <f t="shared" si="25"/>
        <v>0</v>
      </c>
      <c r="P132" s="814">
        <f t="shared" si="33"/>
        <v>12911124.149230771</v>
      </c>
      <c r="Q132" s="816"/>
      <c r="R132" s="816"/>
      <c r="S132" s="816"/>
      <c r="T132" s="816"/>
      <c r="U132" s="814">
        <f t="shared" si="27"/>
        <v>-4583052.5747564128</v>
      </c>
      <c r="V132" s="814">
        <f t="shared" si="29"/>
        <v>-4660578.2747564102</v>
      </c>
      <c r="W132" s="818">
        <f t="shared" si="30"/>
        <v>8594255.8744743615</v>
      </c>
      <c r="X132" s="358">
        <f t="shared" si="31"/>
        <v>8328071.574474358</v>
      </c>
      <c r="Y132" s="561">
        <f t="shared" si="36"/>
        <v>13254834.149230773</v>
      </c>
      <c r="Z132" s="548"/>
    </row>
    <row r="133" spans="1:26" s="563" customFormat="1">
      <c r="A133" s="781"/>
      <c r="B133" s="134" t="s">
        <v>280</v>
      </c>
      <c r="C133" s="781"/>
      <c r="D133" s="814"/>
      <c r="E133" s="814"/>
      <c r="F133" s="814">
        <f t="shared" si="34"/>
        <v>17275998.307692308</v>
      </c>
      <c r="G133" s="814">
        <f t="shared" si="35"/>
        <v>17275998.307692312</v>
      </c>
      <c r="H133" s="814">
        <f t="shared" si="23"/>
        <v>57285</v>
      </c>
      <c r="I133" s="814">
        <f t="shared" si="32"/>
        <v>-4422159.1584615381</v>
      </c>
      <c r="J133" s="814">
        <f t="shared" si="37"/>
        <v>-4078449.1584615386</v>
      </c>
      <c r="K133" s="814">
        <f t="shared" si="26"/>
        <v>12853839.149230771</v>
      </c>
      <c r="L133" s="814">
        <f t="shared" si="38"/>
        <v>-4571022.8022307726</v>
      </c>
      <c r="M133" s="814">
        <f t="shared" si="28"/>
        <v>-12029.849999999627</v>
      </c>
      <c r="N133" s="814"/>
      <c r="O133" s="814">
        <f t="shared" si="25"/>
        <v>0</v>
      </c>
      <c r="P133" s="814">
        <f t="shared" si="33"/>
        <v>12853839.149230771</v>
      </c>
      <c r="Q133" s="816"/>
      <c r="R133" s="816"/>
      <c r="S133" s="816"/>
      <c r="T133" s="816"/>
      <c r="U133" s="814">
        <f t="shared" si="27"/>
        <v>-4571022.7247564131</v>
      </c>
      <c r="V133" s="814">
        <f t="shared" si="29"/>
        <v>-4646209.2872564113</v>
      </c>
      <c r="W133" s="818">
        <f t="shared" si="30"/>
        <v>8551339.8619743623</v>
      </c>
      <c r="X133" s="358">
        <f t="shared" si="31"/>
        <v>8282816.4244743576</v>
      </c>
      <c r="Y133" s="561">
        <f t="shared" si="36"/>
        <v>13197549.149230773</v>
      </c>
      <c r="Z133" s="548"/>
    </row>
    <row r="134" spans="1:26" s="563" customFormat="1">
      <c r="A134" s="781"/>
      <c r="B134" s="134" t="s">
        <v>281</v>
      </c>
      <c r="C134" s="781"/>
      <c r="D134" s="814"/>
      <c r="E134" s="814"/>
      <c r="F134" s="814">
        <f t="shared" si="34"/>
        <v>17275998.307692308</v>
      </c>
      <c r="G134" s="814">
        <f t="shared" si="35"/>
        <v>17275998.307692312</v>
      </c>
      <c r="H134" s="814">
        <f t="shared" si="23"/>
        <v>57285</v>
      </c>
      <c r="I134" s="814">
        <f t="shared" si="32"/>
        <v>-4479444.1584615381</v>
      </c>
      <c r="J134" s="814">
        <f t="shared" si="37"/>
        <v>-4135734.1584615386</v>
      </c>
      <c r="K134" s="814">
        <f t="shared" si="26"/>
        <v>12796554.149230771</v>
      </c>
      <c r="L134" s="814">
        <f t="shared" si="38"/>
        <v>-4558992.9522307729</v>
      </c>
      <c r="M134" s="814">
        <f t="shared" si="28"/>
        <v>-12029.849999999627</v>
      </c>
      <c r="N134" s="814"/>
      <c r="O134" s="814">
        <f t="shared" si="25"/>
        <v>0</v>
      </c>
      <c r="P134" s="814">
        <f t="shared" si="33"/>
        <v>12796554.149230771</v>
      </c>
      <c r="Q134" s="816"/>
      <c r="R134" s="816"/>
      <c r="S134" s="816"/>
      <c r="T134" s="816"/>
      <c r="U134" s="814">
        <f t="shared" si="27"/>
        <v>-4558992.8747564135</v>
      </c>
      <c r="V134" s="814">
        <f t="shared" si="29"/>
        <v>-4632508.6247564116</v>
      </c>
      <c r="W134" s="818">
        <f t="shared" si="30"/>
        <v>8507755.52447436</v>
      </c>
      <c r="X134" s="358">
        <f t="shared" si="31"/>
        <v>8237561.2744743573</v>
      </c>
      <c r="Y134" s="561">
        <f t="shared" si="36"/>
        <v>13140264.149230773</v>
      </c>
      <c r="Z134" s="548"/>
    </row>
    <row r="135" spans="1:26" s="563" customFormat="1">
      <c r="A135" s="781"/>
      <c r="B135" s="134" t="s">
        <v>282</v>
      </c>
      <c r="C135" s="781"/>
      <c r="D135" s="814"/>
      <c r="E135" s="814"/>
      <c r="F135" s="814">
        <f t="shared" si="34"/>
        <v>17275998.307692308</v>
      </c>
      <c r="G135" s="814">
        <f t="shared" si="35"/>
        <v>17275998.307692312</v>
      </c>
      <c r="H135" s="814">
        <f t="shared" si="23"/>
        <v>57285</v>
      </c>
      <c r="I135" s="814">
        <f t="shared" si="32"/>
        <v>-4536729.1584615381</v>
      </c>
      <c r="J135" s="814">
        <f t="shared" si="37"/>
        <v>-4193019.1584615386</v>
      </c>
      <c r="K135" s="814">
        <f t="shared" si="26"/>
        <v>12739269.149230771</v>
      </c>
      <c r="L135" s="814">
        <f t="shared" si="38"/>
        <v>-4546963.1022307733</v>
      </c>
      <c r="M135" s="814">
        <f t="shared" si="28"/>
        <v>-12029.849999999627</v>
      </c>
      <c r="N135" s="814"/>
      <c r="O135" s="814">
        <f t="shared" si="25"/>
        <v>0</v>
      </c>
      <c r="P135" s="814">
        <f t="shared" si="33"/>
        <v>12739269.149230771</v>
      </c>
      <c r="Q135" s="816"/>
      <c r="R135" s="816"/>
      <c r="S135" s="816"/>
      <c r="T135" s="816"/>
      <c r="U135" s="814">
        <f t="shared" si="27"/>
        <v>-4546963.0247564139</v>
      </c>
      <c r="V135" s="814">
        <f t="shared" si="29"/>
        <v>-4619476.2872564113</v>
      </c>
      <c r="W135" s="818">
        <f t="shared" si="30"/>
        <v>8463502.8619743623</v>
      </c>
      <c r="X135" s="358">
        <f t="shared" si="31"/>
        <v>8192306.1244743569</v>
      </c>
      <c r="Y135" s="561">
        <f t="shared" si="36"/>
        <v>13082979.149230773</v>
      </c>
      <c r="Z135" s="548"/>
    </row>
    <row r="136" spans="1:26" s="563" customFormat="1">
      <c r="A136" s="781"/>
      <c r="B136" s="134" t="s">
        <v>283</v>
      </c>
      <c r="C136" s="781"/>
      <c r="D136" s="814"/>
      <c r="E136" s="814"/>
      <c r="F136" s="814">
        <f t="shared" si="34"/>
        <v>17275998.307692308</v>
      </c>
      <c r="G136" s="814">
        <f t="shared" si="35"/>
        <v>17275998.307692312</v>
      </c>
      <c r="H136" s="814">
        <f t="shared" si="23"/>
        <v>57285</v>
      </c>
      <c r="I136" s="814">
        <f t="shared" si="32"/>
        <v>-4594014.1584615381</v>
      </c>
      <c r="J136" s="814">
        <f t="shared" si="37"/>
        <v>-4250304.1584615381</v>
      </c>
      <c r="K136" s="814">
        <f t="shared" si="26"/>
        <v>12681984.149230771</v>
      </c>
      <c r="L136" s="814">
        <f t="shared" si="38"/>
        <v>-4534933.2522307737</v>
      </c>
      <c r="M136" s="814">
        <f t="shared" si="28"/>
        <v>-12029.849999999627</v>
      </c>
      <c r="N136" s="814"/>
      <c r="O136" s="814">
        <f t="shared" si="25"/>
        <v>0</v>
      </c>
      <c r="P136" s="814">
        <f t="shared" si="33"/>
        <v>12681984.149230771</v>
      </c>
      <c r="Q136" s="816"/>
      <c r="R136" s="816"/>
      <c r="S136" s="816"/>
      <c r="T136" s="816"/>
      <c r="U136" s="814">
        <f t="shared" si="27"/>
        <v>-4534933.1747564143</v>
      </c>
      <c r="V136" s="814">
        <f t="shared" si="29"/>
        <v>-4607112.274756412</v>
      </c>
      <c r="W136" s="818">
        <f t="shared" si="30"/>
        <v>8418581.8744743615</v>
      </c>
      <c r="X136" s="358">
        <f t="shared" si="31"/>
        <v>8147050.9744743565</v>
      </c>
      <c r="Y136" s="561">
        <f t="shared" si="36"/>
        <v>13025694.149230774</v>
      </c>
      <c r="Z136" s="548"/>
    </row>
    <row r="137" spans="1:26" s="563" customFormat="1">
      <c r="A137" s="781"/>
      <c r="B137" s="134" t="s">
        <v>284</v>
      </c>
      <c r="C137" s="781"/>
      <c r="D137" s="814"/>
      <c r="E137" s="814"/>
      <c r="F137" s="814">
        <f t="shared" si="34"/>
        <v>17275998.307692308</v>
      </c>
      <c r="G137" s="814">
        <f t="shared" si="35"/>
        <v>17275998.307692312</v>
      </c>
      <c r="H137" s="814">
        <f t="shared" si="23"/>
        <v>57285</v>
      </c>
      <c r="I137" s="814">
        <f t="shared" si="32"/>
        <v>-4651299.1584615381</v>
      </c>
      <c r="J137" s="814">
        <f t="shared" si="37"/>
        <v>-4307589.1584615391</v>
      </c>
      <c r="K137" s="814">
        <f t="shared" si="26"/>
        <v>12624699.149230771</v>
      </c>
      <c r="L137" s="814">
        <f t="shared" si="38"/>
        <v>-4522903.4022307741</v>
      </c>
      <c r="M137" s="814">
        <f t="shared" si="28"/>
        <v>-12029.849999999627</v>
      </c>
      <c r="N137" s="814"/>
      <c r="O137" s="814">
        <f t="shared" si="25"/>
        <v>0</v>
      </c>
      <c r="P137" s="814">
        <f t="shared" si="33"/>
        <v>12624699.149230771</v>
      </c>
      <c r="Q137" s="816"/>
      <c r="R137" s="816"/>
      <c r="S137" s="816"/>
      <c r="T137" s="816"/>
      <c r="U137" s="814">
        <f t="shared" si="27"/>
        <v>-4522903.3247564146</v>
      </c>
      <c r="V137" s="814">
        <f t="shared" si="29"/>
        <v>-4595082.4247564124</v>
      </c>
      <c r="W137" s="818">
        <f t="shared" si="30"/>
        <v>8373326.7244743602</v>
      </c>
      <c r="X137" s="358">
        <f t="shared" si="31"/>
        <v>8101795.8244743561</v>
      </c>
      <c r="Y137" s="561">
        <f t="shared" si="36"/>
        <v>12968409.149230773</v>
      </c>
      <c r="Z137" s="548"/>
    </row>
    <row r="138" spans="1:26" s="563" customFormat="1">
      <c r="A138" s="781"/>
      <c r="B138" s="134" t="s">
        <v>285</v>
      </c>
      <c r="C138" s="781"/>
      <c r="D138" s="814"/>
      <c r="E138" s="814"/>
      <c r="F138" s="814">
        <f t="shared" si="34"/>
        <v>17275998.307692308</v>
      </c>
      <c r="G138" s="814">
        <f t="shared" si="35"/>
        <v>17275998.307692312</v>
      </c>
      <c r="H138" s="814">
        <f t="shared" si="23"/>
        <v>57285</v>
      </c>
      <c r="I138" s="814">
        <f t="shared" si="32"/>
        <v>-4708584.1584615381</v>
      </c>
      <c r="J138" s="814">
        <f t="shared" si="37"/>
        <v>-4364874.1584615391</v>
      </c>
      <c r="K138" s="814">
        <f t="shared" si="26"/>
        <v>12567414.149230771</v>
      </c>
      <c r="L138" s="814">
        <f t="shared" si="38"/>
        <v>-4510873.5522307744</v>
      </c>
      <c r="M138" s="814">
        <f t="shared" si="28"/>
        <v>-12029.849999999627</v>
      </c>
      <c r="N138" s="814"/>
      <c r="O138" s="814">
        <f t="shared" si="25"/>
        <v>0</v>
      </c>
      <c r="P138" s="814">
        <f t="shared" si="33"/>
        <v>12567414.149230771</v>
      </c>
      <c r="Q138" s="816"/>
      <c r="R138" s="816"/>
      <c r="S138" s="816"/>
      <c r="T138" s="816"/>
      <c r="U138" s="814">
        <f t="shared" si="27"/>
        <v>-4510873.474756415</v>
      </c>
      <c r="V138" s="814">
        <f t="shared" si="29"/>
        <v>-4583052.5747564128</v>
      </c>
      <c r="W138" s="818">
        <f t="shared" si="30"/>
        <v>8328071.5744743599</v>
      </c>
      <c r="X138" s="358">
        <f t="shared" si="31"/>
        <v>8056540.6744743558</v>
      </c>
      <c r="Y138" s="561">
        <f t="shared" si="36"/>
        <v>12911124.149230773</v>
      </c>
      <c r="Z138" s="548"/>
    </row>
    <row r="139" spans="1:26" s="563" customFormat="1">
      <c r="A139" s="781"/>
      <c r="B139" s="134" t="s">
        <v>286</v>
      </c>
      <c r="C139" s="781"/>
      <c r="D139" s="814"/>
      <c r="E139" s="814"/>
      <c r="F139" s="814">
        <f t="shared" si="34"/>
        <v>17275998.307692308</v>
      </c>
      <c r="G139" s="814">
        <f t="shared" si="35"/>
        <v>17275998.307692312</v>
      </c>
      <c r="H139" s="814">
        <f t="shared" si="23"/>
        <v>57285</v>
      </c>
      <c r="I139" s="814">
        <f t="shared" si="32"/>
        <v>-4765869.1584615381</v>
      </c>
      <c r="J139" s="814">
        <f t="shared" si="37"/>
        <v>-4422159.1584615391</v>
      </c>
      <c r="K139" s="814">
        <f t="shared" si="26"/>
        <v>12510129.149230771</v>
      </c>
      <c r="L139" s="814">
        <f t="shared" si="38"/>
        <v>-4498843.7022307748</v>
      </c>
      <c r="M139" s="814">
        <f t="shared" si="28"/>
        <v>-12029.849999999627</v>
      </c>
      <c r="N139" s="814"/>
      <c r="O139" s="814">
        <f t="shared" si="25"/>
        <v>0</v>
      </c>
      <c r="P139" s="814">
        <f t="shared" si="33"/>
        <v>12510129.149230771</v>
      </c>
      <c r="Q139" s="816"/>
      <c r="R139" s="816"/>
      <c r="S139" s="816"/>
      <c r="T139" s="816"/>
      <c r="U139" s="814">
        <f t="shared" si="27"/>
        <v>-4498843.6247564154</v>
      </c>
      <c r="V139" s="814">
        <f t="shared" si="29"/>
        <v>-4571022.7247564131</v>
      </c>
      <c r="W139" s="818">
        <f t="shared" si="30"/>
        <v>8282816.4244743595</v>
      </c>
      <c r="X139" s="358">
        <f t="shared" si="31"/>
        <v>8011285.5244743554</v>
      </c>
      <c r="Y139" s="561">
        <f t="shared" si="36"/>
        <v>12853839.149230773</v>
      </c>
      <c r="Z139" s="548"/>
    </row>
    <row r="140" spans="1:26" s="563" customFormat="1">
      <c r="A140" s="781"/>
      <c r="B140" s="134" t="s">
        <v>287</v>
      </c>
      <c r="C140" s="781"/>
      <c r="D140" s="814"/>
      <c r="E140" s="814"/>
      <c r="F140" s="814">
        <f t="shared" si="34"/>
        <v>17275998.307692308</v>
      </c>
      <c r="G140" s="814">
        <f t="shared" si="35"/>
        <v>17275998.307692312</v>
      </c>
      <c r="H140" s="814">
        <f t="shared" si="23"/>
        <v>57285</v>
      </c>
      <c r="I140" s="814">
        <f t="shared" si="32"/>
        <v>-4823154.1584615381</v>
      </c>
      <c r="J140" s="814">
        <f t="shared" si="37"/>
        <v>-4479444.1584615391</v>
      </c>
      <c r="K140" s="814">
        <f t="shared" si="26"/>
        <v>12452844.149230771</v>
      </c>
      <c r="L140" s="814">
        <f t="shared" si="38"/>
        <v>-4486813.8522307752</v>
      </c>
      <c r="M140" s="814">
        <f t="shared" si="28"/>
        <v>-12029.849999999627</v>
      </c>
      <c r="N140" s="814"/>
      <c r="O140" s="814">
        <f t="shared" si="25"/>
        <v>0</v>
      </c>
      <c r="P140" s="814">
        <f t="shared" si="33"/>
        <v>12452844.149230771</v>
      </c>
      <c r="Q140" s="816"/>
      <c r="R140" s="816"/>
      <c r="S140" s="816"/>
      <c r="T140" s="816"/>
      <c r="U140" s="814">
        <f t="shared" si="27"/>
        <v>-4486813.7747564157</v>
      </c>
      <c r="V140" s="814">
        <f t="shared" si="29"/>
        <v>-4558992.8747564135</v>
      </c>
      <c r="W140" s="818">
        <f t="shared" si="30"/>
        <v>8237561.2744743591</v>
      </c>
      <c r="X140" s="358">
        <f t="shared" si="31"/>
        <v>7966030.374474355</v>
      </c>
      <c r="Y140" s="561">
        <f t="shared" si="36"/>
        <v>12796554.149230773</v>
      </c>
      <c r="Z140" s="548"/>
    </row>
    <row r="141" spans="1:26" s="563" customFormat="1">
      <c r="A141" s="781"/>
      <c r="B141" s="134" t="s">
        <v>288</v>
      </c>
      <c r="C141" s="781"/>
      <c r="D141" s="814"/>
      <c r="E141" s="814"/>
      <c r="F141" s="814">
        <f t="shared" si="34"/>
        <v>17275998.307692308</v>
      </c>
      <c r="G141" s="814">
        <f t="shared" si="35"/>
        <v>17275998.307692312</v>
      </c>
      <c r="H141" s="814">
        <f t="shared" si="23"/>
        <v>57285</v>
      </c>
      <c r="I141" s="814">
        <f t="shared" si="32"/>
        <v>-4880439.1584615381</v>
      </c>
      <c r="J141" s="814">
        <f t="shared" si="37"/>
        <v>-4536729.1584615391</v>
      </c>
      <c r="K141" s="814">
        <f t="shared" si="26"/>
        <v>12395559.149230771</v>
      </c>
      <c r="L141" s="814">
        <f t="shared" si="38"/>
        <v>-4474784.0022307755</v>
      </c>
      <c r="M141" s="814">
        <f t="shared" si="28"/>
        <v>-12029.849999999627</v>
      </c>
      <c r="N141" s="814"/>
      <c r="O141" s="814">
        <f t="shared" si="25"/>
        <v>0</v>
      </c>
      <c r="P141" s="814">
        <f t="shared" si="33"/>
        <v>12395559.149230771</v>
      </c>
      <c r="Q141" s="816"/>
      <c r="R141" s="816"/>
      <c r="S141" s="816"/>
      <c r="T141" s="816"/>
      <c r="U141" s="814">
        <f t="shared" si="27"/>
        <v>-4474783.9247564161</v>
      </c>
      <c r="V141" s="814">
        <f t="shared" si="29"/>
        <v>-4546963.0247564139</v>
      </c>
      <c r="W141" s="818">
        <f t="shared" si="30"/>
        <v>8192306.1244743587</v>
      </c>
      <c r="X141" s="358">
        <f t="shared" si="31"/>
        <v>7920775.2244743546</v>
      </c>
      <c r="Y141" s="561">
        <f t="shared" si="36"/>
        <v>12739269.149230773</v>
      </c>
      <c r="Z141" s="548"/>
    </row>
    <row r="142" spans="1:26" s="563" customFormat="1">
      <c r="A142" s="781"/>
      <c r="B142" s="134" t="s">
        <v>289</v>
      </c>
      <c r="C142" s="781"/>
      <c r="D142" s="814"/>
      <c r="E142" s="814"/>
      <c r="F142" s="814">
        <f t="shared" si="34"/>
        <v>17275998.307692308</v>
      </c>
      <c r="G142" s="814">
        <f t="shared" si="35"/>
        <v>17275998.307692312</v>
      </c>
      <c r="H142" s="814">
        <f t="shared" si="23"/>
        <v>57285</v>
      </c>
      <c r="I142" s="814">
        <f t="shared" si="32"/>
        <v>-4937724.1584615381</v>
      </c>
      <c r="J142" s="814">
        <f t="shared" si="37"/>
        <v>-4594014.1584615391</v>
      </c>
      <c r="K142" s="814">
        <f t="shared" si="26"/>
        <v>12338274.149230771</v>
      </c>
      <c r="L142" s="814">
        <f t="shared" si="24"/>
        <v>-4318395.9522307692</v>
      </c>
      <c r="M142" s="814">
        <f t="shared" si="28"/>
        <v>-156388.05000000633</v>
      </c>
      <c r="N142" s="814"/>
      <c r="O142" s="814">
        <f t="shared" si="25"/>
        <v>0</v>
      </c>
      <c r="P142" s="814">
        <f t="shared" si="33"/>
        <v>12338274.149230771</v>
      </c>
      <c r="Q142" s="816"/>
      <c r="R142" s="816"/>
      <c r="S142" s="816"/>
      <c r="T142" s="816"/>
      <c r="U142" s="814">
        <f t="shared" si="27"/>
        <v>-4318395.8747564098</v>
      </c>
      <c r="V142" s="814">
        <f t="shared" si="29"/>
        <v>-4528918.2497564144</v>
      </c>
      <c r="W142" s="818">
        <f t="shared" si="30"/>
        <v>8153065.8994743582</v>
      </c>
      <c r="X142" s="358">
        <f t="shared" si="31"/>
        <v>8019878.274474361</v>
      </c>
      <c r="Y142" s="561">
        <f t="shared" si="36"/>
        <v>12681984.149230773</v>
      </c>
      <c r="Z142" s="548"/>
    </row>
    <row r="143" spans="1:26" s="563" customFormat="1">
      <c r="A143" s="781"/>
      <c r="B143" s="134" t="s">
        <v>290</v>
      </c>
      <c r="C143" s="781"/>
      <c r="D143" s="814"/>
      <c r="E143" s="814"/>
      <c r="F143" s="814">
        <f t="shared" si="34"/>
        <v>17275998.307692308</v>
      </c>
      <c r="G143" s="814">
        <f t="shared" si="35"/>
        <v>17275998.307692312</v>
      </c>
      <c r="H143" s="814">
        <f t="shared" ref="H143:H204" si="39">H142</f>
        <v>57285</v>
      </c>
      <c r="I143" s="814">
        <f t="shared" si="32"/>
        <v>-4995009.1584615381</v>
      </c>
      <c r="J143" s="814">
        <f t="shared" si="37"/>
        <v>-4651299.1584615391</v>
      </c>
      <c r="K143" s="814">
        <f t="shared" si="26"/>
        <v>12280989.149230771</v>
      </c>
      <c r="L143" s="814">
        <f t="shared" si="24"/>
        <v>-4298346.2022307692</v>
      </c>
      <c r="M143" s="814">
        <f t="shared" si="28"/>
        <v>-20049.75</v>
      </c>
      <c r="N143" s="814"/>
      <c r="O143" s="814">
        <f t="shared" si="25"/>
        <v>0</v>
      </c>
      <c r="P143" s="814">
        <f t="shared" si="33"/>
        <v>12280989.149230771</v>
      </c>
      <c r="Q143" s="816"/>
      <c r="R143" s="816"/>
      <c r="S143" s="816"/>
      <c r="T143" s="816"/>
      <c r="U143" s="814">
        <f t="shared" si="27"/>
        <v>-4298346.1247564098</v>
      </c>
      <c r="V143" s="814">
        <f t="shared" si="29"/>
        <v>-4504524.3872564137</v>
      </c>
      <c r="W143" s="818">
        <f t="shared" si="30"/>
        <v>8120174.7619743589</v>
      </c>
      <c r="X143" s="358">
        <f t="shared" si="31"/>
        <v>7982643.024474361</v>
      </c>
      <c r="Y143" s="561">
        <f t="shared" si="36"/>
        <v>12624699.149230773</v>
      </c>
      <c r="Z143" s="548"/>
    </row>
    <row r="144" spans="1:26" s="563" customFormat="1">
      <c r="A144" s="781"/>
      <c r="B144" s="134" t="s">
        <v>291</v>
      </c>
      <c r="C144" s="781"/>
      <c r="D144" s="814"/>
      <c r="E144" s="814"/>
      <c r="F144" s="814">
        <f t="shared" si="34"/>
        <v>17275998.307692308</v>
      </c>
      <c r="G144" s="814">
        <f t="shared" si="35"/>
        <v>17275998.307692312</v>
      </c>
      <c r="H144" s="814">
        <f t="shared" si="39"/>
        <v>57285</v>
      </c>
      <c r="I144" s="814">
        <f t="shared" si="32"/>
        <v>-5052294.1584615381</v>
      </c>
      <c r="J144" s="814">
        <f t="shared" si="37"/>
        <v>-4708584.1584615391</v>
      </c>
      <c r="K144" s="814">
        <f t="shared" si="26"/>
        <v>12223704.149230771</v>
      </c>
      <c r="L144" s="814">
        <f t="shared" si="24"/>
        <v>-4278296.4522307692</v>
      </c>
      <c r="M144" s="814">
        <f t="shared" si="28"/>
        <v>-20049.75</v>
      </c>
      <c r="N144" s="814"/>
      <c r="O144" s="814">
        <f t="shared" si="25"/>
        <v>0</v>
      </c>
      <c r="P144" s="814">
        <f t="shared" si="33"/>
        <v>12223704.149230771</v>
      </c>
      <c r="Q144" s="816"/>
      <c r="R144" s="816"/>
      <c r="S144" s="816"/>
      <c r="T144" s="816"/>
      <c r="U144" s="814">
        <f t="shared" si="27"/>
        <v>-4278296.3747564098</v>
      </c>
      <c r="V144" s="814">
        <f t="shared" si="29"/>
        <v>-4479462.1997564137</v>
      </c>
      <c r="W144" s="818">
        <f t="shared" si="30"/>
        <v>8087951.9494743589</v>
      </c>
      <c r="X144" s="358">
        <f t="shared" si="31"/>
        <v>7945407.774474361</v>
      </c>
      <c r="Y144" s="561">
        <f t="shared" si="36"/>
        <v>12567414.149230773</v>
      </c>
      <c r="Z144" s="548"/>
    </row>
    <row r="145" spans="1:26">
      <c r="A145" s="131"/>
      <c r="B145" s="2" t="s">
        <v>292</v>
      </c>
      <c r="C145" s="131"/>
      <c r="D145" s="113"/>
      <c r="E145" s="113"/>
      <c r="F145" s="113">
        <f t="shared" si="34"/>
        <v>17275998.307692308</v>
      </c>
      <c r="G145" s="525">
        <f t="shared" si="35"/>
        <v>17275998.307692312</v>
      </c>
      <c r="H145" s="113">
        <f t="shared" si="39"/>
        <v>57285</v>
      </c>
      <c r="I145" s="524">
        <f t="shared" si="32"/>
        <v>-5109579.1584615381</v>
      </c>
      <c r="J145" s="525">
        <f t="shared" si="37"/>
        <v>-4765869.1584615391</v>
      </c>
      <c r="K145" s="526">
        <f t="shared" si="26"/>
        <v>12166419.149230771</v>
      </c>
      <c r="L145" s="525">
        <f t="shared" si="24"/>
        <v>-4258246.7022307692</v>
      </c>
      <c r="M145" s="525">
        <f t="shared" si="28"/>
        <v>-20049.75</v>
      </c>
      <c r="N145" s="529"/>
      <c r="O145" s="525">
        <f t="shared" si="25"/>
        <v>0</v>
      </c>
      <c r="P145" s="529">
        <f t="shared" si="33"/>
        <v>12166419.149230771</v>
      </c>
      <c r="Q145" s="528"/>
      <c r="R145" s="528"/>
      <c r="S145" s="528"/>
      <c r="T145" s="528"/>
      <c r="U145" s="529">
        <f t="shared" si="27"/>
        <v>-4258246.6247564098</v>
      </c>
      <c r="V145" s="525">
        <f t="shared" si="29"/>
        <v>-4453731.6872564135</v>
      </c>
      <c r="W145" s="530">
        <f t="shared" si="30"/>
        <v>8056397.4619743591</v>
      </c>
      <c r="X145" s="255">
        <f t="shared" si="31"/>
        <v>7908172.524474361</v>
      </c>
      <c r="Y145" s="136">
        <f t="shared" si="36"/>
        <v>12510129.149230773</v>
      </c>
      <c r="Z145" s="548"/>
    </row>
    <row r="146" spans="1:26">
      <c r="A146" s="131"/>
      <c r="B146" s="2" t="s">
        <v>293</v>
      </c>
      <c r="C146" s="131"/>
      <c r="D146" s="113"/>
      <c r="E146" s="113"/>
      <c r="F146" s="113">
        <f t="shared" si="34"/>
        <v>17275998.307692308</v>
      </c>
      <c r="G146" s="525">
        <f t="shared" si="35"/>
        <v>17275998.307692312</v>
      </c>
      <c r="H146" s="113">
        <f t="shared" si="39"/>
        <v>57285</v>
      </c>
      <c r="I146" s="524">
        <f t="shared" si="32"/>
        <v>-5166864.1584615381</v>
      </c>
      <c r="J146" s="525">
        <f t="shared" si="37"/>
        <v>-4823154.1584615391</v>
      </c>
      <c r="K146" s="526">
        <f t="shared" si="26"/>
        <v>12109134.149230771</v>
      </c>
      <c r="L146" s="525">
        <f t="shared" ref="L146:L209" si="40">-K146*35%</f>
        <v>-4238196.9522307692</v>
      </c>
      <c r="M146" s="525">
        <f t="shared" si="28"/>
        <v>-20049.75</v>
      </c>
      <c r="N146" s="529"/>
      <c r="O146" s="525">
        <f t="shared" si="25"/>
        <v>0</v>
      </c>
      <c r="P146" s="529">
        <f t="shared" si="33"/>
        <v>12109134.149230771</v>
      </c>
      <c r="Q146" s="528"/>
      <c r="R146" s="528"/>
      <c r="S146" s="528"/>
      <c r="T146" s="528"/>
      <c r="U146" s="529">
        <f t="shared" si="27"/>
        <v>-4238196.8747564098</v>
      </c>
      <c r="V146" s="525">
        <f t="shared" si="29"/>
        <v>-4427332.8497564131</v>
      </c>
      <c r="W146" s="530">
        <f t="shared" si="30"/>
        <v>8025511.2994743595</v>
      </c>
      <c r="X146" s="255">
        <f t="shared" si="31"/>
        <v>7870937.274474361</v>
      </c>
      <c r="Y146" s="136">
        <f t="shared" si="36"/>
        <v>12452844.149230773</v>
      </c>
      <c r="Z146" s="548"/>
    </row>
    <row r="147" spans="1:26">
      <c r="A147" s="131"/>
      <c r="B147" s="2" t="s">
        <v>294</v>
      </c>
      <c r="C147" s="131"/>
      <c r="D147" s="113"/>
      <c r="E147" s="113"/>
      <c r="F147" s="113">
        <f t="shared" si="34"/>
        <v>17275998.307692308</v>
      </c>
      <c r="G147" s="525">
        <f t="shared" si="35"/>
        <v>17275998.307692312</v>
      </c>
      <c r="H147" s="113">
        <f t="shared" si="39"/>
        <v>57285</v>
      </c>
      <c r="I147" s="524">
        <f t="shared" si="32"/>
        <v>-5224149.1584615381</v>
      </c>
      <c r="J147" s="525">
        <f t="shared" si="37"/>
        <v>-4880439.1584615391</v>
      </c>
      <c r="K147" s="526">
        <f t="shared" si="26"/>
        <v>12051849.149230771</v>
      </c>
      <c r="L147" s="525">
        <f t="shared" si="40"/>
        <v>-4218147.2022307692</v>
      </c>
      <c r="M147" s="525">
        <f t="shared" si="28"/>
        <v>-20049.75</v>
      </c>
      <c r="N147" s="529"/>
      <c r="O147" s="525">
        <f t="shared" si="25"/>
        <v>0</v>
      </c>
      <c r="P147" s="529">
        <f t="shared" si="33"/>
        <v>12051849.149230771</v>
      </c>
      <c r="Q147" s="528"/>
      <c r="R147" s="528"/>
      <c r="S147" s="528"/>
      <c r="T147" s="528"/>
      <c r="U147" s="529">
        <f t="shared" si="27"/>
        <v>-4218147.1247564098</v>
      </c>
      <c r="V147" s="525">
        <f t="shared" si="29"/>
        <v>-4400265.6872564135</v>
      </c>
      <c r="W147" s="530">
        <f t="shared" si="30"/>
        <v>7995293.4619743591</v>
      </c>
      <c r="X147" s="255">
        <f t="shared" si="31"/>
        <v>7833702.024474361</v>
      </c>
      <c r="Y147" s="136">
        <f t="shared" si="36"/>
        <v>12395559.149230773</v>
      </c>
      <c r="Z147" s="548"/>
    </row>
    <row r="148" spans="1:26">
      <c r="A148" s="131"/>
      <c r="B148" s="2" t="s">
        <v>295</v>
      </c>
      <c r="C148" s="131"/>
      <c r="D148" s="113"/>
      <c r="E148" s="113"/>
      <c r="F148" s="113">
        <f t="shared" si="34"/>
        <v>17275998.307692308</v>
      </c>
      <c r="G148" s="525">
        <f t="shared" si="35"/>
        <v>17275998.307692312</v>
      </c>
      <c r="H148" s="113">
        <f t="shared" si="39"/>
        <v>57285</v>
      </c>
      <c r="I148" s="524">
        <f t="shared" si="32"/>
        <v>-5281434.1584615381</v>
      </c>
      <c r="J148" s="525">
        <f t="shared" si="37"/>
        <v>-4937724.1584615391</v>
      </c>
      <c r="K148" s="526">
        <f t="shared" si="26"/>
        <v>11994564.149230771</v>
      </c>
      <c r="L148" s="525">
        <f t="shared" si="40"/>
        <v>-4198097.4522307692</v>
      </c>
      <c r="M148" s="525">
        <f t="shared" si="28"/>
        <v>-20049.75</v>
      </c>
      <c r="N148" s="529"/>
      <c r="O148" s="525">
        <f t="shared" si="25"/>
        <v>0</v>
      </c>
      <c r="P148" s="529">
        <f t="shared" si="33"/>
        <v>11994564.149230771</v>
      </c>
      <c r="Q148" s="528"/>
      <c r="R148" s="528"/>
      <c r="S148" s="528"/>
      <c r="T148" s="528"/>
      <c r="U148" s="529">
        <f t="shared" si="27"/>
        <v>-4198097.3747564098</v>
      </c>
      <c r="V148" s="525">
        <f t="shared" si="29"/>
        <v>-4372530.1997564128</v>
      </c>
      <c r="W148" s="530">
        <f t="shared" si="30"/>
        <v>7965743.9494743599</v>
      </c>
      <c r="X148" s="255">
        <f t="shared" si="31"/>
        <v>7796466.774474361</v>
      </c>
      <c r="Y148" s="136">
        <f t="shared" si="36"/>
        <v>12338274.149230773</v>
      </c>
      <c r="Z148" s="548"/>
    </row>
    <row r="149" spans="1:26">
      <c r="A149" s="131"/>
      <c r="B149" s="2" t="s">
        <v>296</v>
      </c>
      <c r="C149" s="131"/>
      <c r="D149" s="113"/>
      <c r="E149" s="113"/>
      <c r="F149" s="113">
        <f t="shared" si="34"/>
        <v>17275998.307692308</v>
      </c>
      <c r="G149" s="525">
        <f t="shared" si="35"/>
        <v>17275998.307692312</v>
      </c>
      <c r="H149" s="113">
        <f t="shared" si="39"/>
        <v>57285</v>
      </c>
      <c r="I149" s="524">
        <f t="shared" si="32"/>
        <v>-5338719.1584615381</v>
      </c>
      <c r="J149" s="525">
        <f t="shared" si="37"/>
        <v>-4995009.1584615391</v>
      </c>
      <c r="K149" s="526">
        <f t="shared" si="26"/>
        <v>11937279.149230771</v>
      </c>
      <c r="L149" s="525">
        <f t="shared" si="40"/>
        <v>-4178047.7022307697</v>
      </c>
      <c r="M149" s="525">
        <f t="shared" si="28"/>
        <v>-20049.749999999534</v>
      </c>
      <c r="N149" s="529"/>
      <c r="O149" s="525">
        <f t="shared" si="25"/>
        <v>0</v>
      </c>
      <c r="P149" s="529">
        <f t="shared" si="33"/>
        <v>11937279.149230771</v>
      </c>
      <c r="Q149" s="528"/>
      <c r="R149" s="528"/>
      <c r="S149" s="528"/>
      <c r="T149" s="528"/>
      <c r="U149" s="529">
        <f t="shared" si="27"/>
        <v>-4178047.6247564103</v>
      </c>
      <c r="V149" s="525">
        <f t="shared" si="29"/>
        <v>-4344126.3872564128</v>
      </c>
      <c r="W149" s="530">
        <f t="shared" si="30"/>
        <v>7936862.7619743599</v>
      </c>
      <c r="X149" s="255">
        <f t="shared" si="31"/>
        <v>7759231.52447436</v>
      </c>
      <c r="Y149" s="136">
        <f t="shared" si="36"/>
        <v>12280989.149230773</v>
      </c>
      <c r="Z149" s="548"/>
    </row>
    <row r="150" spans="1:26">
      <c r="A150" s="131"/>
      <c r="B150" s="2" t="s">
        <v>297</v>
      </c>
      <c r="C150" s="131"/>
      <c r="D150" s="113"/>
      <c r="E150" s="113"/>
      <c r="F150" s="113">
        <f t="shared" si="34"/>
        <v>17275998.307692308</v>
      </c>
      <c r="G150" s="525">
        <f t="shared" si="35"/>
        <v>17275998.307692312</v>
      </c>
      <c r="H150" s="113">
        <f t="shared" si="39"/>
        <v>57285</v>
      </c>
      <c r="I150" s="524">
        <f t="shared" si="32"/>
        <v>-5396004.1584615381</v>
      </c>
      <c r="J150" s="525">
        <f t="shared" si="37"/>
        <v>-5052294.1584615391</v>
      </c>
      <c r="K150" s="526">
        <f t="shared" si="26"/>
        <v>11879994.149230771</v>
      </c>
      <c r="L150" s="525">
        <f t="shared" si="40"/>
        <v>-4157997.9522307697</v>
      </c>
      <c r="M150" s="525">
        <f t="shared" si="28"/>
        <v>-20049.75</v>
      </c>
      <c r="N150" s="529"/>
      <c r="O150" s="525">
        <f t="shared" si="25"/>
        <v>0</v>
      </c>
      <c r="P150" s="529">
        <f t="shared" si="33"/>
        <v>11879994.149230771</v>
      </c>
      <c r="Q150" s="528"/>
      <c r="R150" s="528"/>
      <c r="S150" s="528"/>
      <c r="T150" s="528"/>
      <c r="U150" s="529">
        <f t="shared" si="27"/>
        <v>-4157997.8747564103</v>
      </c>
      <c r="V150" s="525">
        <f t="shared" si="29"/>
        <v>-4315054.2497564116</v>
      </c>
      <c r="W150" s="530">
        <f t="shared" si="30"/>
        <v>7908649.899474361</v>
      </c>
      <c r="X150" s="255">
        <f t="shared" si="31"/>
        <v>7721996.27447436</v>
      </c>
      <c r="Y150" s="136">
        <f t="shared" si="36"/>
        <v>12223704.149230773</v>
      </c>
      <c r="Z150" s="548"/>
    </row>
    <row r="151" spans="1:26">
      <c r="A151" s="131"/>
      <c r="B151" s="2" t="s">
        <v>298</v>
      </c>
      <c r="C151" s="131"/>
      <c r="D151" s="113"/>
      <c r="E151" s="113"/>
      <c r="F151" s="113">
        <f t="shared" si="34"/>
        <v>17275998.307692308</v>
      </c>
      <c r="G151" s="525">
        <f t="shared" si="35"/>
        <v>17275998.307692312</v>
      </c>
      <c r="H151" s="113">
        <f t="shared" si="39"/>
        <v>57285</v>
      </c>
      <c r="I151" s="524">
        <f t="shared" si="32"/>
        <v>-5453289.1584615381</v>
      </c>
      <c r="J151" s="525">
        <f t="shared" si="37"/>
        <v>-5109579.1584615391</v>
      </c>
      <c r="K151" s="526">
        <f t="shared" si="26"/>
        <v>11822709.149230771</v>
      </c>
      <c r="L151" s="525">
        <f t="shared" si="40"/>
        <v>-4137948.2022307697</v>
      </c>
      <c r="M151" s="525">
        <f t="shared" si="28"/>
        <v>-20049.75</v>
      </c>
      <c r="N151" s="529"/>
      <c r="O151" s="525">
        <f t="shared" si="25"/>
        <v>0</v>
      </c>
      <c r="P151" s="529">
        <f t="shared" si="33"/>
        <v>11822709.149230771</v>
      </c>
      <c r="Q151" s="528"/>
      <c r="R151" s="528"/>
      <c r="S151" s="528"/>
      <c r="T151" s="528"/>
      <c r="U151" s="529">
        <f t="shared" si="27"/>
        <v>-4137948.1247564103</v>
      </c>
      <c r="V151" s="525">
        <f t="shared" si="29"/>
        <v>-4285313.7872564113</v>
      </c>
      <c r="W151" s="530">
        <f t="shared" si="30"/>
        <v>7881105.3619743614</v>
      </c>
      <c r="X151" s="255">
        <f t="shared" si="31"/>
        <v>7684761.02447436</v>
      </c>
      <c r="Y151" s="136">
        <f t="shared" si="36"/>
        <v>12166419.149230773</v>
      </c>
      <c r="Z151" s="548"/>
    </row>
    <row r="152" spans="1:26">
      <c r="A152" s="131"/>
      <c r="B152" s="2" t="s">
        <v>299</v>
      </c>
      <c r="C152" s="131"/>
      <c r="D152" s="113"/>
      <c r="E152" s="113"/>
      <c r="F152" s="113">
        <f t="shared" si="34"/>
        <v>17275998.307692308</v>
      </c>
      <c r="G152" s="525">
        <f t="shared" si="35"/>
        <v>17275998.307692312</v>
      </c>
      <c r="H152" s="113">
        <f t="shared" si="39"/>
        <v>57285</v>
      </c>
      <c r="I152" s="524">
        <f t="shared" si="32"/>
        <v>-5510574.1584615381</v>
      </c>
      <c r="J152" s="525">
        <f t="shared" si="37"/>
        <v>-5166864.1584615391</v>
      </c>
      <c r="K152" s="526">
        <f t="shared" si="26"/>
        <v>11765424.149230771</v>
      </c>
      <c r="L152" s="525">
        <f t="shared" si="40"/>
        <v>-4117898.4522307697</v>
      </c>
      <c r="M152" s="525">
        <f t="shared" si="28"/>
        <v>-20049.75</v>
      </c>
      <c r="N152" s="529"/>
      <c r="O152" s="525">
        <f t="shared" ref="O152:O215" si="41">(N140+N152+SUM(N141:N151)*2)/24</f>
        <v>0</v>
      </c>
      <c r="P152" s="529">
        <f t="shared" si="33"/>
        <v>11765424.149230771</v>
      </c>
      <c r="Q152" s="528"/>
      <c r="R152" s="528"/>
      <c r="S152" s="528"/>
      <c r="T152" s="528"/>
      <c r="U152" s="529">
        <f t="shared" si="27"/>
        <v>-4117898.3747564103</v>
      </c>
      <c r="V152" s="525">
        <f t="shared" si="29"/>
        <v>-4254904.9997564116</v>
      </c>
      <c r="W152" s="530">
        <f t="shared" si="30"/>
        <v>7854229.149474361</v>
      </c>
      <c r="X152" s="255">
        <f t="shared" si="31"/>
        <v>7647525.77447436</v>
      </c>
      <c r="Y152" s="136">
        <f t="shared" si="36"/>
        <v>12109134.149230773</v>
      </c>
      <c r="Z152" s="548"/>
    </row>
    <row r="153" spans="1:26">
      <c r="A153" s="131"/>
      <c r="B153" s="2" t="s">
        <v>300</v>
      </c>
      <c r="C153" s="131"/>
      <c r="D153" s="113"/>
      <c r="E153" s="113"/>
      <c r="F153" s="113">
        <f t="shared" si="34"/>
        <v>17275998.307692308</v>
      </c>
      <c r="G153" s="525">
        <f t="shared" si="35"/>
        <v>17275998.307692312</v>
      </c>
      <c r="H153" s="113">
        <f t="shared" si="39"/>
        <v>57285</v>
      </c>
      <c r="I153" s="524">
        <f t="shared" si="32"/>
        <v>-5567859.1584615381</v>
      </c>
      <c r="J153" s="525">
        <f t="shared" si="37"/>
        <v>-5224149.1584615391</v>
      </c>
      <c r="K153" s="526">
        <f t="shared" si="26"/>
        <v>11708139.149230771</v>
      </c>
      <c r="L153" s="525">
        <f t="shared" si="40"/>
        <v>-4097848.7022307697</v>
      </c>
      <c r="M153" s="525">
        <f t="shared" si="28"/>
        <v>-20049.75</v>
      </c>
      <c r="N153" s="529"/>
      <c r="O153" s="525">
        <f t="shared" si="41"/>
        <v>0</v>
      </c>
      <c r="P153" s="529">
        <f t="shared" si="33"/>
        <v>11708139.149230771</v>
      </c>
      <c r="Q153" s="528"/>
      <c r="R153" s="528"/>
      <c r="S153" s="528"/>
      <c r="T153" s="528"/>
      <c r="U153" s="529">
        <f t="shared" si="27"/>
        <v>-4097848.6247564103</v>
      </c>
      <c r="V153" s="525">
        <f t="shared" si="29"/>
        <v>-4223827.88725641</v>
      </c>
      <c r="W153" s="530">
        <f t="shared" si="30"/>
        <v>7828021.2619743627</v>
      </c>
      <c r="X153" s="255">
        <f t="shared" si="31"/>
        <v>7610290.52447436</v>
      </c>
      <c r="Y153" s="136">
        <f t="shared" si="36"/>
        <v>12051849.149230773</v>
      </c>
      <c r="Z153" s="548"/>
    </row>
    <row r="154" spans="1:26">
      <c r="A154" s="131"/>
      <c r="B154" s="2" t="s">
        <v>301</v>
      </c>
      <c r="C154" s="131"/>
      <c r="D154" s="113"/>
      <c r="E154" s="113"/>
      <c r="F154" s="113">
        <f t="shared" si="34"/>
        <v>17275998.307692308</v>
      </c>
      <c r="G154" s="525">
        <f t="shared" si="35"/>
        <v>17275998.307692312</v>
      </c>
      <c r="H154" s="113">
        <f t="shared" si="39"/>
        <v>57285</v>
      </c>
      <c r="I154" s="524">
        <f t="shared" si="32"/>
        <v>-5625144.1584615381</v>
      </c>
      <c r="J154" s="525">
        <f t="shared" si="37"/>
        <v>-5281434.1584615391</v>
      </c>
      <c r="K154" s="526">
        <f t="shared" si="26"/>
        <v>11650854.149230771</v>
      </c>
      <c r="L154" s="525">
        <f t="shared" si="40"/>
        <v>-4077798.9522307697</v>
      </c>
      <c r="M154" s="525">
        <f t="shared" si="28"/>
        <v>-20049.75</v>
      </c>
      <c r="N154" s="529"/>
      <c r="O154" s="525">
        <f t="shared" si="41"/>
        <v>0</v>
      </c>
      <c r="P154" s="529">
        <f t="shared" si="33"/>
        <v>11650854.149230771</v>
      </c>
      <c r="Q154" s="528"/>
      <c r="R154" s="528"/>
      <c r="S154" s="528"/>
      <c r="T154" s="528"/>
      <c r="U154" s="529">
        <f t="shared" si="27"/>
        <v>-4077798.8747564103</v>
      </c>
      <c r="V154" s="525">
        <f t="shared" si="29"/>
        <v>-4198097.3747564098</v>
      </c>
      <c r="W154" s="530">
        <f t="shared" si="30"/>
        <v>7796466.7744743628</v>
      </c>
      <c r="X154" s="255">
        <f t="shared" si="31"/>
        <v>7573055.27447436</v>
      </c>
      <c r="Y154" s="136">
        <f t="shared" si="36"/>
        <v>11994564.149230773</v>
      </c>
      <c r="Z154" s="548"/>
    </row>
    <row r="155" spans="1:26">
      <c r="A155" s="131"/>
      <c r="B155" s="2" t="s">
        <v>302</v>
      </c>
      <c r="C155" s="131"/>
      <c r="D155" s="113"/>
      <c r="E155" s="113"/>
      <c r="F155" s="113">
        <f t="shared" si="34"/>
        <v>17275998.307692308</v>
      </c>
      <c r="G155" s="525">
        <f t="shared" si="35"/>
        <v>17275998.307692312</v>
      </c>
      <c r="H155" s="113">
        <f t="shared" si="39"/>
        <v>57285</v>
      </c>
      <c r="I155" s="524">
        <f t="shared" si="32"/>
        <v>-5682429.1584615381</v>
      </c>
      <c r="J155" s="525">
        <f t="shared" si="37"/>
        <v>-5338719.1584615391</v>
      </c>
      <c r="K155" s="526">
        <f t="shared" si="26"/>
        <v>11593569.149230771</v>
      </c>
      <c r="L155" s="525">
        <f t="shared" si="40"/>
        <v>-4057749.2022307697</v>
      </c>
      <c r="M155" s="525">
        <f t="shared" si="28"/>
        <v>-20049.75</v>
      </c>
      <c r="N155" s="529"/>
      <c r="O155" s="525">
        <f t="shared" si="41"/>
        <v>0</v>
      </c>
      <c r="P155" s="529">
        <f t="shared" si="33"/>
        <v>11593569.149230771</v>
      </c>
      <c r="Q155" s="528"/>
      <c r="R155" s="528"/>
      <c r="S155" s="528"/>
      <c r="T155" s="528"/>
      <c r="U155" s="529">
        <f t="shared" si="27"/>
        <v>-4057749.1247564103</v>
      </c>
      <c r="V155" s="525">
        <f t="shared" si="29"/>
        <v>-4178047.6247564103</v>
      </c>
      <c r="W155" s="530">
        <f t="shared" si="30"/>
        <v>7759231.5244743619</v>
      </c>
      <c r="X155" s="255">
        <f t="shared" si="31"/>
        <v>7535820.02447436</v>
      </c>
      <c r="Y155" s="136">
        <f t="shared" si="36"/>
        <v>11937279.149230773</v>
      </c>
      <c r="Z155" s="548"/>
    </row>
    <row r="156" spans="1:26">
      <c r="A156" s="131"/>
      <c r="B156" s="2" t="s">
        <v>303</v>
      </c>
      <c r="C156" s="131"/>
      <c r="D156" s="113"/>
      <c r="E156" s="113"/>
      <c r="F156" s="113">
        <f t="shared" si="34"/>
        <v>17275998.307692308</v>
      </c>
      <c r="G156" s="525">
        <f t="shared" si="35"/>
        <v>17275998.307692312</v>
      </c>
      <c r="H156" s="113">
        <f t="shared" si="39"/>
        <v>57285</v>
      </c>
      <c r="I156" s="524">
        <f t="shared" si="32"/>
        <v>-5739714.1584615381</v>
      </c>
      <c r="J156" s="525">
        <f t="shared" si="37"/>
        <v>-5396004.1584615391</v>
      </c>
      <c r="K156" s="526">
        <f t="shared" si="26"/>
        <v>11536284.149230771</v>
      </c>
      <c r="L156" s="525">
        <f t="shared" si="40"/>
        <v>-4037699.4522307697</v>
      </c>
      <c r="M156" s="525">
        <f t="shared" si="28"/>
        <v>-20049.75</v>
      </c>
      <c r="N156" s="529"/>
      <c r="O156" s="525">
        <f t="shared" si="41"/>
        <v>0</v>
      </c>
      <c r="P156" s="529">
        <f t="shared" si="33"/>
        <v>11536284.149230771</v>
      </c>
      <c r="Q156" s="528"/>
      <c r="R156" s="528"/>
      <c r="S156" s="528"/>
      <c r="T156" s="528"/>
      <c r="U156" s="529">
        <f t="shared" si="27"/>
        <v>-4037699.3747564103</v>
      </c>
      <c r="V156" s="525">
        <f t="shared" si="29"/>
        <v>-4157997.8747564103</v>
      </c>
      <c r="W156" s="530">
        <f t="shared" si="30"/>
        <v>7721996.2744743619</v>
      </c>
      <c r="X156" s="255">
        <f t="shared" si="31"/>
        <v>7498584.77447436</v>
      </c>
      <c r="Y156" s="136">
        <f t="shared" si="36"/>
        <v>11879994.149230773</v>
      </c>
      <c r="Z156" s="548"/>
    </row>
    <row r="157" spans="1:26">
      <c r="A157" s="131"/>
      <c r="B157" s="2" t="s">
        <v>304</v>
      </c>
      <c r="C157" s="131"/>
      <c r="D157" s="113"/>
      <c r="E157" s="113"/>
      <c r="F157" s="113">
        <f t="shared" si="34"/>
        <v>17275998.307692308</v>
      </c>
      <c r="G157" s="525">
        <f t="shared" si="35"/>
        <v>17275998.307692312</v>
      </c>
      <c r="H157" s="113">
        <f t="shared" si="39"/>
        <v>57285</v>
      </c>
      <c r="I157" s="524">
        <f t="shared" si="32"/>
        <v>-5796999.1584615381</v>
      </c>
      <c r="J157" s="525">
        <f t="shared" si="37"/>
        <v>-5453289.1584615391</v>
      </c>
      <c r="K157" s="526">
        <f t="shared" si="26"/>
        <v>11478999.149230771</v>
      </c>
      <c r="L157" s="525">
        <f t="shared" si="40"/>
        <v>-4017649.7022307697</v>
      </c>
      <c r="M157" s="525">
        <f t="shared" si="28"/>
        <v>-20049.75</v>
      </c>
      <c r="N157" s="529"/>
      <c r="O157" s="525">
        <f t="shared" si="41"/>
        <v>0</v>
      </c>
      <c r="P157" s="529">
        <f t="shared" si="33"/>
        <v>11478999.149230771</v>
      </c>
      <c r="Q157" s="528"/>
      <c r="R157" s="528"/>
      <c r="S157" s="528"/>
      <c r="T157" s="528"/>
      <c r="U157" s="529">
        <f t="shared" si="27"/>
        <v>-4017649.6247564103</v>
      </c>
      <c r="V157" s="525">
        <f t="shared" si="29"/>
        <v>-4137948.1247564103</v>
      </c>
      <c r="W157" s="530">
        <f t="shared" si="30"/>
        <v>7684761.0244743619</v>
      </c>
      <c r="X157" s="255">
        <f t="shared" si="31"/>
        <v>7461349.52447436</v>
      </c>
      <c r="Y157" s="136">
        <f t="shared" si="36"/>
        <v>11822709.149230773</v>
      </c>
      <c r="Z157" s="548"/>
    </row>
    <row r="158" spans="1:26">
      <c r="A158" s="131"/>
      <c r="B158" s="2" t="s">
        <v>305</v>
      </c>
      <c r="C158" s="131"/>
      <c r="D158" s="113"/>
      <c r="E158" s="113"/>
      <c r="F158" s="113">
        <f t="shared" si="34"/>
        <v>17275998.307692308</v>
      </c>
      <c r="G158" s="525">
        <f t="shared" si="35"/>
        <v>17275998.307692312</v>
      </c>
      <c r="H158" s="113">
        <f t="shared" si="39"/>
        <v>57285</v>
      </c>
      <c r="I158" s="524">
        <f t="shared" si="32"/>
        <v>-5854284.1584615381</v>
      </c>
      <c r="J158" s="525">
        <f t="shared" si="37"/>
        <v>-5510574.1584615391</v>
      </c>
      <c r="K158" s="526">
        <f t="shared" si="26"/>
        <v>11421714.149230771</v>
      </c>
      <c r="L158" s="525">
        <f t="shared" si="40"/>
        <v>-3997599.9522307697</v>
      </c>
      <c r="M158" s="525">
        <f t="shared" si="28"/>
        <v>-20049.75</v>
      </c>
      <c r="N158" s="529"/>
      <c r="O158" s="525">
        <f t="shared" si="41"/>
        <v>0</v>
      </c>
      <c r="P158" s="529">
        <f t="shared" si="33"/>
        <v>11421714.149230771</v>
      </c>
      <c r="Q158" s="528"/>
      <c r="R158" s="528"/>
      <c r="S158" s="528"/>
      <c r="T158" s="528"/>
      <c r="U158" s="529">
        <f t="shared" si="27"/>
        <v>-3997599.8747564103</v>
      </c>
      <c r="V158" s="525">
        <f t="shared" si="29"/>
        <v>-4117898.3747564103</v>
      </c>
      <c r="W158" s="530">
        <f t="shared" si="30"/>
        <v>7647525.7744743619</v>
      </c>
      <c r="X158" s="255">
        <f t="shared" si="31"/>
        <v>7424114.27447436</v>
      </c>
      <c r="Y158" s="136">
        <f t="shared" si="36"/>
        <v>11765424.149230773</v>
      </c>
      <c r="Z158" s="548"/>
    </row>
    <row r="159" spans="1:26">
      <c r="A159" s="131"/>
      <c r="B159" s="2" t="s">
        <v>306</v>
      </c>
      <c r="C159" s="131"/>
      <c r="D159" s="113"/>
      <c r="E159" s="113"/>
      <c r="F159" s="113">
        <f t="shared" si="34"/>
        <v>17275998.307692308</v>
      </c>
      <c r="G159" s="525">
        <f t="shared" si="35"/>
        <v>17275998.307692312</v>
      </c>
      <c r="H159" s="113">
        <f t="shared" si="39"/>
        <v>57285</v>
      </c>
      <c r="I159" s="524">
        <f t="shared" si="32"/>
        <v>-5911569.1584615381</v>
      </c>
      <c r="J159" s="525">
        <f t="shared" si="37"/>
        <v>-5567859.1584615391</v>
      </c>
      <c r="K159" s="526">
        <f t="shared" si="26"/>
        <v>11364429.149230771</v>
      </c>
      <c r="L159" s="525">
        <f t="shared" si="40"/>
        <v>-3977550.2022307697</v>
      </c>
      <c r="M159" s="525">
        <f t="shared" si="28"/>
        <v>-20049.75</v>
      </c>
      <c r="N159" s="529"/>
      <c r="O159" s="525">
        <f t="shared" si="41"/>
        <v>0</v>
      </c>
      <c r="P159" s="529">
        <f t="shared" si="33"/>
        <v>11364429.149230771</v>
      </c>
      <c r="Q159" s="528"/>
      <c r="R159" s="528"/>
      <c r="S159" s="528"/>
      <c r="T159" s="528"/>
      <c r="U159" s="529">
        <f t="shared" si="27"/>
        <v>-3977550.1247564103</v>
      </c>
      <c r="V159" s="525">
        <f t="shared" si="29"/>
        <v>-4097848.6247564103</v>
      </c>
      <c r="W159" s="530">
        <f t="shared" si="30"/>
        <v>7610290.5244743619</v>
      </c>
      <c r="X159" s="255">
        <f t="shared" si="31"/>
        <v>7386879.02447436</v>
      </c>
      <c r="Y159" s="136">
        <f t="shared" si="36"/>
        <v>11708139.149230773</v>
      </c>
      <c r="Z159" s="548"/>
    </row>
    <row r="160" spans="1:26">
      <c r="A160" s="131"/>
      <c r="B160" s="2" t="s">
        <v>307</v>
      </c>
      <c r="C160" s="131"/>
      <c r="D160" s="113"/>
      <c r="E160" s="113"/>
      <c r="F160" s="113">
        <f t="shared" si="34"/>
        <v>17275998.307692308</v>
      </c>
      <c r="G160" s="525">
        <f t="shared" si="35"/>
        <v>17275998.307692312</v>
      </c>
      <c r="H160" s="113">
        <f t="shared" si="39"/>
        <v>57285</v>
      </c>
      <c r="I160" s="524">
        <f t="shared" si="32"/>
        <v>-5968854.1584615381</v>
      </c>
      <c r="J160" s="525">
        <f t="shared" si="37"/>
        <v>-5625144.1584615381</v>
      </c>
      <c r="K160" s="526">
        <f t="shared" si="26"/>
        <v>11307144.149230771</v>
      </c>
      <c r="L160" s="525">
        <f t="shared" si="40"/>
        <v>-3957500.4522307697</v>
      </c>
      <c r="M160" s="525">
        <f t="shared" si="28"/>
        <v>-20049.75</v>
      </c>
      <c r="N160" s="529"/>
      <c r="O160" s="525">
        <f t="shared" si="41"/>
        <v>0</v>
      </c>
      <c r="P160" s="529">
        <f t="shared" si="33"/>
        <v>11307144.149230771</v>
      </c>
      <c r="Q160" s="528"/>
      <c r="R160" s="528"/>
      <c r="S160" s="528"/>
      <c r="T160" s="528"/>
      <c r="U160" s="529">
        <f t="shared" si="27"/>
        <v>-3957500.3747564103</v>
      </c>
      <c r="V160" s="525">
        <f t="shared" si="29"/>
        <v>-4077798.8747564103</v>
      </c>
      <c r="W160" s="530">
        <f t="shared" si="30"/>
        <v>7573055.2744743638</v>
      </c>
      <c r="X160" s="255">
        <f t="shared" si="31"/>
        <v>7349643.77447436</v>
      </c>
      <c r="Y160" s="136">
        <f t="shared" si="36"/>
        <v>11650854.149230774</v>
      </c>
      <c r="Z160" s="548"/>
    </row>
    <row r="161" spans="1:26">
      <c r="A161" s="131"/>
      <c r="B161" s="2" t="s">
        <v>308</v>
      </c>
      <c r="C161" s="131"/>
      <c r="D161" s="113"/>
      <c r="E161" s="113"/>
      <c r="F161" s="113">
        <f t="shared" si="34"/>
        <v>17275998.307692308</v>
      </c>
      <c r="G161" s="525">
        <f t="shared" si="35"/>
        <v>17275998.307692312</v>
      </c>
      <c r="H161" s="113">
        <f t="shared" si="39"/>
        <v>57285</v>
      </c>
      <c r="I161" s="524">
        <f t="shared" si="32"/>
        <v>-6026139.1584615381</v>
      </c>
      <c r="J161" s="525">
        <f t="shared" si="37"/>
        <v>-5682429.1584615381</v>
      </c>
      <c r="K161" s="526">
        <f t="shared" si="26"/>
        <v>11249859.149230771</v>
      </c>
      <c r="L161" s="525">
        <f t="shared" si="40"/>
        <v>-3937450.7022307697</v>
      </c>
      <c r="M161" s="525">
        <f t="shared" si="28"/>
        <v>-20049.75</v>
      </c>
      <c r="N161" s="529"/>
      <c r="O161" s="525">
        <f t="shared" si="41"/>
        <v>0</v>
      </c>
      <c r="P161" s="529">
        <f t="shared" si="33"/>
        <v>11249859.149230771</v>
      </c>
      <c r="Q161" s="528"/>
      <c r="R161" s="528"/>
      <c r="S161" s="528"/>
      <c r="T161" s="528"/>
      <c r="U161" s="529">
        <f t="shared" si="27"/>
        <v>-3937450.6247564103</v>
      </c>
      <c r="V161" s="525">
        <f t="shared" si="29"/>
        <v>-4057749.1247564103</v>
      </c>
      <c r="W161" s="530">
        <f t="shared" si="30"/>
        <v>7535820.0244743638</v>
      </c>
      <c r="X161" s="255">
        <f t="shared" si="31"/>
        <v>7312408.52447436</v>
      </c>
      <c r="Y161" s="136">
        <f t="shared" si="36"/>
        <v>11593569.149230774</v>
      </c>
      <c r="Z161" s="548"/>
    </row>
    <row r="162" spans="1:26">
      <c r="A162" s="131"/>
      <c r="B162" s="2" t="s">
        <v>309</v>
      </c>
      <c r="C162" s="131"/>
      <c r="D162" s="113"/>
      <c r="E162" s="113"/>
      <c r="F162" s="113">
        <f t="shared" si="34"/>
        <v>17275998.307692308</v>
      </c>
      <c r="G162" s="525">
        <f t="shared" si="35"/>
        <v>17275998.307692312</v>
      </c>
      <c r="H162" s="113">
        <f t="shared" si="39"/>
        <v>57285</v>
      </c>
      <c r="I162" s="524">
        <f t="shared" si="32"/>
        <v>-6083424.1584615381</v>
      </c>
      <c r="J162" s="525">
        <f t="shared" si="37"/>
        <v>-5739714.15846154</v>
      </c>
      <c r="K162" s="526">
        <f t="shared" si="26"/>
        <v>11192574.149230771</v>
      </c>
      <c r="L162" s="525">
        <f t="shared" si="40"/>
        <v>-3917400.9522307697</v>
      </c>
      <c r="M162" s="525">
        <f t="shared" si="28"/>
        <v>-20049.75</v>
      </c>
      <c r="N162" s="529"/>
      <c r="O162" s="525">
        <f t="shared" si="41"/>
        <v>0</v>
      </c>
      <c r="P162" s="529">
        <f t="shared" si="33"/>
        <v>11192574.149230771</v>
      </c>
      <c r="Q162" s="528"/>
      <c r="R162" s="528"/>
      <c r="S162" s="528"/>
      <c r="T162" s="528"/>
      <c r="U162" s="529">
        <f t="shared" si="27"/>
        <v>-3917400.8747564103</v>
      </c>
      <c r="V162" s="525">
        <f t="shared" si="29"/>
        <v>-4037699.3747564103</v>
      </c>
      <c r="W162" s="530">
        <f t="shared" si="30"/>
        <v>7498584.77447436</v>
      </c>
      <c r="X162" s="255">
        <f t="shared" si="31"/>
        <v>7275173.27447436</v>
      </c>
      <c r="Y162" s="136">
        <f t="shared" si="36"/>
        <v>11536284.149230771</v>
      </c>
      <c r="Z162" s="548"/>
    </row>
    <row r="163" spans="1:26">
      <c r="A163" s="131"/>
      <c r="B163" s="2" t="s">
        <v>310</v>
      </c>
      <c r="C163" s="131"/>
      <c r="D163" s="113"/>
      <c r="E163" s="113"/>
      <c r="F163" s="113">
        <f t="shared" si="34"/>
        <v>17275998.307692308</v>
      </c>
      <c r="G163" s="525">
        <f t="shared" si="35"/>
        <v>17275998.307692312</v>
      </c>
      <c r="H163" s="113">
        <f t="shared" si="39"/>
        <v>57285</v>
      </c>
      <c r="I163" s="524">
        <f t="shared" si="32"/>
        <v>-6140709.1584615381</v>
      </c>
      <c r="J163" s="525">
        <f t="shared" si="37"/>
        <v>-5796999.15846154</v>
      </c>
      <c r="K163" s="526">
        <f t="shared" si="26"/>
        <v>11135289.149230771</v>
      </c>
      <c r="L163" s="525">
        <f t="shared" si="40"/>
        <v>-3897351.2022307697</v>
      </c>
      <c r="M163" s="525">
        <f t="shared" si="28"/>
        <v>-20049.75</v>
      </c>
      <c r="N163" s="529"/>
      <c r="O163" s="525">
        <f t="shared" si="41"/>
        <v>0</v>
      </c>
      <c r="P163" s="529">
        <f t="shared" si="33"/>
        <v>11135289.149230771</v>
      </c>
      <c r="Q163" s="528"/>
      <c r="R163" s="528"/>
      <c r="S163" s="528"/>
      <c r="T163" s="528"/>
      <c r="U163" s="529">
        <f t="shared" si="27"/>
        <v>-3897351.1247564103</v>
      </c>
      <c r="V163" s="525">
        <f t="shared" si="29"/>
        <v>-4017649.6247564103</v>
      </c>
      <c r="W163" s="530">
        <f t="shared" si="30"/>
        <v>7461349.52447436</v>
      </c>
      <c r="X163" s="255">
        <f t="shared" si="31"/>
        <v>7237938.02447436</v>
      </c>
      <c r="Y163" s="136">
        <f t="shared" si="36"/>
        <v>11478999.149230771</v>
      </c>
      <c r="Z163" s="548"/>
    </row>
    <row r="164" spans="1:26">
      <c r="A164" s="131"/>
      <c r="B164" s="2" t="s">
        <v>311</v>
      </c>
      <c r="C164" s="131"/>
      <c r="D164" s="113"/>
      <c r="E164" s="113"/>
      <c r="F164" s="113">
        <f t="shared" si="34"/>
        <v>17275998.307692308</v>
      </c>
      <c r="G164" s="525">
        <f t="shared" si="35"/>
        <v>17275998.307692312</v>
      </c>
      <c r="H164" s="113">
        <f t="shared" si="39"/>
        <v>57285</v>
      </c>
      <c r="I164" s="524">
        <f t="shared" si="32"/>
        <v>-6197994.1584615381</v>
      </c>
      <c r="J164" s="525">
        <f t="shared" si="37"/>
        <v>-5854284.15846154</v>
      </c>
      <c r="K164" s="526">
        <f t="shared" si="26"/>
        <v>11078004.149230771</v>
      </c>
      <c r="L164" s="525">
        <f t="shared" si="40"/>
        <v>-3877301.4522307697</v>
      </c>
      <c r="M164" s="525">
        <f t="shared" si="28"/>
        <v>-20049.75</v>
      </c>
      <c r="N164" s="529"/>
      <c r="O164" s="525">
        <f t="shared" si="41"/>
        <v>0</v>
      </c>
      <c r="P164" s="529">
        <f t="shared" si="33"/>
        <v>11078004.149230771</v>
      </c>
      <c r="Q164" s="528"/>
      <c r="R164" s="528"/>
      <c r="S164" s="528"/>
      <c r="T164" s="528"/>
      <c r="U164" s="529">
        <f t="shared" si="27"/>
        <v>-3877301.3747564103</v>
      </c>
      <c r="V164" s="525">
        <f t="shared" si="29"/>
        <v>-3997599.8747564103</v>
      </c>
      <c r="W164" s="530">
        <f t="shared" si="30"/>
        <v>7424114.27447436</v>
      </c>
      <c r="X164" s="255">
        <f t="shared" si="31"/>
        <v>7200702.77447436</v>
      </c>
      <c r="Y164" s="136">
        <f t="shared" si="36"/>
        <v>11421714.149230771</v>
      </c>
      <c r="Z164" s="548"/>
    </row>
    <row r="165" spans="1:26">
      <c r="A165" s="131"/>
      <c r="B165" s="2" t="s">
        <v>312</v>
      </c>
      <c r="C165" s="131"/>
      <c r="D165" s="113"/>
      <c r="E165" s="113"/>
      <c r="F165" s="113">
        <f t="shared" si="34"/>
        <v>17275998.307692308</v>
      </c>
      <c r="G165" s="525">
        <f t="shared" si="35"/>
        <v>17275998.307692312</v>
      </c>
      <c r="H165" s="113">
        <f t="shared" si="39"/>
        <v>57285</v>
      </c>
      <c r="I165" s="524">
        <f t="shared" si="32"/>
        <v>-6255279.1584615381</v>
      </c>
      <c r="J165" s="525">
        <f t="shared" si="37"/>
        <v>-5911569.15846154</v>
      </c>
      <c r="K165" s="526">
        <f t="shared" ref="K165:K228" si="42">F165+I165</f>
        <v>11020719.149230771</v>
      </c>
      <c r="L165" s="525">
        <f t="shared" si="40"/>
        <v>-3857251.7022307697</v>
      </c>
      <c r="M165" s="525">
        <f t="shared" si="28"/>
        <v>-20049.75</v>
      </c>
      <c r="N165" s="529"/>
      <c r="O165" s="525">
        <f t="shared" si="41"/>
        <v>0</v>
      </c>
      <c r="P165" s="529">
        <f t="shared" si="33"/>
        <v>11020719.149230771</v>
      </c>
      <c r="Q165" s="528"/>
      <c r="R165" s="528"/>
      <c r="S165" s="528"/>
      <c r="T165" s="528"/>
      <c r="U165" s="529">
        <f t="shared" si="27"/>
        <v>-3857251.6247564103</v>
      </c>
      <c r="V165" s="525">
        <f t="shared" si="29"/>
        <v>-3977550.1247564103</v>
      </c>
      <c r="W165" s="530">
        <f t="shared" si="30"/>
        <v>7386879.02447436</v>
      </c>
      <c r="X165" s="255">
        <f t="shared" si="31"/>
        <v>7163467.52447436</v>
      </c>
      <c r="Y165" s="136">
        <f t="shared" si="36"/>
        <v>11364429.149230771</v>
      </c>
      <c r="Z165" s="548"/>
    </row>
    <row r="166" spans="1:26">
      <c r="A166" s="131"/>
      <c r="B166" s="2" t="s">
        <v>313</v>
      </c>
      <c r="C166" s="131"/>
      <c r="D166" s="113"/>
      <c r="E166" s="113"/>
      <c r="F166" s="113">
        <f t="shared" si="34"/>
        <v>17275998.307692308</v>
      </c>
      <c r="G166" s="525">
        <f t="shared" si="35"/>
        <v>17275998.307692312</v>
      </c>
      <c r="H166" s="113">
        <f t="shared" si="39"/>
        <v>57285</v>
      </c>
      <c r="I166" s="524">
        <f t="shared" si="32"/>
        <v>-6312564.1584615381</v>
      </c>
      <c r="J166" s="525">
        <f t="shared" si="37"/>
        <v>-5968854.15846154</v>
      </c>
      <c r="K166" s="526">
        <f t="shared" si="42"/>
        <v>10963434.149230771</v>
      </c>
      <c r="L166" s="525">
        <f t="shared" si="40"/>
        <v>-3837201.9522307697</v>
      </c>
      <c r="M166" s="525">
        <f t="shared" si="28"/>
        <v>-20049.75</v>
      </c>
      <c r="N166" s="529"/>
      <c r="O166" s="525">
        <f t="shared" si="41"/>
        <v>0</v>
      </c>
      <c r="P166" s="529">
        <f t="shared" si="33"/>
        <v>10963434.149230771</v>
      </c>
      <c r="Q166" s="528"/>
      <c r="R166" s="528"/>
      <c r="S166" s="528"/>
      <c r="T166" s="528"/>
      <c r="U166" s="529">
        <f t="shared" si="27"/>
        <v>-3837201.8747564103</v>
      </c>
      <c r="V166" s="525">
        <f t="shared" si="29"/>
        <v>-3957500.3747564103</v>
      </c>
      <c r="W166" s="530">
        <f t="shared" si="30"/>
        <v>7349643.77447436</v>
      </c>
      <c r="X166" s="255">
        <f t="shared" si="31"/>
        <v>7126232.27447436</v>
      </c>
      <c r="Y166" s="136">
        <f t="shared" si="36"/>
        <v>11307144.149230771</v>
      </c>
      <c r="Z166" s="548"/>
    </row>
    <row r="167" spans="1:26">
      <c r="A167" s="131"/>
      <c r="B167" s="2" t="s">
        <v>314</v>
      </c>
      <c r="C167" s="131"/>
      <c r="D167" s="113"/>
      <c r="E167" s="113"/>
      <c r="F167" s="113">
        <f t="shared" si="34"/>
        <v>17275998.307692308</v>
      </c>
      <c r="G167" s="525">
        <f t="shared" si="35"/>
        <v>17275998.307692312</v>
      </c>
      <c r="H167" s="113">
        <f t="shared" si="39"/>
        <v>57285</v>
      </c>
      <c r="I167" s="524">
        <f t="shared" si="32"/>
        <v>-6369849.1584615381</v>
      </c>
      <c r="J167" s="525">
        <f t="shared" si="37"/>
        <v>-6026139.15846154</v>
      </c>
      <c r="K167" s="526">
        <f t="shared" si="42"/>
        <v>10906149.149230771</v>
      </c>
      <c r="L167" s="525">
        <f t="shared" si="40"/>
        <v>-3817152.2022307697</v>
      </c>
      <c r="M167" s="525">
        <f t="shared" si="28"/>
        <v>-20049.75</v>
      </c>
      <c r="N167" s="529"/>
      <c r="O167" s="525">
        <f t="shared" si="41"/>
        <v>0</v>
      </c>
      <c r="P167" s="529">
        <f t="shared" si="33"/>
        <v>10906149.149230771</v>
      </c>
      <c r="Q167" s="528"/>
      <c r="R167" s="528"/>
      <c r="S167" s="528"/>
      <c r="T167" s="528"/>
      <c r="U167" s="529">
        <f t="shared" ref="U167:U230" si="43">U166-M167</f>
        <v>-3817152.1247564103</v>
      </c>
      <c r="V167" s="525">
        <f t="shared" si="29"/>
        <v>-3937450.6247564103</v>
      </c>
      <c r="W167" s="530">
        <f t="shared" si="30"/>
        <v>7312408.52447436</v>
      </c>
      <c r="X167" s="255">
        <f t="shared" si="31"/>
        <v>7088997.02447436</v>
      </c>
      <c r="Y167" s="136">
        <f t="shared" si="36"/>
        <v>11249859.149230771</v>
      </c>
      <c r="Z167" s="548"/>
    </row>
    <row r="168" spans="1:26">
      <c r="A168" s="131"/>
      <c r="B168" s="2" t="s">
        <v>315</v>
      </c>
      <c r="C168" s="131"/>
      <c r="D168" s="113"/>
      <c r="E168" s="113"/>
      <c r="F168" s="113">
        <f t="shared" si="34"/>
        <v>17275998.307692308</v>
      </c>
      <c r="G168" s="525">
        <f t="shared" si="35"/>
        <v>17275998.307692312</v>
      </c>
      <c r="H168" s="113">
        <f t="shared" si="39"/>
        <v>57285</v>
      </c>
      <c r="I168" s="524">
        <f t="shared" si="32"/>
        <v>-6427134.1584615381</v>
      </c>
      <c r="J168" s="525">
        <f t="shared" si="37"/>
        <v>-6083424.15846154</v>
      </c>
      <c r="K168" s="526">
        <f t="shared" si="42"/>
        <v>10848864.149230771</v>
      </c>
      <c r="L168" s="525">
        <f t="shared" si="40"/>
        <v>-3797102.4522307697</v>
      </c>
      <c r="M168" s="525">
        <f t="shared" ref="M168:M231" si="44">-L168+L167</f>
        <v>-20049.75</v>
      </c>
      <c r="N168" s="529"/>
      <c r="O168" s="525">
        <f t="shared" si="41"/>
        <v>0</v>
      </c>
      <c r="P168" s="529">
        <f t="shared" si="33"/>
        <v>10848864.149230771</v>
      </c>
      <c r="Q168" s="528"/>
      <c r="R168" s="528"/>
      <c r="S168" s="528"/>
      <c r="T168" s="528"/>
      <c r="U168" s="529">
        <f t="shared" si="43"/>
        <v>-3797102.3747564103</v>
      </c>
      <c r="V168" s="525">
        <f t="shared" si="29"/>
        <v>-3917400.8747564103</v>
      </c>
      <c r="W168" s="530">
        <f t="shared" si="30"/>
        <v>7275173.27447436</v>
      </c>
      <c r="X168" s="255">
        <f t="shared" si="31"/>
        <v>7051761.77447436</v>
      </c>
      <c r="Y168" s="136">
        <f t="shared" si="36"/>
        <v>11192574.149230771</v>
      </c>
      <c r="Z168" s="548"/>
    </row>
    <row r="169" spans="1:26">
      <c r="A169" s="131"/>
      <c r="B169" s="2" t="s">
        <v>316</v>
      </c>
      <c r="C169" s="131"/>
      <c r="D169" s="113"/>
      <c r="E169" s="113"/>
      <c r="F169" s="113">
        <f t="shared" si="34"/>
        <v>17275998.307692308</v>
      </c>
      <c r="G169" s="525">
        <f t="shared" si="35"/>
        <v>17275998.307692312</v>
      </c>
      <c r="H169" s="113">
        <f t="shared" si="39"/>
        <v>57285</v>
      </c>
      <c r="I169" s="524">
        <f t="shared" si="32"/>
        <v>-6484419.1584615381</v>
      </c>
      <c r="J169" s="525">
        <f t="shared" si="37"/>
        <v>-6140709.15846154</v>
      </c>
      <c r="K169" s="526">
        <f t="shared" si="42"/>
        <v>10791579.149230771</v>
      </c>
      <c r="L169" s="525">
        <f t="shared" si="40"/>
        <v>-3777052.7022307697</v>
      </c>
      <c r="M169" s="525">
        <f t="shared" si="44"/>
        <v>-20049.75</v>
      </c>
      <c r="N169" s="529"/>
      <c r="O169" s="525">
        <f t="shared" si="41"/>
        <v>0</v>
      </c>
      <c r="P169" s="529">
        <f t="shared" si="33"/>
        <v>10791579.149230771</v>
      </c>
      <c r="Q169" s="528"/>
      <c r="R169" s="528"/>
      <c r="S169" s="528"/>
      <c r="T169" s="528"/>
      <c r="U169" s="529">
        <f t="shared" si="43"/>
        <v>-3777052.6247564103</v>
      </c>
      <c r="V169" s="525">
        <f t="shared" si="29"/>
        <v>-3897351.1247564103</v>
      </c>
      <c r="W169" s="530">
        <f t="shared" si="30"/>
        <v>7237938.02447436</v>
      </c>
      <c r="X169" s="255">
        <f t="shared" si="31"/>
        <v>7014526.52447436</v>
      </c>
      <c r="Y169" s="136">
        <f t="shared" si="36"/>
        <v>11135289.149230771</v>
      </c>
      <c r="Z169" s="548"/>
    </row>
    <row r="170" spans="1:26">
      <c r="A170" s="131"/>
      <c r="B170" s="2" t="s">
        <v>317</v>
      </c>
      <c r="C170" s="131"/>
      <c r="D170" s="113"/>
      <c r="E170" s="113"/>
      <c r="F170" s="113">
        <f t="shared" si="34"/>
        <v>17275998.307692308</v>
      </c>
      <c r="G170" s="525">
        <f t="shared" si="35"/>
        <v>17275998.307692312</v>
      </c>
      <c r="H170" s="113">
        <f t="shared" si="39"/>
        <v>57285</v>
      </c>
      <c r="I170" s="524">
        <f t="shared" si="32"/>
        <v>-6541704.1584615381</v>
      </c>
      <c r="J170" s="525">
        <f t="shared" si="37"/>
        <v>-6197994.15846154</v>
      </c>
      <c r="K170" s="526">
        <f t="shared" si="42"/>
        <v>10734294.149230771</v>
      </c>
      <c r="L170" s="525">
        <f t="shared" si="40"/>
        <v>-3757002.9522307697</v>
      </c>
      <c r="M170" s="525">
        <f t="shared" si="44"/>
        <v>-20049.75</v>
      </c>
      <c r="N170" s="529"/>
      <c r="O170" s="525">
        <f t="shared" si="41"/>
        <v>0</v>
      </c>
      <c r="P170" s="529">
        <f t="shared" si="33"/>
        <v>10734294.149230771</v>
      </c>
      <c r="Q170" s="528"/>
      <c r="R170" s="528"/>
      <c r="S170" s="528"/>
      <c r="T170" s="528"/>
      <c r="U170" s="529">
        <f t="shared" si="43"/>
        <v>-3757002.8747564103</v>
      </c>
      <c r="V170" s="525">
        <f t="shared" si="29"/>
        <v>-3877301.3747564103</v>
      </c>
      <c r="W170" s="530">
        <f t="shared" si="30"/>
        <v>7200702.77447436</v>
      </c>
      <c r="X170" s="255">
        <f t="shared" si="31"/>
        <v>6977291.27447436</v>
      </c>
      <c r="Y170" s="136">
        <f t="shared" si="36"/>
        <v>11078004.149230771</v>
      </c>
      <c r="Z170" s="548"/>
    </row>
    <row r="171" spans="1:26">
      <c r="A171" s="131"/>
      <c r="B171" s="2" t="s">
        <v>318</v>
      </c>
      <c r="C171" s="131"/>
      <c r="D171" s="113"/>
      <c r="E171" s="113"/>
      <c r="F171" s="113">
        <f t="shared" si="34"/>
        <v>17275998.307692308</v>
      </c>
      <c r="G171" s="525">
        <f t="shared" si="35"/>
        <v>17275998.307692312</v>
      </c>
      <c r="H171" s="113">
        <f t="shared" si="39"/>
        <v>57285</v>
      </c>
      <c r="I171" s="524">
        <f t="shared" si="32"/>
        <v>-6598989.1584615381</v>
      </c>
      <c r="J171" s="525">
        <f t="shared" si="37"/>
        <v>-6255279.15846154</v>
      </c>
      <c r="K171" s="526">
        <f t="shared" si="42"/>
        <v>10677009.149230771</v>
      </c>
      <c r="L171" s="525">
        <f t="shared" si="40"/>
        <v>-3736953.2022307697</v>
      </c>
      <c r="M171" s="525">
        <f t="shared" si="44"/>
        <v>-20049.75</v>
      </c>
      <c r="N171" s="529"/>
      <c r="O171" s="525">
        <f t="shared" si="41"/>
        <v>0</v>
      </c>
      <c r="P171" s="529">
        <f t="shared" si="33"/>
        <v>10677009.149230771</v>
      </c>
      <c r="Q171" s="528"/>
      <c r="R171" s="528"/>
      <c r="S171" s="528"/>
      <c r="T171" s="528"/>
      <c r="U171" s="529">
        <f t="shared" si="43"/>
        <v>-3736953.1247564103</v>
      </c>
      <c r="V171" s="525">
        <f t="shared" si="29"/>
        <v>-3857251.6247564103</v>
      </c>
      <c r="W171" s="530">
        <f t="shared" si="30"/>
        <v>7163467.52447436</v>
      </c>
      <c r="X171" s="255">
        <f t="shared" si="31"/>
        <v>6940056.02447436</v>
      </c>
      <c r="Y171" s="136">
        <f t="shared" si="36"/>
        <v>11020719.149230771</v>
      </c>
      <c r="Z171" s="548"/>
    </row>
    <row r="172" spans="1:26">
      <c r="A172" s="131"/>
      <c r="B172" s="2" t="s">
        <v>319</v>
      </c>
      <c r="C172" s="131"/>
      <c r="D172" s="113"/>
      <c r="E172" s="113"/>
      <c r="F172" s="113">
        <f t="shared" si="34"/>
        <v>17275998.307692308</v>
      </c>
      <c r="G172" s="525">
        <f t="shared" si="35"/>
        <v>17275998.307692312</v>
      </c>
      <c r="H172" s="113">
        <f t="shared" si="39"/>
        <v>57285</v>
      </c>
      <c r="I172" s="524">
        <f t="shared" si="32"/>
        <v>-6656274.1584615381</v>
      </c>
      <c r="J172" s="525">
        <f t="shared" si="37"/>
        <v>-6312564.15846154</v>
      </c>
      <c r="K172" s="526">
        <f t="shared" si="42"/>
        <v>10619724.149230771</v>
      </c>
      <c r="L172" s="525">
        <f t="shared" si="40"/>
        <v>-3716903.4522307697</v>
      </c>
      <c r="M172" s="525">
        <f t="shared" si="44"/>
        <v>-20049.75</v>
      </c>
      <c r="N172" s="529"/>
      <c r="O172" s="525">
        <f t="shared" si="41"/>
        <v>0</v>
      </c>
      <c r="P172" s="529">
        <f t="shared" si="33"/>
        <v>10619724.149230771</v>
      </c>
      <c r="Q172" s="528"/>
      <c r="R172" s="528"/>
      <c r="S172" s="528"/>
      <c r="T172" s="528"/>
      <c r="U172" s="529">
        <f t="shared" si="43"/>
        <v>-3716903.3747564103</v>
      </c>
      <c r="V172" s="525">
        <f t="shared" si="29"/>
        <v>-3837201.8747564103</v>
      </c>
      <c r="W172" s="530">
        <f t="shared" si="30"/>
        <v>7126232.27447436</v>
      </c>
      <c r="X172" s="255">
        <f t="shared" si="31"/>
        <v>6902820.77447436</v>
      </c>
      <c r="Y172" s="136">
        <f t="shared" si="36"/>
        <v>10963434.149230771</v>
      </c>
      <c r="Z172" s="548"/>
    </row>
    <row r="173" spans="1:26">
      <c r="A173" s="131"/>
      <c r="B173" s="2" t="s">
        <v>320</v>
      </c>
      <c r="C173" s="131"/>
      <c r="D173" s="113"/>
      <c r="E173" s="113"/>
      <c r="F173" s="113">
        <f t="shared" si="34"/>
        <v>17275998.307692308</v>
      </c>
      <c r="G173" s="525">
        <f t="shared" si="35"/>
        <v>17275998.307692312</v>
      </c>
      <c r="H173" s="113">
        <f t="shared" si="39"/>
        <v>57285</v>
      </c>
      <c r="I173" s="524">
        <f t="shared" si="32"/>
        <v>-6713559.1584615381</v>
      </c>
      <c r="J173" s="525">
        <f t="shared" si="37"/>
        <v>-6369849.15846154</v>
      </c>
      <c r="K173" s="526">
        <f t="shared" si="42"/>
        <v>10562439.149230771</v>
      </c>
      <c r="L173" s="525">
        <f t="shared" si="40"/>
        <v>-3696853.7022307697</v>
      </c>
      <c r="M173" s="525">
        <f t="shared" si="44"/>
        <v>-20049.75</v>
      </c>
      <c r="N173" s="529"/>
      <c r="O173" s="525">
        <f t="shared" si="41"/>
        <v>0</v>
      </c>
      <c r="P173" s="529">
        <f t="shared" si="33"/>
        <v>10562439.149230771</v>
      </c>
      <c r="Q173" s="528"/>
      <c r="R173" s="528"/>
      <c r="S173" s="528"/>
      <c r="T173" s="528"/>
      <c r="U173" s="529">
        <f t="shared" si="43"/>
        <v>-3696853.6247564103</v>
      </c>
      <c r="V173" s="525">
        <f t="shared" si="29"/>
        <v>-3817152.1247564103</v>
      </c>
      <c r="W173" s="530">
        <f t="shared" si="30"/>
        <v>7088997.02447436</v>
      </c>
      <c r="X173" s="255">
        <f t="shared" si="31"/>
        <v>6865585.52447436</v>
      </c>
      <c r="Y173" s="136">
        <f t="shared" si="36"/>
        <v>10906149.149230771</v>
      </c>
      <c r="Z173" s="548"/>
    </row>
    <row r="174" spans="1:26">
      <c r="A174" s="131"/>
      <c r="B174" s="2" t="s">
        <v>321</v>
      </c>
      <c r="C174" s="131"/>
      <c r="D174" s="113"/>
      <c r="E174" s="113"/>
      <c r="F174" s="113">
        <f t="shared" si="34"/>
        <v>17275998.307692308</v>
      </c>
      <c r="G174" s="525">
        <f t="shared" si="35"/>
        <v>17275998.307692312</v>
      </c>
      <c r="H174" s="113">
        <f t="shared" si="39"/>
        <v>57285</v>
      </c>
      <c r="I174" s="524">
        <f t="shared" si="32"/>
        <v>-6770844.1584615381</v>
      </c>
      <c r="J174" s="525">
        <f t="shared" si="37"/>
        <v>-6427134.15846154</v>
      </c>
      <c r="K174" s="526">
        <f t="shared" si="42"/>
        <v>10505154.149230771</v>
      </c>
      <c r="L174" s="525">
        <f t="shared" si="40"/>
        <v>-3676803.9522307697</v>
      </c>
      <c r="M174" s="525">
        <f t="shared" si="44"/>
        <v>-20049.75</v>
      </c>
      <c r="N174" s="529"/>
      <c r="O174" s="525">
        <f t="shared" si="41"/>
        <v>0</v>
      </c>
      <c r="P174" s="529">
        <f t="shared" si="33"/>
        <v>10505154.149230771</v>
      </c>
      <c r="Q174" s="528"/>
      <c r="R174" s="528"/>
      <c r="S174" s="528"/>
      <c r="T174" s="528"/>
      <c r="U174" s="529">
        <f t="shared" si="43"/>
        <v>-3676803.8747564103</v>
      </c>
      <c r="V174" s="525">
        <f t="shared" si="29"/>
        <v>-3797102.3747564103</v>
      </c>
      <c r="W174" s="530">
        <f t="shared" si="30"/>
        <v>7051761.77447436</v>
      </c>
      <c r="X174" s="255">
        <f t="shared" si="31"/>
        <v>6828350.27447436</v>
      </c>
      <c r="Y174" s="136">
        <f t="shared" si="36"/>
        <v>10848864.149230771</v>
      </c>
      <c r="Z174" s="548"/>
    </row>
    <row r="175" spans="1:26">
      <c r="A175" s="131"/>
      <c r="B175" s="2" t="s">
        <v>322</v>
      </c>
      <c r="C175" s="131"/>
      <c r="D175" s="113"/>
      <c r="E175" s="113"/>
      <c r="F175" s="113">
        <f t="shared" si="34"/>
        <v>17275998.307692308</v>
      </c>
      <c r="G175" s="525">
        <f t="shared" si="35"/>
        <v>17275998.307692312</v>
      </c>
      <c r="H175" s="113">
        <f t="shared" si="39"/>
        <v>57285</v>
      </c>
      <c r="I175" s="524">
        <f t="shared" si="32"/>
        <v>-6828129.1584615381</v>
      </c>
      <c r="J175" s="525">
        <f t="shared" si="37"/>
        <v>-6484419.15846154</v>
      </c>
      <c r="K175" s="526">
        <f t="shared" si="42"/>
        <v>10447869.149230771</v>
      </c>
      <c r="L175" s="525">
        <f t="shared" si="40"/>
        <v>-3656754.2022307697</v>
      </c>
      <c r="M175" s="525">
        <f t="shared" si="44"/>
        <v>-20049.75</v>
      </c>
      <c r="N175" s="529"/>
      <c r="O175" s="525">
        <f t="shared" si="41"/>
        <v>0</v>
      </c>
      <c r="P175" s="529">
        <f t="shared" si="33"/>
        <v>10447869.149230771</v>
      </c>
      <c r="Q175" s="528"/>
      <c r="R175" s="528"/>
      <c r="S175" s="528"/>
      <c r="T175" s="528"/>
      <c r="U175" s="529">
        <f t="shared" si="43"/>
        <v>-3656754.1247564103</v>
      </c>
      <c r="V175" s="525">
        <f t="shared" si="29"/>
        <v>-3777052.6247564103</v>
      </c>
      <c r="W175" s="530">
        <f t="shared" si="30"/>
        <v>7014526.52447436</v>
      </c>
      <c r="X175" s="255">
        <f t="shared" si="31"/>
        <v>6791115.02447436</v>
      </c>
      <c r="Y175" s="136">
        <f t="shared" si="36"/>
        <v>10791579.149230771</v>
      </c>
      <c r="Z175" s="548"/>
    </row>
    <row r="176" spans="1:26">
      <c r="A176" s="131"/>
      <c r="B176" s="2" t="s">
        <v>323</v>
      </c>
      <c r="C176" s="131"/>
      <c r="D176" s="113"/>
      <c r="E176" s="113"/>
      <c r="F176" s="113">
        <f t="shared" si="34"/>
        <v>17275998.307692308</v>
      </c>
      <c r="G176" s="525">
        <f t="shared" si="35"/>
        <v>17275998.307692312</v>
      </c>
      <c r="H176" s="113">
        <f t="shared" si="39"/>
        <v>57285</v>
      </c>
      <c r="I176" s="524">
        <f t="shared" si="32"/>
        <v>-6885414.1584615381</v>
      </c>
      <c r="J176" s="525">
        <f t="shared" si="37"/>
        <v>-6541704.15846154</v>
      </c>
      <c r="K176" s="526">
        <f t="shared" si="42"/>
        <v>10390584.149230771</v>
      </c>
      <c r="L176" s="525">
        <f t="shared" si="40"/>
        <v>-3636704.4522307697</v>
      </c>
      <c r="M176" s="525">
        <f t="shared" si="44"/>
        <v>-20049.75</v>
      </c>
      <c r="N176" s="529"/>
      <c r="O176" s="525">
        <f t="shared" si="41"/>
        <v>0</v>
      </c>
      <c r="P176" s="529">
        <f t="shared" si="33"/>
        <v>10390584.149230771</v>
      </c>
      <c r="Q176" s="528"/>
      <c r="R176" s="528"/>
      <c r="S176" s="528"/>
      <c r="T176" s="528"/>
      <c r="U176" s="529">
        <f t="shared" si="43"/>
        <v>-3636704.3747564103</v>
      </c>
      <c r="V176" s="525">
        <f t="shared" si="29"/>
        <v>-3757002.8747564103</v>
      </c>
      <c r="W176" s="530">
        <f t="shared" si="30"/>
        <v>6977291.27447436</v>
      </c>
      <c r="X176" s="255">
        <f t="shared" si="31"/>
        <v>6753879.77447436</v>
      </c>
      <c r="Y176" s="136">
        <f t="shared" si="36"/>
        <v>10734294.149230771</v>
      </c>
      <c r="Z176" s="548"/>
    </row>
    <row r="177" spans="1:26">
      <c r="A177" s="131"/>
      <c r="B177" s="2" t="s">
        <v>324</v>
      </c>
      <c r="C177" s="131"/>
      <c r="D177" s="113"/>
      <c r="E177" s="113"/>
      <c r="F177" s="113">
        <f t="shared" si="34"/>
        <v>17275998.307692308</v>
      </c>
      <c r="G177" s="525">
        <f t="shared" si="35"/>
        <v>17275998.307692312</v>
      </c>
      <c r="H177" s="113">
        <f t="shared" si="39"/>
        <v>57285</v>
      </c>
      <c r="I177" s="524">
        <f t="shared" si="32"/>
        <v>-6942699.1584615381</v>
      </c>
      <c r="J177" s="525">
        <f t="shared" si="37"/>
        <v>-6598989.15846154</v>
      </c>
      <c r="K177" s="526">
        <f t="shared" si="42"/>
        <v>10333299.149230771</v>
      </c>
      <c r="L177" s="525">
        <f t="shared" si="40"/>
        <v>-3616654.7022307697</v>
      </c>
      <c r="M177" s="525">
        <f t="shared" si="44"/>
        <v>-20049.75</v>
      </c>
      <c r="N177" s="529"/>
      <c r="O177" s="525">
        <f t="shared" si="41"/>
        <v>0</v>
      </c>
      <c r="P177" s="529">
        <f t="shared" si="33"/>
        <v>10333299.149230771</v>
      </c>
      <c r="Q177" s="528"/>
      <c r="R177" s="528"/>
      <c r="S177" s="528"/>
      <c r="T177" s="528"/>
      <c r="U177" s="529">
        <f t="shared" si="43"/>
        <v>-3616654.6247564103</v>
      </c>
      <c r="V177" s="525">
        <f t="shared" si="29"/>
        <v>-3736953.1247564103</v>
      </c>
      <c r="W177" s="530">
        <f t="shared" si="30"/>
        <v>6940056.02447436</v>
      </c>
      <c r="X177" s="255">
        <f t="shared" si="31"/>
        <v>6716644.52447436</v>
      </c>
      <c r="Y177" s="136">
        <f t="shared" si="36"/>
        <v>10677009.149230771</v>
      </c>
      <c r="Z177" s="548"/>
    </row>
    <row r="178" spans="1:26">
      <c r="A178" s="131"/>
      <c r="B178" s="2" t="s">
        <v>325</v>
      </c>
      <c r="C178" s="131"/>
      <c r="D178" s="113"/>
      <c r="E178" s="113"/>
      <c r="F178" s="113">
        <f t="shared" si="34"/>
        <v>17275998.307692308</v>
      </c>
      <c r="G178" s="525">
        <f t="shared" si="35"/>
        <v>17275998.307692312</v>
      </c>
      <c r="H178" s="113">
        <f t="shared" si="39"/>
        <v>57285</v>
      </c>
      <c r="I178" s="524">
        <f t="shared" si="32"/>
        <v>-6999984.1584615381</v>
      </c>
      <c r="J178" s="525">
        <f t="shared" si="37"/>
        <v>-6656274.15846154</v>
      </c>
      <c r="K178" s="526">
        <f t="shared" si="42"/>
        <v>10276014.149230771</v>
      </c>
      <c r="L178" s="525">
        <f t="shared" si="40"/>
        <v>-3596604.9522307697</v>
      </c>
      <c r="M178" s="525">
        <f t="shared" si="44"/>
        <v>-20049.75</v>
      </c>
      <c r="N178" s="529"/>
      <c r="O178" s="525">
        <f t="shared" si="41"/>
        <v>0</v>
      </c>
      <c r="P178" s="529">
        <f t="shared" si="33"/>
        <v>10276014.149230771</v>
      </c>
      <c r="Q178" s="528"/>
      <c r="R178" s="528"/>
      <c r="S178" s="528"/>
      <c r="T178" s="528"/>
      <c r="U178" s="529">
        <f t="shared" si="43"/>
        <v>-3596604.8747564103</v>
      </c>
      <c r="V178" s="525">
        <f t="shared" ref="V178:V241" si="45">(U166+U178+SUM(U167:U177)*2)/24</f>
        <v>-3716903.3747564103</v>
      </c>
      <c r="W178" s="530">
        <f t="shared" ref="W178:W241" si="46">G178+J178+V178</f>
        <v>6902820.77447436</v>
      </c>
      <c r="X178" s="255">
        <f t="shared" si="31"/>
        <v>6679409.27447436</v>
      </c>
      <c r="Y178" s="136">
        <f t="shared" si="36"/>
        <v>10619724.149230771</v>
      </c>
      <c r="Z178" s="548"/>
    </row>
    <row r="179" spans="1:26">
      <c r="A179" s="131"/>
      <c r="B179" s="2" t="s">
        <v>326</v>
      </c>
      <c r="C179" s="131"/>
      <c r="D179" s="113"/>
      <c r="E179" s="113"/>
      <c r="F179" s="113">
        <f t="shared" si="34"/>
        <v>17275998.307692308</v>
      </c>
      <c r="G179" s="525">
        <f t="shared" si="35"/>
        <v>17275998.307692312</v>
      </c>
      <c r="H179" s="113">
        <f t="shared" si="39"/>
        <v>57285</v>
      </c>
      <c r="I179" s="524">
        <f t="shared" si="32"/>
        <v>-7057269.1584615381</v>
      </c>
      <c r="J179" s="525">
        <f t="shared" si="37"/>
        <v>-6713559.15846154</v>
      </c>
      <c r="K179" s="526">
        <f t="shared" si="42"/>
        <v>10218729.149230771</v>
      </c>
      <c r="L179" s="525">
        <f t="shared" si="40"/>
        <v>-3576555.2022307697</v>
      </c>
      <c r="M179" s="525">
        <f t="shared" si="44"/>
        <v>-20049.75</v>
      </c>
      <c r="N179" s="529"/>
      <c r="O179" s="525">
        <f t="shared" si="41"/>
        <v>0</v>
      </c>
      <c r="P179" s="529">
        <f t="shared" si="33"/>
        <v>10218729.149230771</v>
      </c>
      <c r="Q179" s="528"/>
      <c r="R179" s="528"/>
      <c r="S179" s="528"/>
      <c r="T179" s="528"/>
      <c r="U179" s="529">
        <f t="shared" si="43"/>
        <v>-3576555.1247564103</v>
      </c>
      <c r="V179" s="525">
        <f t="shared" si="45"/>
        <v>-3696853.6247564103</v>
      </c>
      <c r="W179" s="530">
        <f t="shared" si="46"/>
        <v>6865585.52447436</v>
      </c>
      <c r="X179" s="255">
        <f t="shared" si="31"/>
        <v>6642174.02447436</v>
      </c>
      <c r="Y179" s="136">
        <f t="shared" si="36"/>
        <v>10562439.149230771</v>
      </c>
      <c r="Z179" s="548"/>
    </row>
    <row r="180" spans="1:26">
      <c r="A180" s="131"/>
      <c r="B180" s="2" t="s">
        <v>327</v>
      </c>
      <c r="C180" s="131"/>
      <c r="D180" s="113"/>
      <c r="E180" s="113"/>
      <c r="F180" s="113">
        <f t="shared" si="34"/>
        <v>17275998.307692308</v>
      </c>
      <c r="G180" s="525">
        <f t="shared" si="35"/>
        <v>17275998.307692312</v>
      </c>
      <c r="H180" s="113">
        <f t="shared" si="39"/>
        <v>57285</v>
      </c>
      <c r="I180" s="524">
        <f t="shared" si="32"/>
        <v>-7114554.1584615381</v>
      </c>
      <c r="J180" s="525">
        <f t="shared" si="37"/>
        <v>-6770844.15846154</v>
      </c>
      <c r="K180" s="526">
        <f t="shared" si="42"/>
        <v>10161444.149230771</v>
      </c>
      <c r="L180" s="525">
        <f t="shared" si="40"/>
        <v>-3556505.4522307697</v>
      </c>
      <c r="M180" s="525">
        <f t="shared" si="44"/>
        <v>-20049.75</v>
      </c>
      <c r="N180" s="529"/>
      <c r="O180" s="525">
        <f t="shared" si="41"/>
        <v>0</v>
      </c>
      <c r="P180" s="529">
        <f t="shared" si="33"/>
        <v>10161444.149230771</v>
      </c>
      <c r="Q180" s="528"/>
      <c r="R180" s="528"/>
      <c r="S180" s="528"/>
      <c r="T180" s="528"/>
      <c r="U180" s="529">
        <f t="shared" si="43"/>
        <v>-3556505.3747564103</v>
      </c>
      <c r="V180" s="525">
        <f t="shared" si="45"/>
        <v>-3676803.8747564103</v>
      </c>
      <c r="W180" s="530">
        <f t="shared" si="46"/>
        <v>6828350.27447436</v>
      </c>
      <c r="X180" s="255">
        <f t="shared" si="31"/>
        <v>6604938.77447436</v>
      </c>
      <c r="Y180" s="136">
        <f t="shared" si="36"/>
        <v>10505154.149230771</v>
      </c>
      <c r="Z180" s="548"/>
    </row>
    <row r="181" spans="1:26">
      <c r="A181" s="131"/>
      <c r="B181" s="2" t="s">
        <v>328</v>
      </c>
      <c r="C181" s="131"/>
      <c r="D181" s="113"/>
      <c r="E181" s="113"/>
      <c r="F181" s="113">
        <f t="shared" si="34"/>
        <v>17275998.307692308</v>
      </c>
      <c r="G181" s="525">
        <f t="shared" si="35"/>
        <v>17275998.307692312</v>
      </c>
      <c r="H181" s="113">
        <f t="shared" si="39"/>
        <v>57285</v>
      </c>
      <c r="I181" s="524">
        <f t="shared" si="32"/>
        <v>-7171839.1584615381</v>
      </c>
      <c r="J181" s="525">
        <f t="shared" si="37"/>
        <v>-6828129.15846154</v>
      </c>
      <c r="K181" s="526">
        <f t="shared" si="42"/>
        <v>10104159.149230771</v>
      </c>
      <c r="L181" s="525">
        <f t="shared" si="40"/>
        <v>-3536455.7022307697</v>
      </c>
      <c r="M181" s="525">
        <f t="shared" si="44"/>
        <v>-20049.75</v>
      </c>
      <c r="N181" s="529"/>
      <c r="O181" s="525">
        <f t="shared" si="41"/>
        <v>0</v>
      </c>
      <c r="P181" s="529">
        <f t="shared" si="33"/>
        <v>10104159.149230771</v>
      </c>
      <c r="Q181" s="528"/>
      <c r="R181" s="528"/>
      <c r="S181" s="528"/>
      <c r="T181" s="528"/>
      <c r="U181" s="529">
        <f t="shared" si="43"/>
        <v>-3536455.6247564103</v>
      </c>
      <c r="V181" s="525">
        <f t="shared" si="45"/>
        <v>-3656754.1247564103</v>
      </c>
      <c r="W181" s="530">
        <f t="shared" si="46"/>
        <v>6791115.02447436</v>
      </c>
      <c r="X181" s="255">
        <f t="shared" ref="X181:X210" si="47">F181+I181+U181</f>
        <v>6567703.52447436</v>
      </c>
      <c r="Y181" s="136">
        <f t="shared" si="36"/>
        <v>10447869.149230771</v>
      </c>
      <c r="Z181" s="548"/>
    </row>
    <row r="182" spans="1:26">
      <c r="A182" s="131"/>
      <c r="B182" s="2" t="s">
        <v>329</v>
      </c>
      <c r="C182" s="131"/>
      <c r="D182" s="113"/>
      <c r="E182" s="113"/>
      <c r="F182" s="113">
        <f t="shared" si="34"/>
        <v>17275998.307692308</v>
      </c>
      <c r="G182" s="525">
        <f t="shared" si="35"/>
        <v>17275998.307692312</v>
      </c>
      <c r="H182" s="113">
        <f t="shared" si="39"/>
        <v>57285</v>
      </c>
      <c r="I182" s="524">
        <f t="shared" si="32"/>
        <v>-7229124.1584615381</v>
      </c>
      <c r="J182" s="525">
        <f t="shared" si="37"/>
        <v>-6885414.15846154</v>
      </c>
      <c r="K182" s="526">
        <f t="shared" si="42"/>
        <v>10046874.149230771</v>
      </c>
      <c r="L182" s="525">
        <f t="shared" si="40"/>
        <v>-3516405.9522307697</v>
      </c>
      <c r="M182" s="525">
        <f t="shared" si="44"/>
        <v>-20049.75</v>
      </c>
      <c r="N182" s="529"/>
      <c r="O182" s="525">
        <f t="shared" si="41"/>
        <v>0</v>
      </c>
      <c r="P182" s="529">
        <f t="shared" si="33"/>
        <v>10046874.149230771</v>
      </c>
      <c r="Q182" s="528"/>
      <c r="R182" s="528"/>
      <c r="S182" s="528"/>
      <c r="T182" s="528"/>
      <c r="U182" s="529">
        <f t="shared" si="43"/>
        <v>-3516405.8747564103</v>
      </c>
      <c r="V182" s="525">
        <f t="shared" si="45"/>
        <v>-3636704.3747564103</v>
      </c>
      <c r="W182" s="530">
        <f t="shared" si="46"/>
        <v>6753879.77447436</v>
      </c>
      <c r="X182" s="255">
        <f t="shared" si="47"/>
        <v>6530468.27447436</v>
      </c>
      <c r="Y182" s="136">
        <f t="shared" si="36"/>
        <v>10390584.149230771</v>
      </c>
      <c r="Z182" s="548"/>
    </row>
    <row r="183" spans="1:26">
      <c r="A183" s="131"/>
      <c r="B183" s="2" t="s">
        <v>330</v>
      </c>
      <c r="C183" s="131"/>
      <c r="D183" s="113"/>
      <c r="E183" s="113"/>
      <c r="F183" s="113">
        <f t="shared" si="34"/>
        <v>17275998.307692308</v>
      </c>
      <c r="G183" s="525">
        <f t="shared" si="35"/>
        <v>17275998.307692312</v>
      </c>
      <c r="H183" s="113">
        <f t="shared" si="39"/>
        <v>57285</v>
      </c>
      <c r="I183" s="524">
        <f t="shared" ref="I183:I246" si="48">I182-H183</f>
        <v>-7286409.1584615381</v>
      </c>
      <c r="J183" s="525">
        <f t="shared" si="37"/>
        <v>-6942699.15846154</v>
      </c>
      <c r="K183" s="526">
        <f t="shared" si="42"/>
        <v>9989589.1492307708</v>
      </c>
      <c r="L183" s="525">
        <f t="shared" si="40"/>
        <v>-3496356.2022307697</v>
      </c>
      <c r="M183" s="525">
        <f t="shared" si="44"/>
        <v>-20049.75</v>
      </c>
      <c r="N183" s="529"/>
      <c r="O183" s="525">
        <f t="shared" si="41"/>
        <v>0</v>
      </c>
      <c r="P183" s="529">
        <f t="shared" si="33"/>
        <v>9989589.1492307708</v>
      </c>
      <c r="Q183" s="528"/>
      <c r="R183" s="528"/>
      <c r="S183" s="528"/>
      <c r="T183" s="528"/>
      <c r="U183" s="529">
        <f t="shared" si="43"/>
        <v>-3496356.1247564103</v>
      </c>
      <c r="V183" s="525">
        <f t="shared" si="45"/>
        <v>-3616654.6247564103</v>
      </c>
      <c r="W183" s="530">
        <f t="shared" si="46"/>
        <v>6716644.52447436</v>
      </c>
      <c r="X183" s="255">
        <f t="shared" si="47"/>
        <v>6493233.02447436</v>
      </c>
      <c r="Y183" s="136">
        <f t="shared" si="36"/>
        <v>10333299.149230771</v>
      </c>
      <c r="Z183" s="548"/>
    </row>
    <row r="184" spans="1:26">
      <c r="A184" s="131"/>
      <c r="B184" s="2" t="s">
        <v>331</v>
      </c>
      <c r="C184" s="131"/>
      <c r="D184" s="113"/>
      <c r="E184" s="113"/>
      <c r="F184" s="113">
        <f t="shared" si="34"/>
        <v>17275998.307692308</v>
      </c>
      <c r="G184" s="525">
        <f t="shared" si="35"/>
        <v>17275998.307692312</v>
      </c>
      <c r="H184" s="113">
        <f t="shared" si="39"/>
        <v>57285</v>
      </c>
      <c r="I184" s="524">
        <f t="shared" si="48"/>
        <v>-7343694.1584615381</v>
      </c>
      <c r="J184" s="525">
        <f t="shared" si="37"/>
        <v>-6999984.15846154</v>
      </c>
      <c r="K184" s="526">
        <f t="shared" si="42"/>
        <v>9932304.1492307708</v>
      </c>
      <c r="L184" s="525">
        <f t="shared" si="40"/>
        <v>-3476306.4522307697</v>
      </c>
      <c r="M184" s="525">
        <f t="shared" si="44"/>
        <v>-20049.75</v>
      </c>
      <c r="N184" s="529"/>
      <c r="O184" s="525">
        <f t="shared" si="41"/>
        <v>0</v>
      </c>
      <c r="P184" s="529">
        <f t="shared" si="33"/>
        <v>9932304.1492307708</v>
      </c>
      <c r="Q184" s="528"/>
      <c r="R184" s="528"/>
      <c r="S184" s="528"/>
      <c r="T184" s="528"/>
      <c r="U184" s="529">
        <f t="shared" si="43"/>
        <v>-3476306.3747564103</v>
      </c>
      <c r="V184" s="525">
        <f t="shared" si="45"/>
        <v>-3596604.8747564103</v>
      </c>
      <c r="W184" s="530">
        <f t="shared" si="46"/>
        <v>6679409.27447436</v>
      </c>
      <c r="X184" s="255">
        <f t="shared" si="47"/>
        <v>6455997.77447436</v>
      </c>
      <c r="Y184" s="136">
        <f t="shared" si="36"/>
        <v>10276014.149230771</v>
      </c>
      <c r="Z184" s="548"/>
    </row>
    <row r="185" spans="1:26">
      <c r="A185" s="131"/>
      <c r="B185" s="2" t="s">
        <v>332</v>
      </c>
      <c r="C185" s="131"/>
      <c r="D185" s="113"/>
      <c r="E185" s="113"/>
      <c r="F185" s="113">
        <f t="shared" si="34"/>
        <v>17275998.307692308</v>
      </c>
      <c r="G185" s="525">
        <f t="shared" si="35"/>
        <v>17275998.307692312</v>
      </c>
      <c r="H185" s="113">
        <f t="shared" si="39"/>
        <v>57285</v>
      </c>
      <c r="I185" s="524">
        <f t="shared" si="48"/>
        <v>-7400979.1584615381</v>
      </c>
      <c r="J185" s="525">
        <f t="shared" si="37"/>
        <v>-7057269.15846154</v>
      </c>
      <c r="K185" s="526">
        <f t="shared" si="42"/>
        <v>9875019.1492307708</v>
      </c>
      <c r="L185" s="525">
        <f t="shared" si="40"/>
        <v>-3456256.7022307697</v>
      </c>
      <c r="M185" s="525">
        <f t="shared" si="44"/>
        <v>-20049.75</v>
      </c>
      <c r="N185" s="529"/>
      <c r="O185" s="525">
        <f t="shared" si="41"/>
        <v>0</v>
      </c>
      <c r="P185" s="529">
        <f t="shared" ref="P185:P248" si="49">K185+O185</f>
        <v>9875019.1492307708</v>
      </c>
      <c r="Q185" s="528"/>
      <c r="R185" s="528"/>
      <c r="S185" s="528"/>
      <c r="T185" s="528"/>
      <c r="U185" s="529">
        <f t="shared" si="43"/>
        <v>-3456256.6247564103</v>
      </c>
      <c r="V185" s="525">
        <f t="shared" si="45"/>
        <v>-3576555.1247564103</v>
      </c>
      <c r="W185" s="530">
        <f t="shared" si="46"/>
        <v>6642174.02447436</v>
      </c>
      <c r="X185" s="255">
        <f t="shared" si="47"/>
        <v>6418762.52447436</v>
      </c>
      <c r="Y185" s="136">
        <f t="shared" si="36"/>
        <v>10218729.149230771</v>
      </c>
      <c r="Z185" s="548"/>
    </row>
    <row r="186" spans="1:26">
      <c r="A186" s="131"/>
      <c r="B186" s="2" t="s">
        <v>333</v>
      </c>
      <c r="C186" s="131"/>
      <c r="D186" s="113"/>
      <c r="E186" s="113"/>
      <c r="F186" s="113">
        <f t="shared" ref="F186:F249" si="50">F185</f>
        <v>17275998.307692308</v>
      </c>
      <c r="G186" s="525">
        <f t="shared" ref="G186:G249" si="51">(F174+F186+SUM(F175:F185)*2)/24</f>
        <v>17275998.307692312</v>
      </c>
      <c r="H186" s="113">
        <f t="shared" si="39"/>
        <v>57285</v>
      </c>
      <c r="I186" s="524">
        <f t="shared" si="48"/>
        <v>-7458264.1584615381</v>
      </c>
      <c r="J186" s="525">
        <f t="shared" si="37"/>
        <v>-7114554.15846154</v>
      </c>
      <c r="K186" s="526">
        <f t="shared" si="42"/>
        <v>9817734.1492307708</v>
      </c>
      <c r="L186" s="525">
        <f t="shared" si="40"/>
        <v>-3436206.9522307697</v>
      </c>
      <c r="M186" s="525">
        <f t="shared" si="44"/>
        <v>-20049.75</v>
      </c>
      <c r="N186" s="529"/>
      <c r="O186" s="525">
        <f t="shared" si="41"/>
        <v>0</v>
      </c>
      <c r="P186" s="529">
        <f t="shared" si="49"/>
        <v>9817734.1492307708</v>
      </c>
      <c r="Q186" s="528"/>
      <c r="R186" s="528"/>
      <c r="S186" s="528"/>
      <c r="T186" s="528"/>
      <c r="U186" s="529">
        <f t="shared" si="43"/>
        <v>-3436206.8747564103</v>
      </c>
      <c r="V186" s="525">
        <f t="shared" si="45"/>
        <v>-3556505.3747564103</v>
      </c>
      <c r="W186" s="530">
        <f t="shared" si="46"/>
        <v>6604938.77447436</v>
      </c>
      <c r="X186" s="255">
        <f t="shared" si="47"/>
        <v>6381527.27447436</v>
      </c>
      <c r="Y186" s="136">
        <f t="shared" ref="Y186:Y210" si="52">G186+J186</f>
        <v>10161444.149230771</v>
      </c>
      <c r="Z186" s="548"/>
    </row>
    <row r="187" spans="1:26">
      <c r="A187" s="131"/>
      <c r="B187" s="2" t="s">
        <v>334</v>
      </c>
      <c r="C187" s="131"/>
      <c r="D187" s="113"/>
      <c r="E187" s="113"/>
      <c r="F187" s="113">
        <f t="shared" si="50"/>
        <v>17275998.307692308</v>
      </c>
      <c r="G187" s="525">
        <f t="shared" si="51"/>
        <v>17275998.307692312</v>
      </c>
      <c r="H187" s="113">
        <f t="shared" si="39"/>
        <v>57285</v>
      </c>
      <c r="I187" s="524">
        <f t="shared" si="48"/>
        <v>-7515549.1584615381</v>
      </c>
      <c r="J187" s="525">
        <f t="shared" ref="J187:J250" si="53">(I175+I187+SUM(I176:I186)*2)/24</f>
        <v>-7171839.15846154</v>
      </c>
      <c r="K187" s="526">
        <f t="shared" si="42"/>
        <v>9760449.1492307708</v>
      </c>
      <c r="L187" s="525">
        <f t="shared" si="40"/>
        <v>-3416157.2022307697</v>
      </c>
      <c r="M187" s="525">
        <f t="shared" si="44"/>
        <v>-20049.75</v>
      </c>
      <c r="N187" s="529"/>
      <c r="O187" s="525">
        <f t="shared" si="41"/>
        <v>0</v>
      </c>
      <c r="P187" s="529">
        <f t="shared" si="49"/>
        <v>9760449.1492307708</v>
      </c>
      <c r="Q187" s="528"/>
      <c r="R187" s="528"/>
      <c r="S187" s="528"/>
      <c r="T187" s="528"/>
      <c r="U187" s="529">
        <f t="shared" si="43"/>
        <v>-3416157.1247564103</v>
      </c>
      <c r="V187" s="525">
        <f t="shared" si="45"/>
        <v>-3536455.6247564103</v>
      </c>
      <c r="W187" s="530">
        <f t="shared" si="46"/>
        <v>6567703.52447436</v>
      </c>
      <c r="X187" s="255">
        <f t="shared" si="47"/>
        <v>6344292.02447436</v>
      </c>
      <c r="Y187" s="136">
        <f t="shared" si="52"/>
        <v>10104159.149230771</v>
      </c>
      <c r="Z187" s="548"/>
    </row>
    <row r="188" spans="1:26">
      <c r="A188" s="131"/>
      <c r="B188" s="2" t="s">
        <v>335</v>
      </c>
      <c r="C188" s="131"/>
      <c r="D188" s="113"/>
      <c r="E188" s="113"/>
      <c r="F188" s="113">
        <f t="shared" si="50"/>
        <v>17275998.307692308</v>
      </c>
      <c r="G188" s="525">
        <f t="shared" si="51"/>
        <v>17275998.307692312</v>
      </c>
      <c r="H188" s="113">
        <f t="shared" si="39"/>
        <v>57285</v>
      </c>
      <c r="I188" s="524">
        <f t="shared" si="48"/>
        <v>-7572834.1584615381</v>
      </c>
      <c r="J188" s="525">
        <f t="shared" si="53"/>
        <v>-7229124.15846154</v>
      </c>
      <c r="K188" s="526">
        <f t="shared" si="42"/>
        <v>9703164.1492307708</v>
      </c>
      <c r="L188" s="525">
        <f t="shared" si="40"/>
        <v>-3396107.4522307697</v>
      </c>
      <c r="M188" s="525">
        <f t="shared" si="44"/>
        <v>-20049.75</v>
      </c>
      <c r="N188" s="529"/>
      <c r="O188" s="525">
        <f t="shared" si="41"/>
        <v>0</v>
      </c>
      <c r="P188" s="529">
        <f t="shared" si="49"/>
        <v>9703164.1492307708</v>
      </c>
      <c r="Q188" s="528"/>
      <c r="R188" s="528"/>
      <c r="S188" s="528"/>
      <c r="T188" s="528"/>
      <c r="U188" s="529">
        <f t="shared" si="43"/>
        <v>-3396107.3747564103</v>
      </c>
      <c r="V188" s="525">
        <f t="shared" si="45"/>
        <v>-3516405.8747564103</v>
      </c>
      <c r="W188" s="530">
        <f t="shared" si="46"/>
        <v>6530468.27447436</v>
      </c>
      <c r="X188" s="255">
        <f t="shared" si="47"/>
        <v>6307056.77447436</v>
      </c>
      <c r="Y188" s="136">
        <f t="shared" si="52"/>
        <v>10046874.149230771</v>
      </c>
      <c r="Z188" s="548"/>
    </row>
    <row r="189" spans="1:26">
      <c r="A189" s="131"/>
      <c r="B189" s="2" t="s">
        <v>336</v>
      </c>
      <c r="C189" s="131"/>
      <c r="D189" s="113"/>
      <c r="E189" s="113"/>
      <c r="F189" s="113">
        <f t="shared" si="50"/>
        <v>17275998.307692308</v>
      </c>
      <c r="G189" s="525">
        <f t="shared" si="51"/>
        <v>17275998.307692312</v>
      </c>
      <c r="H189" s="113">
        <f t="shared" si="39"/>
        <v>57285</v>
      </c>
      <c r="I189" s="524">
        <f t="shared" si="48"/>
        <v>-7630119.1584615381</v>
      </c>
      <c r="J189" s="525">
        <f t="shared" si="53"/>
        <v>-7286409.15846154</v>
      </c>
      <c r="K189" s="526">
        <f t="shared" si="42"/>
        <v>9645879.1492307708</v>
      </c>
      <c r="L189" s="525">
        <f t="shared" si="40"/>
        <v>-3376057.7022307697</v>
      </c>
      <c r="M189" s="525">
        <f t="shared" si="44"/>
        <v>-20049.75</v>
      </c>
      <c r="N189" s="529"/>
      <c r="O189" s="525">
        <f t="shared" si="41"/>
        <v>0</v>
      </c>
      <c r="P189" s="529">
        <f t="shared" si="49"/>
        <v>9645879.1492307708</v>
      </c>
      <c r="Q189" s="528"/>
      <c r="R189" s="528"/>
      <c r="S189" s="528"/>
      <c r="T189" s="528"/>
      <c r="U189" s="529">
        <f t="shared" si="43"/>
        <v>-3376057.6247564103</v>
      </c>
      <c r="V189" s="525">
        <f t="shared" si="45"/>
        <v>-3496356.1247564103</v>
      </c>
      <c r="W189" s="530">
        <f t="shared" si="46"/>
        <v>6493233.02447436</v>
      </c>
      <c r="X189" s="255">
        <f t="shared" si="47"/>
        <v>6269821.52447436</v>
      </c>
      <c r="Y189" s="136">
        <f t="shared" si="52"/>
        <v>9989589.1492307708</v>
      </c>
      <c r="Z189" s="548"/>
    </row>
    <row r="190" spans="1:26">
      <c r="A190" s="131"/>
      <c r="B190" s="2" t="s">
        <v>337</v>
      </c>
      <c r="C190" s="131"/>
      <c r="D190" s="113"/>
      <c r="E190" s="113"/>
      <c r="F190" s="113">
        <f t="shared" si="50"/>
        <v>17275998.307692308</v>
      </c>
      <c r="G190" s="525">
        <f t="shared" si="51"/>
        <v>17275998.307692312</v>
      </c>
      <c r="H190" s="113">
        <f t="shared" si="39"/>
        <v>57285</v>
      </c>
      <c r="I190" s="524">
        <f t="shared" si="48"/>
        <v>-7687404.1584615381</v>
      </c>
      <c r="J190" s="525">
        <f t="shared" si="53"/>
        <v>-7343694.15846154</v>
      </c>
      <c r="K190" s="526">
        <f t="shared" si="42"/>
        <v>9588594.1492307708</v>
      </c>
      <c r="L190" s="525">
        <f t="shared" si="40"/>
        <v>-3356007.9522307697</v>
      </c>
      <c r="M190" s="525">
        <f t="shared" si="44"/>
        <v>-20049.75</v>
      </c>
      <c r="N190" s="529"/>
      <c r="O190" s="525">
        <f t="shared" si="41"/>
        <v>0</v>
      </c>
      <c r="P190" s="529">
        <f t="shared" si="49"/>
        <v>9588594.1492307708</v>
      </c>
      <c r="Q190" s="528"/>
      <c r="R190" s="528"/>
      <c r="S190" s="528"/>
      <c r="T190" s="528"/>
      <c r="U190" s="529">
        <f t="shared" si="43"/>
        <v>-3356007.8747564103</v>
      </c>
      <c r="V190" s="525">
        <f t="shared" si="45"/>
        <v>-3476306.3747564103</v>
      </c>
      <c r="W190" s="530">
        <f t="shared" si="46"/>
        <v>6455997.77447436</v>
      </c>
      <c r="X190" s="255">
        <f t="shared" si="47"/>
        <v>6232586.27447436</v>
      </c>
      <c r="Y190" s="136">
        <f t="shared" si="52"/>
        <v>9932304.1492307708</v>
      </c>
      <c r="Z190" s="548"/>
    </row>
    <row r="191" spans="1:26">
      <c r="A191" s="131"/>
      <c r="B191" s="2" t="s">
        <v>338</v>
      </c>
      <c r="C191" s="131"/>
      <c r="D191" s="113"/>
      <c r="E191" s="113"/>
      <c r="F191" s="113">
        <f t="shared" si="50"/>
        <v>17275998.307692308</v>
      </c>
      <c r="G191" s="525">
        <f t="shared" si="51"/>
        <v>17275998.307692312</v>
      </c>
      <c r="H191" s="113">
        <f t="shared" si="39"/>
        <v>57285</v>
      </c>
      <c r="I191" s="524">
        <f t="shared" si="48"/>
        <v>-7744689.1584615381</v>
      </c>
      <c r="J191" s="525">
        <f t="shared" si="53"/>
        <v>-7400979.15846154</v>
      </c>
      <c r="K191" s="526">
        <f t="shared" si="42"/>
        <v>9531309.1492307708</v>
      </c>
      <c r="L191" s="525">
        <f t="shared" si="40"/>
        <v>-3335958.2022307697</v>
      </c>
      <c r="M191" s="525">
        <f t="shared" si="44"/>
        <v>-20049.75</v>
      </c>
      <c r="N191" s="529"/>
      <c r="O191" s="525">
        <f t="shared" si="41"/>
        <v>0</v>
      </c>
      <c r="P191" s="529">
        <f t="shared" si="49"/>
        <v>9531309.1492307708</v>
      </c>
      <c r="Q191" s="528"/>
      <c r="R191" s="528"/>
      <c r="S191" s="528"/>
      <c r="T191" s="528"/>
      <c r="U191" s="529">
        <f t="shared" si="43"/>
        <v>-3335958.1247564103</v>
      </c>
      <c r="V191" s="525">
        <f t="shared" si="45"/>
        <v>-3456256.6247564103</v>
      </c>
      <c r="W191" s="530">
        <f t="shared" si="46"/>
        <v>6418762.52447436</v>
      </c>
      <c r="X191" s="255">
        <f t="shared" si="47"/>
        <v>6195351.02447436</v>
      </c>
      <c r="Y191" s="136">
        <f t="shared" si="52"/>
        <v>9875019.1492307708</v>
      </c>
      <c r="Z191" s="548"/>
    </row>
    <row r="192" spans="1:26">
      <c r="A192" s="131"/>
      <c r="B192" s="2" t="s">
        <v>339</v>
      </c>
      <c r="C192" s="131"/>
      <c r="D192" s="113"/>
      <c r="E192" s="113"/>
      <c r="F192" s="113">
        <f t="shared" si="50"/>
        <v>17275998.307692308</v>
      </c>
      <c r="G192" s="525">
        <f t="shared" si="51"/>
        <v>17275998.307692312</v>
      </c>
      <c r="H192" s="113">
        <f t="shared" si="39"/>
        <v>57285</v>
      </c>
      <c r="I192" s="524">
        <f t="shared" si="48"/>
        <v>-7801974.1584615381</v>
      </c>
      <c r="J192" s="525">
        <f t="shared" si="53"/>
        <v>-7458264.15846154</v>
      </c>
      <c r="K192" s="526">
        <f t="shared" si="42"/>
        <v>9474024.1492307708</v>
      </c>
      <c r="L192" s="525">
        <f t="shared" si="40"/>
        <v>-3315908.4522307697</v>
      </c>
      <c r="M192" s="525">
        <f t="shared" si="44"/>
        <v>-20049.75</v>
      </c>
      <c r="N192" s="529"/>
      <c r="O192" s="525">
        <f t="shared" si="41"/>
        <v>0</v>
      </c>
      <c r="P192" s="529">
        <f t="shared" si="49"/>
        <v>9474024.1492307708</v>
      </c>
      <c r="Q192" s="528"/>
      <c r="R192" s="528"/>
      <c r="S192" s="528"/>
      <c r="T192" s="528"/>
      <c r="U192" s="529">
        <f t="shared" si="43"/>
        <v>-3315908.3747564103</v>
      </c>
      <c r="V192" s="525">
        <f t="shared" si="45"/>
        <v>-3436206.8747564103</v>
      </c>
      <c r="W192" s="530">
        <f t="shared" si="46"/>
        <v>6381527.27447436</v>
      </c>
      <c r="X192" s="255">
        <f t="shared" si="47"/>
        <v>6158115.77447436</v>
      </c>
      <c r="Y192" s="136">
        <f t="shared" si="52"/>
        <v>9817734.1492307708</v>
      </c>
      <c r="Z192" s="548"/>
    </row>
    <row r="193" spans="1:26">
      <c r="A193" s="131"/>
      <c r="B193" s="2" t="s">
        <v>340</v>
      </c>
      <c r="C193" s="131"/>
      <c r="D193" s="113"/>
      <c r="E193" s="113"/>
      <c r="F193" s="113">
        <f t="shared" si="50"/>
        <v>17275998.307692308</v>
      </c>
      <c r="G193" s="525">
        <f t="shared" si="51"/>
        <v>17275998.307692312</v>
      </c>
      <c r="H193" s="113">
        <f t="shared" si="39"/>
        <v>57285</v>
      </c>
      <c r="I193" s="524">
        <f t="shared" si="48"/>
        <v>-7859259.1584615381</v>
      </c>
      <c r="J193" s="525">
        <f t="shared" si="53"/>
        <v>-7515549.15846154</v>
      </c>
      <c r="K193" s="526">
        <f t="shared" si="42"/>
        <v>9416739.1492307708</v>
      </c>
      <c r="L193" s="525">
        <f t="shared" si="40"/>
        <v>-3295858.7022307697</v>
      </c>
      <c r="M193" s="525">
        <f t="shared" si="44"/>
        <v>-20049.75</v>
      </c>
      <c r="N193" s="529"/>
      <c r="O193" s="525">
        <f t="shared" si="41"/>
        <v>0</v>
      </c>
      <c r="P193" s="529">
        <f t="shared" si="49"/>
        <v>9416739.1492307708</v>
      </c>
      <c r="Q193" s="528"/>
      <c r="R193" s="528"/>
      <c r="S193" s="528"/>
      <c r="T193" s="528"/>
      <c r="U193" s="529">
        <f t="shared" si="43"/>
        <v>-3295858.6247564103</v>
      </c>
      <c r="V193" s="525">
        <f t="shared" si="45"/>
        <v>-3416157.1247564103</v>
      </c>
      <c r="W193" s="530">
        <f t="shared" si="46"/>
        <v>6344292.02447436</v>
      </c>
      <c r="X193" s="255">
        <f t="shared" si="47"/>
        <v>6120880.52447436</v>
      </c>
      <c r="Y193" s="136">
        <f t="shared" si="52"/>
        <v>9760449.1492307708</v>
      </c>
      <c r="Z193" s="548"/>
    </row>
    <row r="194" spans="1:26">
      <c r="A194" s="131"/>
      <c r="B194" s="2" t="s">
        <v>341</v>
      </c>
      <c r="C194" s="131"/>
      <c r="D194" s="113"/>
      <c r="E194" s="113"/>
      <c r="F194" s="113">
        <f t="shared" si="50"/>
        <v>17275998.307692308</v>
      </c>
      <c r="G194" s="525">
        <f t="shared" si="51"/>
        <v>17275998.307692312</v>
      </c>
      <c r="H194" s="113">
        <f t="shared" si="39"/>
        <v>57285</v>
      </c>
      <c r="I194" s="524">
        <f t="shared" si="48"/>
        <v>-7916544.1584615381</v>
      </c>
      <c r="J194" s="525">
        <f t="shared" si="53"/>
        <v>-7572834.15846154</v>
      </c>
      <c r="K194" s="526">
        <f t="shared" si="42"/>
        <v>9359454.1492307708</v>
      </c>
      <c r="L194" s="525">
        <f t="shared" si="40"/>
        <v>-3275808.9522307697</v>
      </c>
      <c r="M194" s="525">
        <f t="shared" si="44"/>
        <v>-20049.75</v>
      </c>
      <c r="N194" s="529"/>
      <c r="O194" s="525">
        <f t="shared" si="41"/>
        <v>0</v>
      </c>
      <c r="P194" s="529">
        <f t="shared" si="49"/>
        <v>9359454.1492307708</v>
      </c>
      <c r="Q194" s="528"/>
      <c r="R194" s="528"/>
      <c r="S194" s="528"/>
      <c r="T194" s="528"/>
      <c r="U194" s="529">
        <f t="shared" si="43"/>
        <v>-3275808.8747564103</v>
      </c>
      <c r="V194" s="525">
        <f t="shared" si="45"/>
        <v>-3396107.3747564103</v>
      </c>
      <c r="W194" s="530">
        <f t="shared" si="46"/>
        <v>6307056.77447436</v>
      </c>
      <c r="X194" s="255">
        <f t="shared" si="47"/>
        <v>6083645.27447436</v>
      </c>
      <c r="Y194" s="136">
        <f t="shared" si="52"/>
        <v>9703164.1492307708</v>
      </c>
      <c r="Z194" s="548"/>
    </row>
    <row r="195" spans="1:26">
      <c r="A195" s="131"/>
      <c r="B195" s="2" t="s">
        <v>342</v>
      </c>
      <c r="C195" s="131"/>
      <c r="D195" s="113"/>
      <c r="E195" s="113"/>
      <c r="F195" s="113">
        <f t="shared" si="50"/>
        <v>17275998.307692308</v>
      </c>
      <c r="G195" s="525">
        <f t="shared" si="51"/>
        <v>17275998.307692312</v>
      </c>
      <c r="H195" s="113">
        <f t="shared" si="39"/>
        <v>57285</v>
      </c>
      <c r="I195" s="524">
        <f t="shared" si="48"/>
        <v>-7973829.1584615381</v>
      </c>
      <c r="J195" s="525">
        <f t="shared" si="53"/>
        <v>-7630119.15846154</v>
      </c>
      <c r="K195" s="526">
        <f t="shared" si="42"/>
        <v>9302169.1492307708</v>
      </c>
      <c r="L195" s="525">
        <f t="shared" si="40"/>
        <v>-3255759.2022307697</v>
      </c>
      <c r="M195" s="525">
        <f t="shared" si="44"/>
        <v>-20049.75</v>
      </c>
      <c r="N195" s="529"/>
      <c r="O195" s="525">
        <f t="shared" si="41"/>
        <v>0</v>
      </c>
      <c r="P195" s="529">
        <f t="shared" si="49"/>
        <v>9302169.1492307708</v>
      </c>
      <c r="Q195" s="528"/>
      <c r="R195" s="528"/>
      <c r="S195" s="528"/>
      <c r="T195" s="528"/>
      <c r="U195" s="529">
        <f t="shared" si="43"/>
        <v>-3255759.1247564103</v>
      </c>
      <c r="V195" s="525">
        <f t="shared" si="45"/>
        <v>-3376057.6247564103</v>
      </c>
      <c r="W195" s="530">
        <f t="shared" si="46"/>
        <v>6269821.52447436</v>
      </c>
      <c r="X195" s="255">
        <f t="shared" si="47"/>
        <v>6046410.02447436</v>
      </c>
      <c r="Y195" s="136">
        <f t="shared" si="52"/>
        <v>9645879.1492307708</v>
      </c>
      <c r="Z195" s="548"/>
    </row>
    <row r="196" spans="1:26">
      <c r="A196" s="131"/>
      <c r="B196" s="2" t="s">
        <v>343</v>
      </c>
      <c r="C196" s="131"/>
      <c r="D196" s="113"/>
      <c r="E196" s="113"/>
      <c r="F196" s="113">
        <f t="shared" si="50"/>
        <v>17275998.307692308</v>
      </c>
      <c r="G196" s="525">
        <f t="shared" si="51"/>
        <v>17275998.307692312</v>
      </c>
      <c r="H196" s="113">
        <f t="shared" si="39"/>
        <v>57285</v>
      </c>
      <c r="I196" s="524">
        <f t="shared" si="48"/>
        <v>-8031114.1584615381</v>
      </c>
      <c r="J196" s="525">
        <f t="shared" si="53"/>
        <v>-7687404.15846154</v>
      </c>
      <c r="K196" s="526">
        <f t="shared" si="42"/>
        <v>9244884.1492307708</v>
      </c>
      <c r="L196" s="525">
        <f t="shared" si="40"/>
        <v>-3235709.4522307697</v>
      </c>
      <c r="M196" s="525">
        <f t="shared" si="44"/>
        <v>-20049.75</v>
      </c>
      <c r="N196" s="529"/>
      <c r="O196" s="525">
        <f t="shared" si="41"/>
        <v>0</v>
      </c>
      <c r="P196" s="529">
        <f t="shared" si="49"/>
        <v>9244884.1492307708</v>
      </c>
      <c r="Q196" s="528"/>
      <c r="R196" s="528"/>
      <c r="S196" s="528"/>
      <c r="T196" s="528"/>
      <c r="U196" s="529">
        <f t="shared" si="43"/>
        <v>-3235709.3747564103</v>
      </c>
      <c r="V196" s="525">
        <f t="shared" si="45"/>
        <v>-3356007.8747564103</v>
      </c>
      <c r="W196" s="530">
        <f t="shared" si="46"/>
        <v>6232586.27447436</v>
      </c>
      <c r="X196" s="255">
        <f t="shared" si="47"/>
        <v>6009174.77447436</v>
      </c>
      <c r="Y196" s="136">
        <f t="shared" si="52"/>
        <v>9588594.1492307708</v>
      </c>
      <c r="Z196" s="548"/>
    </row>
    <row r="197" spans="1:26">
      <c r="A197" s="131"/>
      <c r="B197" s="2" t="s">
        <v>344</v>
      </c>
      <c r="C197" s="131"/>
      <c r="D197" s="113"/>
      <c r="E197" s="113"/>
      <c r="F197" s="113">
        <f t="shared" si="50"/>
        <v>17275998.307692308</v>
      </c>
      <c r="G197" s="525">
        <f t="shared" si="51"/>
        <v>17275998.307692312</v>
      </c>
      <c r="H197" s="113">
        <f t="shared" si="39"/>
        <v>57285</v>
      </c>
      <c r="I197" s="524">
        <f t="shared" si="48"/>
        <v>-8088399.1584615381</v>
      </c>
      <c r="J197" s="525">
        <f t="shared" si="53"/>
        <v>-7744689.15846154</v>
      </c>
      <c r="K197" s="526">
        <f t="shared" si="42"/>
        <v>9187599.1492307708</v>
      </c>
      <c r="L197" s="525">
        <f t="shared" si="40"/>
        <v>-3215659.7022307697</v>
      </c>
      <c r="M197" s="525">
        <f t="shared" si="44"/>
        <v>-20049.75</v>
      </c>
      <c r="N197" s="529"/>
      <c r="O197" s="525">
        <f t="shared" si="41"/>
        <v>0</v>
      </c>
      <c r="P197" s="529">
        <f t="shared" si="49"/>
        <v>9187599.1492307708</v>
      </c>
      <c r="Q197" s="528"/>
      <c r="R197" s="528"/>
      <c r="S197" s="528"/>
      <c r="T197" s="528"/>
      <c r="U197" s="529">
        <f t="shared" si="43"/>
        <v>-3215659.6247564103</v>
      </c>
      <c r="V197" s="525">
        <f t="shared" si="45"/>
        <v>-3335958.1247564103</v>
      </c>
      <c r="W197" s="530">
        <f t="shared" si="46"/>
        <v>6195351.02447436</v>
      </c>
      <c r="X197" s="255">
        <f t="shared" si="47"/>
        <v>5971939.52447436</v>
      </c>
      <c r="Y197" s="136">
        <f t="shared" si="52"/>
        <v>9531309.1492307708</v>
      </c>
      <c r="Z197" s="548"/>
    </row>
    <row r="198" spans="1:26">
      <c r="A198" s="131"/>
      <c r="B198" s="2" t="s">
        <v>345</v>
      </c>
      <c r="C198" s="131"/>
      <c r="D198" s="113"/>
      <c r="E198" s="113"/>
      <c r="F198" s="113">
        <f t="shared" si="50"/>
        <v>17275998.307692308</v>
      </c>
      <c r="G198" s="525">
        <f t="shared" si="51"/>
        <v>17275998.307692312</v>
      </c>
      <c r="H198" s="113">
        <f t="shared" si="39"/>
        <v>57285</v>
      </c>
      <c r="I198" s="524">
        <f t="shared" si="48"/>
        <v>-8145684.1584615381</v>
      </c>
      <c r="J198" s="525">
        <f t="shared" si="53"/>
        <v>-7801974.15846154</v>
      </c>
      <c r="K198" s="526">
        <f t="shared" si="42"/>
        <v>9130314.1492307708</v>
      </c>
      <c r="L198" s="525">
        <f t="shared" si="40"/>
        <v>-3195609.9522307697</v>
      </c>
      <c r="M198" s="525">
        <f t="shared" si="44"/>
        <v>-20049.75</v>
      </c>
      <c r="N198" s="529"/>
      <c r="O198" s="525">
        <f t="shared" si="41"/>
        <v>0</v>
      </c>
      <c r="P198" s="529">
        <f t="shared" si="49"/>
        <v>9130314.1492307708</v>
      </c>
      <c r="Q198" s="528"/>
      <c r="R198" s="528"/>
      <c r="S198" s="528"/>
      <c r="T198" s="528"/>
      <c r="U198" s="529">
        <f t="shared" si="43"/>
        <v>-3195609.8747564103</v>
      </c>
      <c r="V198" s="525">
        <f t="shared" si="45"/>
        <v>-3315908.3747564103</v>
      </c>
      <c r="W198" s="530">
        <f t="shared" si="46"/>
        <v>6158115.77447436</v>
      </c>
      <c r="X198" s="255">
        <f t="shared" si="47"/>
        <v>5934704.27447436</v>
      </c>
      <c r="Y198" s="136">
        <f t="shared" si="52"/>
        <v>9474024.1492307708</v>
      </c>
      <c r="Z198" s="548"/>
    </row>
    <row r="199" spans="1:26">
      <c r="A199" s="131"/>
      <c r="B199" s="2" t="s">
        <v>346</v>
      </c>
      <c r="C199" s="131"/>
      <c r="D199" s="113"/>
      <c r="E199" s="113"/>
      <c r="F199" s="113">
        <f t="shared" si="50"/>
        <v>17275998.307692308</v>
      </c>
      <c r="G199" s="525">
        <f t="shared" si="51"/>
        <v>17275998.307692312</v>
      </c>
      <c r="H199" s="113">
        <f t="shared" si="39"/>
        <v>57285</v>
      </c>
      <c r="I199" s="524">
        <f t="shared" si="48"/>
        <v>-8202969.1584615381</v>
      </c>
      <c r="J199" s="525">
        <f t="shared" si="53"/>
        <v>-7859259.15846154</v>
      </c>
      <c r="K199" s="526">
        <f t="shared" si="42"/>
        <v>9073029.1492307708</v>
      </c>
      <c r="L199" s="525">
        <f t="shared" si="40"/>
        <v>-3175560.2022307697</v>
      </c>
      <c r="M199" s="525">
        <f t="shared" si="44"/>
        <v>-20049.75</v>
      </c>
      <c r="N199" s="529"/>
      <c r="O199" s="525">
        <f t="shared" si="41"/>
        <v>0</v>
      </c>
      <c r="P199" s="529">
        <f t="shared" si="49"/>
        <v>9073029.1492307708</v>
      </c>
      <c r="Q199" s="528"/>
      <c r="R199" s="528"/>
      <c r="S199" s="528"/>
      <c r="T199" s="528"/>
      <c r="U199" s="529">
        <f t="shared" si="43"/>
        <v>-3175560.1247564103</v>
      </c>
      <c r="V199" s="525">
        <f t="shared" si="45"/>
        <v>-3295858.6247564103</v>
      </c>
      <c r="W199" s="530">
        <f t="shared" si="46"/>
        <v>6120880.52447436</v>
      </c>
      <c r="X199" s="255">
        <f t="shared" si="47"/>
        <v>5897469.02447436</v>
      </c>
      <c r="Y199" s="136">
        <f t="shared" si="52"/>
        <v>9416739.1492307708</v>
      </c>
      <c r="Z199" s="548"/>
    </row>
    <row r="200" spans="1:26">
      <c r="A200" s="131"/>
      <c r="B200" s="2" t="s">
        <v>347</v>
      </c>
      <c r="C200" s="131"/>
      <c r="D200" s="113"/>
      <c r="E200" s="113"/>
      <c r="F200" s="113">
        <f t="shared" si="50"/>
        <v>17275998.307692308</v>
      </c>
      <c r="G200" s="525">
        <f t="shared" si="51"/>
        <v>17275998.307692312</v>
      </c>
      <c r="H200" s="113">
        <f t="shared" si="39"/>
        <v>57285</v>
      </c>
      <c r="I200" s="524">
        <f t="shared" si="48"/>
        <v>-8260254.1584615381</v>
      </c>
      <c r="J200" s="525">
        <f t="shared" si="53"/>
        <v>-7916544.15846154</v>
      </c>
      <c r="K200" s="526">
        <f t="shared" si="42"/>
        <v>9015744.1492307708</v>
      </c>
      <c r="L200" s="525">
        <f t="shared" si="40"/>
        <v>-3155510.4522307697</v>
      </c>
      <c r="M200" s="525">
        <f t="shared" si="44"/>
        <v>-20049.75</v>
      </c>
      <c r="N200" s="529"/>
      <c r="O200" s="525">
        <f t="shared" si="41"/>
        <v>0</v>
      </c>
      <c r="P200" s="529">
        <f t="shared" si="49"/>
        <v>9015744.1492307708</v>
      </c>
      <c r="Q200" s="528"/>
      <c r="R200" s="528"/>
      <c r="S200" s="528"/>
      <c r="T200" s="528"/>
      <c r="U200" s="529">
        <f t="shared" si="43"/>
        <v>-3155510.3747564103</v>
      </c>
      <c r="V200" s="525">
        <f t="shared" si="45"/>
        <v>-3275808.8747564103</v>
      </c>
      <c r="W200" s="530">
        <f t="shared" si="46"/>
        <v>6083645.27447436</v>
      </c>
      <c r="X200" s="255">
        <f t="shared" si="47"/>
        <v>5860233.77447436</v>
      </c>
      <c r="Y200" s="136">
        <f t="shared" si="52"/>
        <v>9359454.1492307708</v>
      </c>
      <c r="Z200" s="548"/>
    </row>
    <row r="201" spans="1:26">
      <c r="A201" s="131"/>
      <c r="B201" s="2" t="s">
        <v>348</v>
      </c>
      <c r="C201" s="131"/>
      <c r="D201" s="113"/>
      <c r="E201" s="113"/>
      <c r="F201" s="113">
        <f t="shared" si="50"/>
        <v>17275998.307692308</v>
      </c>
      <c r="G201" s="525">
        <f t="shared" si="51"/>
        <v>17275998.307692312</v>
      </c>
      <c r="H201" s="113">
        <f t="shared" si="39"/>
        <v>57285</v>
      </c>
      <c r="I201" s="524">
        <f t="shared" si="48"/>
        <v>-8317539.1584615381</v>
      </c>
      <c r="J201" s="525">
        <f t="shared" si="53"/>
        <v>-7973829.15846154</v>
      </c>
      <c r="K201" s="526">
        <f t="shared" si="42"/>
        <v>8958459.1492307708</v>
      </c>
      <c r="L201" s="525">
        <f t="shared" si="40"/>
        <v>-3135460.7022307697</v>
      </c>
      <c r="M201" s="525">
        <f t="shared" si="44"/>
        <v>-20049.75</v>
      </c>
      <c r="N201" s="529"/>
      <c r="O201" s="525">
        <f t="shared" si="41"/>
        <v>0</v>
      </c>
      <c r="P201" s="529">
        <f t="shared" si="49"/>
        <v>8958459.1492307708</v>
      </c>
      <c r="Q201" s="528"/>
      <c r="R201" s="528"/>
      <c r="S201" s="528"/>
      <c r="T201" s="528"/>
      <c r="U201" s="529">
        <f t="shared" si="43"/>
        <v>-3135460.6247564103</v>
      </c>
      <c r="V201" s="525">
        <f t="shared" si="45"/>
        <v>-3255759.1247564103</v>
      </c>
      <c r="W201" s="530">
        <f t="shared" si="46"/>
        <v>6046410.02447436</v>
      </c>
      <c r="X201" s="255">
        <f t="shared" si="47"/>
        <v>5822998.52447436</v>
      </c>
      <c r="Y201" s="136">
        <f t="shared" si="52"/>
        <v>9302169.1492307708</v>
      </c>
      <c r="Z201" s="548"/>
    </row>
    <row r="202" spans="1:26">
      <c r="A202" s="131"/>
      <c r="B202" s="2" t="s">
        <v>349</v>
      </c>
      <c r="C202" s="131"/>
      <c r="D202" s="113"/>
      <c r="E202" s="113"/>
      <c r="F202" s="113">
        <f t="shared" si="50"/>
        <v>17275998.307692308</v>
      </c>
      <c r="G202" s="525">
        <f t="shared" si="51"/>
        <v>17275998.307692312</v>
      </c>
      <c r="H202" s="113">
        <f t="shared" si="39"/>
        <v>57285</v>
      </c>
      <c r="I202" s="524">
        <f t="shared" si="48"/>
        <v>-8374824.1584615381</v>
      </c>
      <c r="J202" s="525">
        <f t="shared" si="53"/>
        <v>-8031114.15846154</v>
      </c>
      <c r="K202" s="526">
        <f t="shared" si="42"/>
        <v>8901174.1492307708</v>
      </c>
      <c r="L202" s="525">
        <f t="shared" si="40"/>
        <v>-3115410.9522307697</v>
      </c>
      <c r="M202" s="525">
        <f t="shared" si="44"/>
        <v>-20049.75</v>
      </c>
      <c r="N202" s="529"/>
      <c r="O202" s="525">
        <f t="shared" si="41"/>
        <v>0</v>
      </c>
      <c r="P202" s="529">
        <f t="shared" si="49"/>
        <v>8901174.1492307708</v>
      </c>
      <c r="Q202" s="528"/>
      <c r="R202" s="528"/>
      <c r="S202" s="528"/>
      <c r="T202" s="528"/>
      <c r="U202" s="529">
        <f t="shared" si="43"/>
        <v>-3115410.8747564103</v>
      </c>
      <c r="V202" s="525">
        <f t="shared" si="45"/>
        <v>-3235709.3747564103</v>
      </c>
      <c r="W202" s="530">
        <f t="shared" si="46"/>
        <v>6009174.77447436</v>
      </c>
      <c r="X202" s="255">
        <f t="shared" si="47"/>
        <v>5785763.27447436</v>
      </c>
      <c r="Y202" s="136">
        <f t="shared" si="52"/>
        <v>9244884.1492307708</v>
      </c>
      <c r="Z202" s="548"/>
    </row>
    <row r="203" spans="1:26">
      <c r="A203" s="131"/>
      <c r="B203" s="2" t="s">
        <v>350</v>
      </c>
      <c r="C203" s="131"/>
      <c r="D203" s="113"/>
      <c r="E203" s="113"/>
      <c r="F203" s="113">
        <f t="shared" si="50"/>
        <v>17275998.307692308</v>
      </c>
      <c r="G203" s="525">
        <f t="shared" si="51"/>
        <v>17275998.307692312</v>
      </c>
      <c r="H203" s="113">
        <f t="shared" si="39"/>
        <v>57285</v>
      </c>
      <c r="I203" s="524">
        <f t="shared" si="48"/>
        <v>-8432109.1584615372</v>
      </c>
      <c r="J203" s="525">
        <f t="shared" si="53"/>
        <v>-8088399.15846154</v>
      </c>
      <c r="K203" s="526">
        <f t="shared" si="42"/>
        <v>8843889.1492307708</v>
      </c>
      <c r="L203" s="525">
        <f t="shared" si="40"/>
        <v>-3095361.2022307697</v>
      </c>
      <c r="M203" s="525">
        <f t="shared" si="44"/>
        <v>-20049.75</v>
      </c>
      <c r="N203" s="529"/>
      <c r="O203" s="525">
        <f t="shared" si="41"/>
        <v>0</v>
      </c>
      <c r="P203" s="529">
        <f t="shared" si="49"/>
        <v>8843889.1492307708</v>
      </c>
      <c r="Q203" s="528"/>
      <c r="R203" s="528"/>
      <c r="S203" s="528"/>
      <c r="T203" s="528"/>
      <c r="U203" s="529">
        <f t="shared" si="43"/>
        <v>-3095361.1247564103</v>
      </c>
      <c r="V203" s="525">
        <f t="shared" si="45"/>
        <v>-3215659.6247564103</v>
      </c>
      <c r="W203" s="530">
        <f t="shared" si="46"/>
        <v>5971939.52447436</v>
      </c>
      <c r="X203" s="255">
        <f t="shared" si="47"/>
        <v>5748528.02447436</v>
      </c>
      <c r="Y203" s="136">
        <f t="shared" si="52"/>
        <v>9187599.1492307708</v>
      </c>
      <c r="Z203" s="548"/>
    </row>
    <row r="204" spans="1:26">
      <c r="A204" s="131"/>
      <c r="B204" s="2" t="s">
        <v>351</v>
      </c>
      <c r="C204" s="131"/>
      <c r="D204" s="115"/>
      <c r="E204" s="113"/>
      <c r="F204" s="113">
        <f t="shared" si="50"/>
        <v>17275998.307692308</v>
      </c>
      <c r="G204" s="525">
        <f t="shared" si="51"/>
        <v>17275998.307692312</v>
      </c>
      <c r="H204" s="113">
        <f t="shared" si="39"/>
        <v>57285</v>
      </c>
      <c r="I204" s="524">
        <f t="shared" si="48"/>
        <v>-8489394.1584615372</v>
      </c>
      <c r="J204" s="525">
        <f t="shared" si="53"/>
        <v>-8145684.15846154</v>
      </c>
      <c r="K204" s="526">
        <f t="shared" si="42"/>
        <v>8786604.1492307708</v>
      </c>
      <c r="L204" s="525">
        <f t="shared" si="40"/>
        <v>-3075311.4522307697</v>
      </c>
      <c r="M204" s="525">
        <f t="shared" si="44"/>
        <v>-20049.75</v>
      </c>
      <c r="N204" s="529"/>
      <c r="O204" s="525">
        <f t="shared" si="41"/>
        <v>0</v>
      </c>
      <c r="P204" s="529">
        <f t="shared" si="49"/>
        <v>8786604.1492307708</v>
      </c>
      <c r="Q204" s="528"/>
      <c r="R204" s="528"/>
      <c r="S204" s="528"/>
      <c r="T204" s="528"/>
      <c r="U204" s="529">
        <f t="shared" si="43"/>
        <v>-3075311.3747564103</v>
      </c>
      <c r="V204" s="525">
        <f t="shared" si="45"/>
        <v>-3195609.8747564103</v>
      </c>
      <c r="W204" s="530">
        <f t="shared" si="46"/>
        <v>5934704.27447436</v>
      </c>
      <c r="X204" s="255">
        <f t="shared" si="47"/>
        <v>5711292.77447436</v>
      </c>
      <c r="Y204" s="136">
        <f t="shared" si="52"/>
        <v>9130314.1492307708</v>
      </c>
      <c r="Z204" s="548"/>
    </row>
    <row r="205" spans="1:26">
      <c r="A205" s="131"/>
      <c r="B205" s="2" t="s">
        <v>352</v>
      </c>
      <c r="C205" s="131"/>
      <c r="D205" s="115"/>
      <c r="E205" s="113"/>
      <c r="F205" s="113">
        <f t="shared" si="50"/>
        <v>17275998.307692308</v>
      </c>
      <c r="G205" s="525">
        <f t="shared" si="51"/>
        <v>17275998.307692312</v>
      </c>
      <c r="H205" s="113">
        <f t="shared" ref="H205:H268" si="54">H204</f>
        <v>57285</v>
      </c>
      <c r="I205" s="524">
        <f t="shared" si="48"/>
        <v>-8546679.1584615372</v>
      </c>
      <c r="J205" s="525">
        <f t="shared" si="53"/>
        <v>-8202969.15846154</v>
      </c>
      <c r="K205" s="526">
        <f t="shared" si="42"/>
        <v>8729319.1492307708</v>
      </c>
      <c r="L205" s="525">
        <f t="shared" si="40"/>
        <v>-3055261.7022307697</v>
      </c>
      <c r="M205" s="525">
        <f t="shared" si="44"/>
        <v>-20049.75</v>
      </c>
      <c r="N205" s="529"/>
      <c r="O205" s="525">
        <f t="shared" si="41"/>
        <v>0</v>
      </c>
      <c r="P205" s="529">
        <f t="shared" si="49"/>
        <v>8729319.1492307708</v>
      </c>
      <c r="Q205" s="528"/>
      <c r="R205" s="528"/>
      <c r="S205" s="528"/>
      <c r="T205" s="528"/>
      <c r="U205" s="529">
        <f t="shared" si="43"/>
        <v>-3055261.6247564103</v>
      </c>
      <c r="V205" s="525">
        <f t="shared" si="45"/>
        <v>-3175560.1247564103</v>
      </c>
      <c r="W205" s="530">
        <f t="shared" si="46"/>
        <v>5897469.02447436</v>
      </c>
      <c r="X205" s="255">
        <f t="shared" si="47"/>
        <v>5674057.52447436</v>
      </c>
      <c r="Y205" s="136">
        <f t="shared" si="52"/>
        <v>9073029.1492307708</v>
      </c>
      <c r="Z205" s="548"/>
    </row>
    <row r="206" spans="1:26">
      <c r="A206" s="131"/>
      <c r="B206" s="2" t="s">
        <v>353</v>
      </c>
      <c r="C206" s="131"/>
      <c r="D206" s="115"/>
      <c r="E206" s="113"/>
      <c r="F206" s="113">
        <f t="shared" si="50"/>
        <v>17275998.307692308</v>
      </c>
      <c r="G206" s="525">
        <f t="shared" si="51"/>
        <v>17275998.307692312</v>
      </c>
      <c r="H206" s="113">
        <f t="shared" si="54"/>
        <v>57285</v>
      </c>
      <c r="I206" s="524">
        <f t="shared" si="48"/>
        <v>-8603964.1584615372</v>
      </c>
      <c r="J206" s="525">
        <f t="shared" si="53"/>
        <v>-8260254.15846154</v>
      </c>
      <c r="K206" s="526">
        <f t="shared" si="42"/>
        <v>8672034.1492307708</v>
      </c>
      <c r="L206" s="525">
        <f t="shared" si="40"/>
        <v>-3035211.9522307697</v>
      </c>
      <c r="M206" s="525">
        <f t="shared" si="44"/>
        <v>-20049.75</v>
      </c>
      <c r="N206" s="529"/>
      <c r="O206" s="525">
        <f t="shared" si="41"/>
        <v>0</v>
      </c>
      <c r="P206" s="529">
        <f t="shared" si="49"/>
        <v>8672034.1492307708</v>
      </c>
      <c r="Q206" s="528"/>
      <c r="R206" s="528"/>
      <c r="S206" s="528"/>
      <c r="T206" s="528"/>
      <c r="U206" s="529">
        <f t="shared" si="43"/>
        <v>-3035211.8747564103</v>
      </c>
      <c r="V206" s="525">
        <f t="shared" si="45"/>
        <v>-3155510.3747564103</v>
      </c>
      <c r="W206" s="530">
        <f t="shared" si="46"/>
        <v>5860233.77447436</v>
      </c>
      <c r="X206" s="255">
        <f t="shared" si="47"/>
        <v>5636822.27447436</v>
      </c>
      <c r="Y206" s="136">
        <f t="shared" si="52"/>
        <v>9015744.1492307708</v>
      </c>
      <c r="Z206" s="548"/>
    </row>
    <row r="207" spans="1:26">
      <c r="A207" s="131"/>
      <c r="B207" s="2" t="s">
        <v>354</v>
      </c>
      <c r="C207" s="131"/>
      <c r="D207" s="115"/>
      <c r="E207" s="113"/>
      <c r="F207" s="113">
        <f t="shared" si="50"/>
        <v>17275998.307692308</v>
      </c>
      <c r="G207" s="525">
        <f t="shared" si="51"/>
        <v>17275998.307692312</v>
      </c>
      <c r="H207" s="113">
        <f t="shared" si="54"/>
        <v>57285</v>
      </c>
      <c r="I207" s="524">
        <f t="shared" si="48"/>
        <v>-8661249.1584615372</v>
      </c>
      <c r="J207" s="525">
        <f t="shared" si="53"/>
        <v>-8317539.15846154</v>
      </c>
      <c r="K207" s="526">
        <f t="shared" si="42"/>
        <v>8614749.1492307708</v>
      </c>
      <c r="L207" s="525">
        <f t="shared" si="40"/>
        <v>-3015162.2022307697</v>
      </c>
      <c r="M207" s="525">
        <f t="shared" si="44"/>
        <v>-20049.75</v>
      </c>
      <c r="N207" s="529"/>
      <c r="O207" s="525">
        <f t="shared" si="41"/>
        <v>0</v>
      </c>
      <c r="P207" s="529">
        <f t="shared" si="49"/>
        <v>8614749.1492307708</v>
      </c>
      <c r="Q207" s="528"/>
      <c r="R207" s="528"/>
      <c r="S207" s="528"/>
      <c r="T207" s="528"/>
      <c r="U207" s="529">
        <f t="shared" si="43"/>
        <v>-3015162.1247564103</v>
      </c>
      <c r="V207" s="525">
        <f t="shared" si="45"/>
        <v>-3135460.6247564103</v>
      </c>
      <c r="W207" s="530">
        <f t="shared" si="46"/>
        <v>5822998.52447436</v>
      </c>
      <c r="X207" s="255">
        <f t="shared" si="47"/>
        <v>5599587.02447436</v>
      </c>
      <c r="Y207" s="136">
        <f t="shared" si="52"/>
        <v>8958459.1492307708</v>
      </c>
      <c r="Z207" s="548"/>
    </row>
    <row r="208" spans="1:26">
      <c r="A208" s="131"/>
      <c r="B208" s="2" t="s">
        <v>355</v>
      </c>
      <c r="C208" s="131"/>
      <c r="D208" s="115"/>
      <c r="E208" s="113"/>
      <c r="F208" s="113">
        <f t="shared" si="50"/>
        <v>17275998.307692308</v>
      </c>
      <c r="G208" s="525">
        <f t="shared" si="51"/>
        <v>17275998.307692312</v>
      </c>
      <c r="H208" s="113">
        <f t="shared" si="54"/>
        <v>57285</v>
      </c>
      <c r="I208" s="524">
        <f t="shared" si="48"/>
        <v>-8718534.1584615372</v>
      </c>
      <c r="J208" s="525">
        <f t="shared" si="53"/>
        <v>-8374824.15846154</v>
      </c>
      <c r="K208" s="526">
        <f t="shared" si="42"/>
        <v>8557464.1492307708</v>
      </c>
      <c r="L208" s="525">
        <f t="shared" si="40"/>
        <v>-2995112.4522307697</v>
      </c>
      <c r="M208" s="525">
        <f t="shared" si="44"/>
        <v>-20049.75</v>
      </c>
      <c r="N208" s="529"/>
      <c r="O208" s="525">
        <f t="shared" si="41"/>
        <v>0</v>
      </c>
      <c r="P208" s="529">
        <f t="shared" si="49"/>
        <v>8557464.1492307708</v>
      </c>
      <c r="Q208" s="528"/>
      <c r="R208" s="528"/>
      <c r="S208" s="528"/>
      <c r="T208" s="528"/>
      <c r="U208" s="529">
        <f t="shared" si="43"/>
        <v>-2995112.3747564103</v>
      </c>
      <c r="V208" s="525">
        <f t="shared" si="45"/>
        <v>-3115410.8747564103</v>
      </c>
      <c r="W208" s="530">
        <f t="shared" si="46"/>
        <v>5785763.27447436</v>
      </c>
      <c r="X208" s="255">
        <f t="shared" si="47"/>
        <v>5562351.77447436</v>
      </c>
      <c r="Y208" s="136">
        <f t="shared" si="52"/>
        <v>8901174.1492307708</v>
      </c>
      <c r="Z208" s="548"/>
    </row>
    <row r="209" spans="1:26">
      <c r="A209" s="131"/>
      <c r="B209" s="2" t="s">
        <v>356</v>
      </c>
      <c r="C209" s="131"/>
      <c r="D209" s="115"/>
      <c r="E209" s="113"/>
      <c r="F209" s="113">
        <f t="shared" si="50"/>
        <v>17275998.307692308</v>
      </c>
      <c r="G209" s="525">
        <f t="shared" si="51"/>
        <v>17275998.307692312</v>
      </c>
      <c r="H209" s="113">
        <f t="shared" si="54"/>
        <v>57285</v>
      </c>
      <c r="I209" s="524">
        <f t="shared" si="48"/>
        <v>-8775819.1584615372</v>
      </c>
      <c r="J209" s="525">
        <f t="shared" si="53"/>
        <v>-8432109.1584615391</v>
      </c>
      <c r="K209" s="526">
        <f t="shared" si="42"/>
        <v>8500179.1492307708</v>
      </c>
      <c r="L209" s="525">
        <f t="shared" si="40"/>
        <v>-2975062.7022307697</v>
      </c>
      <c r="M209" s="525">
        <f t="shared" si="44"/>
        <v>-20049.75</v>
      </c>
      <c r="N209" s="529"/>
      <c r="O209" s="525">
        <f t="shared" si="41"/>
        <v>0</v>
      </c>
      <c r="P209" s="529">
        <f t="shared" si="49"/>
        <v>8500179.1492307708</v>
      </c>
      <c r="Q209" s="528"/>
      <c r="R209" s="528"/>
      <c r="S209" s="528"/>
      <c r="T209" s="528"/>
      <c r="U209" s="529">
        <f t="shared" si="43"/>
        <v>-2975062.6247564103</v>
      </c>
      <c r="V209" s="525">
        <f t="shared" si="45"/>
        <v>-3095361.1247564103</v>
      </c>
      <c r="W209" s="530">
        <f t="shared" si="46"/>
        <v>5748528.0244743619</v>
      </c>
      <c r="X209" s="255">
        <f t="shared" si="47"/>
        <v>5525116.52447436</v>
      </c>
      <c r="Y209" s="136">
        <f t="shared" si="52"/>
        <v>8843889.1492307726</v>
      </c>
      <c r="Z209" s="548"/>
    </row>
    <row r="210" spans="1:26">
      <c r="A210" s="131"/>
      <c r="B210" s="2" t="s">
        <v>357</v>
      </c>
      <c r="C210" s="131"/>
      <c r="D210" s="115"/>
      <c r="E210" s="113"/>
      <c r="F210" s="113">
        <f t="shared" si="50"/>
        <v>17275998.307692308</v>
      </c>
      <c r="G210" s="525">
        <f t="shared" si="51"/>
        <v>17275998.307692312</v>
      </c>
      <c r="H210" s="113">
        <f t="shared" si="54"/>
        <v>57285</v>
      </c>
      <c r="I210" s="524">
        <f t="shared" si="48"/>
        <v>-8833104.1584615372</v>
      </c>
      <c r="J210" s="525">
        <f t="shared" si="53"/>
        <v>-8489394.1584615391</v>
      </c>
      <c r="K210" s="526">
        <f t="shared" si="42"/>
        <v>8442894.1492307708</v>
      </c>
      <c r="L210" s="525">
        <f t="shared" ref="L210:L273" si="55">-K210*35%</f>
        <v>-2955012.9522307697</v>
      </c>
      <c r="M210" s="525">
        <f t="shared" si="44"/>
        <v>-20049.75</v>
      </c>
      <c r="N210" s="529"/>
      <c r="O210" s="525">
        <f t="shared" si="41"/>
        <v>0</v>
      </c>
      <c r="P210" s="529">
        <f t="shared" si="49"/>
        <v>8442894.1492307708</v>
      </c>
      <c r="Q210" s="528"/>
      <c r="R210" s="528"/>
      <c r="S210" s="528"/>
      <c r="T210" s="528"/>
      <c r="U210" s="529">
        <f t="shared" si="43"/>
        <v>-2955012.8747564103</v>
      </c>
      <c r="V210" s="525">
        <f t="shared" si="45"/>
        <v>-3075311.3747564103</v>
      </c>
      <c r="W210" s="530">
        <f t="shared" si="46"/>
        <v>5711292.7744743619</v>
      </c>
      <c r="X210" s="255">
        <f t="shared" si="47"/>
        <v>5487881.27447436</v>
      </c>
      <c r="Y210" s="136">
        <f t="shared" si="52"/>
        <v>8786604.1492307726</v>
      </c>
      <c r="Z210" s="548"/>
    </row>
    <row r="211" spans="1:26">
      <c r="A211" s="131"/>
      <c r="B211" s="2" t="s">
        <v>358</v>
      </c>
      <c r="C211" s="131"/>
      <c r="D211" s="115"/>
      <c r="E211" s="113"/>
      <c r="F211" s="113">
        <f t="shared" si="50"/>
        <v>17275998.307692308</v>
      </c>
      <c r="G211" s="525">
        <f t="shared" si="51"/>
        <v>17275998.307692312</v>
      </c>
      <c r="H211" s="113">
        <f t="shared" si="54"/>
        <v>57285</v>
      </c>
      <c r="I211" s="524">
        <f t="shared" si="48"/>
        <v>-8890389.1584615372</v>
      </c>
      <c r="J211" s="525">
        <f t="shared" si="53"/>
        <v>-8546679.1584615391</v>
      </c>
      <c r="K211" s="526">
        <f t="shared" si="42"/>
        <v>8385609.1492307708</v>
      </c>
      <c r="L211" s="525">
        <f t="shared" si="55"/>
        <v>-2934963.2022307697</v>
      </c>
      <c r="M211" s="525">
        <f t="shared" si="44"/>
        <v>-20049.75</v>
      </c>
      <c r="N211" s="529"/>
      <c r="O211" s="525">
        <f t="shared" si="41"/>
        <v>0</v>
      </c>
      <c r="P211" s="529">
        <f t="shared" si="49"/>
        <v>8385609.1492307708</v>
      </c>
      <c r="Q211" s="528"/>
      <c r="R211" s="528"/>
      <c r="S211" s="528"/>
      <c r="T211" s="528"/>
      <c r="U211" s="529">
        <f t="shared" si="43"/>
        <v>-2934963.1247564103</v>
      </c>
      <c r="V211" s="525">
        <f t="shared" si="45"/>
        <v>-3055261.6247564103</v>
      </c>
      <c r="W211" s="530">
        <f t="shared" si="46"/>
        <v>5674057.5244743619</v>
      </c>
      <c r="X211" s="255">
        <f t="shared" ref="X211:X274" si="56">F211+I211+U211</f>
        <v>5450646.02447436</v>
      </c>
      <c r="Y211" s="136">
        <f t="shared" ref="Y211:Y274" si="57">G211+J211</f>
        <v>8729319.1492307726</v>
      </c>
      <c r="Z211" s="548"/>
    </row>
    <row r="212" spans="1:26">
      <c r="A212" s="131"/>
      <c r="B212" s="2" t="s">
        <v>359</v>
      </c>
      <c r="C212" s="131"/>
      <c r="D212" s="115"/>
      <c r="E212" s="113"/>
      <c r="F212" s="113">
        <f t="shared" si="50"/>
        <v>17275998.307692308</v>
      </c>
      <c r="G212" s="525">
        <f t="shared" si="51"/>
        <v>17275998.307692312</v>
      </c>
      <c r="H212" s="113">
        <f t="shared" si="54"/>
        <v>57285</v>
      </c>
      <c r="I212" s="524">
        <f t="shared" si="48"/>
        <v>-8947674.1584615372</v>
      </c>
      <c r="J212" s="525">
        <f t="shared" si="53"/>
        <v>-8603964.1584615391</v>
      </c>
      <c r="K212" s="526">
        <f t="shared" si="42"/>
        <v>8328324.1492307708</v>
      </c>
      <c r="L212" s="525">
        <f t="shared" si="55"/>
        <v>-2914913.4522307697</v>
      </c>
      <c r="M212" s="525">
        <f t="shared" si="44"/>
        <v>-20049.75</v>
      </c>
      <c r="N212" s="529"/>
      <c r="O212" s="525">
        <f t="shared" si="41"/>
        <v>0</v>
      </c>
      <c r="P212" s="529">
        <f t="shared" si="49"/>
        <v>8328324.1492307708</v>
      </c>
      <c r="Q212" s="528"/>
      <c r="R212" s="528"/>
      <c r="S212" s="528"/>
      <c r="T212" s="528"/>
      <c r="U212" s="529">
        <f t="shared" si="43"/>
        <v>-2914913.3747564103</v>
      </c>
      <c r="V212" s="525">
        <f t="shared" si="45"/>
        <v>-3035211.8747564103</v>
      </c>
      <c r="W212" s="530">
        <f t="shared" si="46"/>
        <v>5636822.2744743619</v>
      </c>
      <c r="X212" s="255">
        <f t="shared" si="56"/>
        <v>5413410.77447436</v>
      </c>
      <c r="Y212" s="136">
        <f t="shared" si="57"/>
        <v>8672034.1492307726</v>
      </c>
      <c r="Z212" s="548"/>
    </row>
    <row r="213" spans="1:26">
      <c r="A213" s="131"/>
      <c r="B213" s="2" t="s">
        <v>360</v>
      </c>
      <c r="C213" s="131"/>
      <c r="D213" s="115"/>
      <c r="E213" s="113"/>
      <c r="F213" s="113">
        <f t="shared" si="50"/>
        <v>17275998.307692308</v>
      </c>
      <c r="G213" s="525">
        <f t="shared" si="51"/>
        <v>17275998.307692312</v>
      </c>
      <c r="H213" s="113">
        <f t="shared" si="54"/>
        <v>57285</v>
      </c>
      <c r="I213" s="524">
        <f t="shared" si="48"/>
        <v>-9004959.1584615372</v>
      </c>
      <c r="J213" s="525">
        <f t="shared" si="53"/>
        <v>-8661249.1584615391</v>
      </c>
      <c r="K213" s="526">
        <f t="shared" si="42"/>
        <v>8271039.1492307708</v>
      </c>
      <c r="L213" s="525">
        <f t="shared" si="55"/>
        <v>-2894863.7022307697</v>
      </c>
      <c r="M213" s="525">
        <f t="shared" si="44"/>
        <v>-20049.75</v>
      </c>
      <c r="N213" s="529"/>
      <c r="O213" s="525">
        <f t="shared" si="41"/>
        <v>0</v>
      </c>
      <c r="P213" s="529">
        <f t="shared" si="49"/>
        <v>8271039.1492307708</v>
      </c>
      <c r="Q213" s="528"/>
      <c r="R213" s="528"/>
      <c r="S213" s="528"/>
      <c r="T213" s="528"/>
      <c r="U213" s="529">
        <f t="shared" si="43"/>
        <v>-2894863.6247564103</v>
      </c>
      <c r="V213" s="525">
        <f t="shared" si="45"/>
        <v>-3015162.1247564103</v>
      </c>
      <c r="W213" s="530">
        <f t="shared" si="46"/>
        <v>5599587.0244743619</v>
      </c>
      <c r="X213" s="255">
        <f t="shared" si="56"/>
        <v>5376175.52447436</v>
      </c>
      <c r="Y213" s="136">
        <f t="shared" si="57"/>
        <v>8614749.1492307726</v>
      </c>
      <c r="Z213" s="548"/>
    </row>
    <row r="214" spans="1:26">
      <c r="A214" s="131"/>
      <c r="B214" s="2" t="s">
        <v>361</v>
      </c>
      <c r="C214" s="131"/>
      <c r="D214" s="115"/>
      <c r="E214" s="113"/>
      <c r="F214" s="113">
        <f t="shared" si="50"/>
        <v>17275998.307692308</v>
      </c>
      <c r="G214" s="525">
        <f t="shared" si="51"/>
        <v>17275998.307692312</v>
      </c>
      <c r="H214" s="113">
        <f t="shared" si="54"/>
        <v>57285</v>
      </c>
      <c r="I214" s="524">
        <f t="shared" si="48"/>
        <v>-9062244.1584615372</v>
      </c>
      <c r="J214" s="525">
        <f t="shared" si="53"/>
        <v>-8718534.1584615391</v>
      </c>
      <c r="K214" s="526">
        <f t="shared" si="42"/>
        <v>8213754.1492307708</v>
      </c>
      <c r="L214" s="525">
        <f t="shared" si="55"/>
        <v>-2874813.9522307697</v>
      </c>
      <c r="M214" s="525">
        <f t="shared" si="44"/>
        <v>-20049.75</v>
      </c>
      <c r="N214" s="529"/>
      <c r="O214" s="525">
        <f t="shared" si="41"/>
        <v>0</v>
      </c>
      <c r="P214" s="529">
        <f t="shared" si="49"/>
        <v>8213754.1492307708</v>
      </c>
      <c r="Q214" s="528"/>
      <c r="R214" s="528"/>
      <c r="S214" s="528"/>
      <c r="T214" s="528"/>
      <c r="U214" s="529">
        <f t="shared" si="43"/>
        <v>-2874813.8747564103</v>
      </c>
      <c r="V214" s="525">
        <f t="shared" si="45"/>
        <v>-2995112.3747564103</v>
      </c>
      <c r="W214" s="530">
        <f t="shared" si="46"/>
        <v>5562351.7744743619</v>
      </c>
      <c r="X214" s="255">
        <f t="shared" si="56"/>
        <v>5338940.27447436</v>
      </c>
      <c r="Y214" s="136">
        <f t="shared" si="57"/>
        <v>8557464.1492307726</v>
      </c>
      <c r="Z214" s="548"/>
    </row>
    <row r="215" spans="1:26">
      <c r="A215" s="131"/>
      <c r="B215" s="2" t="s">
        <v>362</v>
      </c>
      <c r="C215" s="131"/>
      <c r="D215" s="115"/>
      <c r="E215" s="113"/>
      <c r="F215" s="113">
        <f t="shared" si="50"/>
        <v>17275998.307692308</v>
      </c>
      <c r="G215" s="525">
        <f t="shared" si="51"/>
        <v>17275998.307692312</v>
      </c>
      <c r="H215" s="113">
        <f t="shared" si="54"/>
        <v>57285</v>
      </c>
      <c r="I215" s="524">
        <f t="shared" si="48"/>
        <v>-9119529.1584615372</v>
      </c>
      <c r="J215" s="525">
        <f t="shared" si="53"/>
        <v>-8775819.1584615391</v>
      </c>
      <c r="K215" s="526">
        <f t="shared" si="42"/>
        <v>8156469.1492307708</v>
      </c>
      <c r="L215" s="525">
        <f t="shared" si="55"/>
        <v>-2854764.2022307697</v>
      </c>
      <c r="M215" s="525">
        <f t="shared" si="44"/>
        <v>-20049.75</v>
      </c>
      <c r="N215" s="529"/>
      <c r="O215" s="525">
        <f t="shared" si="41"/>
        <v>0</v>
      </c>
      <c r="P215" s="529">
        <f t="shared" si="49"/>
        <v>8156469.1492307708</v>
      </c>
      <c r="Q215" s="528"/>
      <c r="R215" s="528"/>
      <c r="S215" s="528"/>
      <c r="T215" s="528"/>
      <c r="U215" s="529">
        <f t="shared" si="43"/>
        <v>-2854764.1247564103</v>
      </c>
      <c r="V215" s="525">
        <f t="shared" si="45"/>
        <v>-2975062.6247564103</v>
      </c>
      <c r="W215" s="530">
        <f t="shared" si="46"/>
        <v>5525116.5244743619</v>
      </c>
      <c r="X215" s="255">
        <f t="shared" si="56"/>
        <v>5301705.02447436</v>
      </c>
      <c r="Y215" s="136">
        <f t="shared" si="57"/>
        <v>8500179.1492307726</v>
      </c>
      <c r="Z215" s="548"/>
    </row>
    <row r="216" spans="1:26">
      <c r="A216" s="131"/>
      <c r="B216" s="2" t="s">
        <v>363</v>
      </c>
      <c r="C216" s="131"/>
      <c r="D216" s="115"/>
      <c r="E216" s="113"/>
      <c r="F216" s="113">
        <f t="shared" si="50"/>
        <v>17275998.307692308</v>
      </c>
      <c r="G216" s="525">
        <f t="shared" si="51"/>
        <v>17275998.307692312</v>
      </c>
      <c r="H216" s="113">
        <f t="shared" si="54"/>
        <v>57285</v>
      </c>
      <c r="I216" s="524">
        <f t="shared" si="48"/>
        <v>-9176814.1584615372</v>
      </c>
      <c r="J216" s="525">
        <f t="shared" si="53"/>
        <v>-8833104.1584615391</v>
      </c>
      <c r="K216" s="526">
        <f t="shared" si="42"/>
        <v>8099184.1492307708</v>
      </c>
      <c r="L216" s="525">
        <f t="shared" si="55"/>
        <v>-2834714.4522307697</v>
      </c>
      <c r="M216" s="525">
        <f t="shared" si="44"/>
        <v>-20049.75</v>
      </c>
      <c r="N216" s="529"/>
      <c r="O216" s="525">
        <f t="shared" ref="O216:O279" si="58">(N204+N216+SUM(N205:N215)*2)/24</f>
        <v>0</v>
      </c>
      <c r="P216" s="529">
        <f t="shared" si="49"/>
        <v>8099184.1492307708</v>
      </c>
      <c r="Q216" s="528"/>
      <c r="R216" s="528"/>
      <c r="S216" s="528"/>
      <c r="T216" s="528"/>
      <c r="U216" s="529">
        <f t="shared" si="43"/>
        <v>-2834714.3747564103</v>
      </c>
      <c r="V216" s="525">
        <f t="shared" si="45"/>
        <v>-2955012.8747564103</v>
      </c>
      <c r="W216" s="530">
        <f t="shared" si="46"/>
        <v>5487881.2744743619</v>
      </c>
      <c r="X216" s="255">
        <f t="shared" si="56"/>
        <v>5264469.77447436</v>
      </c>
      <c r="Y216" s="136">
        <f t="shared" si="57"/>
        <v>8442894.1492307726</v>
      </c>
      <c r="Z216" s="548"/>
    </row>
    <row r="217" spans="1:26">
      <c r="A217" s="131"/>
      <c r="B217" s="2" t="s">
        <v>364</v>
      </c>
      <c r="C217" s="131"/>
      <c r="D217" s="115"/>
      <c r="E217" s="113"/>
      <c r="F217" s="113">
        <f t="shared" si="50"/>
        <v>17275998.307692308</v>
      </c>
      <c r="G217" s="525">
        <f t="shared" si="51"/>
        <v>17275998.307692312</v>
      </c>
      <c r="H217" s="113">
        <f t="shared" si="54"/>
        <v>57285</v>
      </c>
      <c r="I217" s="524">
        <f t="shared" si="48"/>
        <v>-9234099.1584615372</v>
      </c>
      <c r="J217" s="525">
        <f t="shared" si="53"/>
        <v>-8890389.1584615391</v>
      </c>
      <c r="K217" s="526">
        <f t="shared" si="42"/>
        <v>8041899.1492307708</v>
      </c>
      <c r="L217" s="525">
        <f t="shared" si="55"/>
        <v>-2814664.7022307697</v>
      </c>
      <c r="M217" s="525">
        <f t="shared" si="44"/>
        <v>-20049.75</v>
      </c>
      <c r="N217" s="529"/>
      <c r="O217" s="525">
        <f t="shared" si="58"/>
        <v>0</v>
      </c>
      <c r="P217" s="529">
        <f t="shared" si="49"/>
        <v>8041899.1492307708</v>
      </c>
      <c r="Q217" s="528"/>
      <c r="R217" s="528"/>
      <c r="S217" s="528"/>
      <c r="T217" s="528"/>
      <c r="U217" s="529">
        <f t="shared" si="43"/>
        <v>-2814664.6247564103</v>
      </c>
      <c r="V217" s="525">
        <f t="shared" si="45"/>
        <v>-2934963.1247564103</v>
      </c>
      <c r="W217" s="530">
        <f t="shared" si="46"/>
        <v>5450646.0244743619</v>
      </c>
      <c r="X217" s="255">
        <f t="shared" si="56"/>
        <v>5227234.52447436</v>
      </c>
      <c r="Y217" s="136">
        <f t="shared" si="57"/>
        <v>8385609.1492307726</v>
      </c>
      <c r="Z217" s="548"/>
    </row>
    <row r="218" spans="1:26">
      <c r="A218" s="131"/>
      <c r="B218" s="2" t="s">
        <v>365</v>
      </c>
      <c r="C218" s="131"/>
      <c r="D218" s="115"/>
      <c r="E218" s="113"/>
      <c r="F218" s="113">
        <f t="shared" si="50"/>
        <v>17275998.307692308</v>
      </c>
      <c r="G218" s="525">
        <f t="shared" si="51"/>
        <v>17275998.307692312</v>
      </c>
      <c r="H218" s="113">
        <f t="shared" si="54"/>
        <v>57285</v>
      </c>
      <c r="I218" s="524">
        <f t="shared" si="48"/>
        <v>-9291384.1584615372</v>
      </c>
      <c r="J218" s="525">
        <f t="shared" si="53"/>
        <v>-8947674.1584615391</v>
      </c>
      <c r="K218" s="526">
        <f t="shared" si="42"/>
        <v>7984614.1492307708</v>
      </c>
      <c r="L218" s="525">
        <f t="shared" si="55"/>
        <v>-2794614.9522307697</v>
      </c>
      <c r="M218" s="525">
        <f t="shared" si="44"/>
        <v>-20049.75</v>
      </c>
      <c r="N218" s="529"/>
      <c r="O218" s="525">
        <f t="shared" si="58"/>
        <v>0</v>
      </c>
      <c r="P218" s="529">
        <f t="shared" si="49"/>
        <v>7984614.1492307708</v>
      </c>
      <c r="Q218" s="528"/>
      <c r="R218" s="528"/>
      <c r="S218" s="528"/>
      <c r="T218" s="528"/>
      <c r="U218" s="529">
        <f t="shared" si="43"/>
        <v>-2794614.8747564103</v>
      </c>
      <c r="V218" s="525">
        <f t="shared" si="45"/>
        <v>-2914913.3747564103</v>
      </c>
      <c r="W218" s="530">
        <f t="shared" si="46"/>
        <v>5413410.7744743619</v>
      </c>
      <c r="X218" s="255">
        <f t="shared" si="56"/>
        <v>5189999.27447436</v>
      </c>
      <c r="Y218" s="136">
        <f t="shared" si="57"/>
        <v>8328324.1492307726</v>
      </c>
      <c r="Z218" s="548"/>
    </row>
    <row r="219" spans="1:26">
      <c r="A219" s="131"/>
      <c r="B219" s="2" t="s">
        <v>366</v>
      </c>
      <c r="C219" s="131"/>
      <c r="D219" s="115"/>
      <c r="E219" s="113"/>
      <c r="F219" s="113">
        <f t="shared" si="50"/>
        <v>17275998.307692308</v>
      </c>
      <c r="G219" s="525">
        <f t="shared" si="51"/>
        <v>17275998.307692312</v>
      </c>
      <c r="H219" s="113">
        <f t="shared" si="54"/>
        <v>57285</v>
      </c>
      <c r="I219" s="524">
        <f t="shared" si="48"/>
        <v>-9348669.1584615372</v>
      </c>
      <c r="J219" s="525">
        <f t="shared" si="53"/>
        <v>-9004959.1584615391</v>
      </c>
      <c r="K219" s="526">
        <f t="shared" si="42"/>
        <v>7927329.1492307708</v>
      </c>
      <c r="L219" s="525">
        <f t="shared" si="55"/>
        <v>-2774565.2022307697</v>
      </c>
      <c r="M219" s="525">
        <f t="shared" si="44"/>
        <v>-20049.75</v>
      </c>
      <c r="N219" s="529"/>
      <c r="O219" s="525">
        <f t="shared" si="58"/>
        <v>0</v>
      </c>
      <c r="P219" s="529">
        <f t="shared" si="49"/>
        <v>7927329.1492307708</v>
      </c>
      <c r="Q219" s="528"/>
      <c r="R219" s="528"/>
      <c r="S219" s="528"/>
      <c r="T219" s="528"/>
      <c r="U219" s="529">
        <f t="shared" si="43"/>
        <v>-2774565.1247564103</v>
      </c>
      <c r="V219" s="525">
        <f t="shared" si="45"/>
        <v>-2894863.6247564103</v>
      </c>
      <c r="W219" s="530">
        <f t="shared" si="46"/>
        <v>5376175.5244743619</v>
      </c>
      <c r="X219" s="255">
        <f t="shared" si="56"/>
        <v>5152764.02447436</v>
      </c>
      <c r="Y219" s="136">
        <f t="shared" si="57"/>
        <v>8271039.1492307726</v>
      </c>
      <c r="Z219" s="548"/>
    </row>
    <row r="220" spans="1:26">
      <c r="A220" s="131"/>
      <c r="B220" s="2" t="s">
        <v>367</v>
      </c>
      <c r="C220" s="131"/>
      <c r="D220" s="115"/>
      <c r="E220" s="113"/>
      <c r="F220" s="113">
        <f t="shared" si="50"/>
        <v>17275998.307692308</v>
      </c>
      <c r="G220" s="525">
        <f t="shared" si="51"/>
        <v>17275998.307692312</v>
      </c>
      <c r="H220" s="113">
        <f t="shared" si="54"/>
        <v>57285</v>
      </c>
      <c r="I220" s="524">
        <f t="shared" si="48"/>
        <v>-9405954.1584615372</v>
      </c>
      <c r="J220" s="525">
        <f t="shared" si="53"/>
        <v>-9062244.1584615391</v>
      </c>
      <c r="K220" s="526">
        <f t="shared" si="42"/>
        <v>7870044.1492307708</v>
      </c>
      <c r="L220" s="525">
        <f t="shared" si="55"/>
        <v>-2754515.4522307697</v>
      </c>
      <c r="M220" s="525">
        <f t="shared" si="44"/>
        <v>-20049.75</v>
      </c>
      <c r="N220" s="529"/>
      <c r="O220" s="525">
        <f t="shared" si="58"/>
        <v>0</v>
      </c>
      <c r="P220" s="529">
        <f t="shared" si="49"/>
        <v>7870044.1492307708</v>
      </c>
      <c r="Q220" s="528"/>
      <c r="R220" s="528"/>
      <c r="S220" s="528"/>
      <c r="T220" s="528"/>
      <c r="U220" s="529">
        <f t="shared" si="43"/>
        <v>-2754515.3747564103</v>
      </c>
      <c r="V220" s="525">
        <f t="shared" si="45"/>
        <v>-2874813.8747564103</v>
      </c>
      <c r="W220" s="530">
        <f t="shared" si="46"/>
        <v>5338940.2744743619</v>
      </c>
      <c r="X220" s="255">
        <f t="shared" si="56"/>
        <v>5115528.77447436</v>
      </c>
      <c r="Y220" s="136">
        <f t="shared" si="57"/>
        <v>8213754.1492307726</v>
      </c>
      <c r="Z220" s="548"/>
    </row>
    <row r="221" spans="1:26">
      <c r="A221" s="131"/>
      <c r="B221" s="2" t="s">
        <v>368</v>
      </c>
      <c r="C221" s="131"/>
      <c r="D221" s="115"/>
      <c r="E221" s="113"/>
      <c r="F221" s="113">
        <f t="shared" si="50"/>
        <v>17275998.307692308</v>
      </c>
      <c r="G221" s="525">
        <f t="shared" si="51"/>
        <v>17275998.307692312</v>
      </c>
      <c r="H221" s="113">
        <f t="shared" si="54"/>
        <v>57285</v>
      </c>
      <c r="I221" s="524">
        <f t="shared" si="48"/>
        <v>-9463239.1584615372</v>
      </c>
      <c r="J221" s="525">
        <f t="shared" si="53"/>
        <v>-9119529.1584615391</v>
      </c>
      <c r="K221" s="526">
        <f t="shared" si="42"/>
        <v>7812759.1492307708</v>
      </c>
      <c r="L221" s="525">
        <f t="shared" si="55"/>
        <v>-2734465.7022307697</v>
      </c>
      <c r="M221" s="525">
        <f t="shared" si="44"/>
        <v>-20049.75</v>
      </c>
      <c r="N221" s="529"/>
      <c r="O221" s="525">
        <f t="shared" si="58"/>
        <v>0</v>
      </c>
      <c r="P221" s="529">
        <f t="shared" si="49"/>
        <v>7812759.1492307708</v>
      </c>
      <c r="Q221" s="528"/>
      <c r="R221" s="528"/>
      <c r="S221" s="528"/>
      <c r="T221" s="528"/>
      <c r="U221" s="529">
        <f t="shared" si="43"/>
        <v>-2734465.6247564103</v>
      </c>
      <c r="V221" s="525">
        <f t="shared" si="45"/>
        <v>-2854764.1247564103</v>
      </c>
      <c r="W221" s="530">
        <f t="shared" si="46"/>
        <v>5301705.0244743619</v>
      </c>
      <c r="X221" s="255">
        <f t="shared" si="56"/>
        <v>5078293.52447436</v>
      </c>
      <c r="Y221" s="136">
        <f t="shared" si="57"/>
        <v>8156469.1492307726</v>
      </c>
      <c r="Z221" s="548"/>
    </row>
    <row r="222" spans="1:26">
      <c r="A222" s="131"/>
      <c r="B222" s="2" t="s">
        <v>369</v>
      </c>
      <c r="C222" s="131"/>
      <c r="D222" s="115"/>
      <c r="E222" s="113"/>
      <c r="F222" s="113">
        <f t="shared" si="50"/>
        <v>17275998.307692308</v>
      </c>
      <c r="G222" s="525">
        <f t="shared" si="51"/>
        <v>17275998.307692312</v>
      </c>
      <c r="H222" s="113">
        <f t="shared" si="54"/>
        <v>57285</v>
      </c>
      <c r="I222" s="524">
        <f t="shared" si="48"/>
        <v>-9520524.1584615372</v>
      </c>
      <c r="J222" s="525">
        <f t="shared" si="53"/>
        <v>-9176814.1584615391</v>
      </c>
      <c r="K222" s="526">
        <f t="shared" si="42"/>
        <v>7755474.1492307708</v>
      </c>
      <c r="L222" s="525">
        <f t="shared" si="55"/>
        <v>-2714415.9522307697</v>
      </c>
      <c r="M222" s="525">
        <f t="shared" si="44"/>
        <v>-20049.75</v>
      </c>
      <c r="N222" s="529"/>
      <c r="O222" s="525">
        <f t="shared" si="58"/>
        <v>0</v>
      </c>
      <c r="P222" s="529">
        <f t="shared" si="49"/>
        <v>7755474.1492307708</v>
      </c>
      <c r="Q222" s="528"/>
      <c r="R222" s="528"/>
      <c r="S222" s="528"/>
      <c r="T222" s="528"/>
      <c r="U222" s="529">
        <f t="shared" si="43"/>
        <v>-2714415.8747564103</v>
      </c>
      <c r="V222" s="525">
        <f t="shared" si="45"/>
        <v>-2834714.3747564103</v>
      </c>
      <c r="W222" s="530">
        <f t="shared" si="46"/>
        <v>5264469.7744743619</v>
      </c>
      <c r="X222" s="255">
        <f t="shared" si="56"/>
        <v>5041058.27447436</v>
      </c>
      <c r="Y222" s="136">
        <f t="shared" si="57"/>
        <v>8099184.1492307726</v>
      </c>
      <c r="Z222" s="548"/>
    </row>
    <row r="223" spans="1:26">
      <c r="A223" s="131"/>
      <c r="B223" s="2" t="s">
        <v>370</v>
      </c>
      <c r="C223" s="131"/>
      <c r="D223" s="115"/>
      <c r="E223" s="113"/>
      <c r="F223" s="113">
        <f t="shared" si="50"/>
        <v>17275998.307692308</v>
      </c>
      <c r="G223" s="525">
        <f t="shared" si="51"/>
        <v>17275998.307692312</v>
      </c>
      <c r="H223" s="113">
        <f t="shared" si="54"/>
        <v>57285</v>
      </c>
      <c r="I223" s="524">
        <f t="shared" si="48"/>
        <v>-9577809.1584615372</v>
      </c>
      <c r="J223" s="525">
        <f t="shared" si="53"/>
        <v>-9234099.1584615391</v>
      </c>
      <c r="K223" s="526">
        <f t="shared" si="42"/>
        <v>7698189.1492307708</v>
      </c>
      <c r="L223" s="525">
        <f t="shared" si="55"/>
        <v>-2694366.2022307697</v>
      </c>
      <c r="M223" s="525">
        <f t="shared" si="44"/>
        <v>-20049.75</v>
      </c>
      <c r="N223" s="529"/>
      <c r="O223" s="525">
        <f t="shared" si="58"/>
        <v>0</v>
      </c>
      <c r="P223" s="529">
        <f t="shared" si="49"/>
        <v>7698189.1492307708</v>
      </c>
      <c r="Q223" s="528"/>
      <c r="R223" s="528"/>
      <c r="S223" s="528"/>
      <c r="T223" s="528"/>
      <c r="U223" s="529">
        <f t="shared" si="43"/>
        <v>-2694366.1247564103</v>
      </c>
      <c r="V223" s="525">
        <f t="shared" si="45"/>
        <v>-2814664.6247564103</v>
      </c>
      <c r="W223" s="530">
        <f t="shared" si="46"/>
        <v>5227234.5244743619</v>
      </c>
      <c r="X223" s="255">
        <f t="shared" si="56"/>
        <v>5003823.02447436</v>
      </c>
      <c r="Y223" s="136">
        <f t="shared" si="57"/>
        <v>8041899.1492307726</v>
      </c>
      <c r="Z223" s="548"/>
    </row>
    <row r="224" spans="1:26">
      <c r="A224" s="131"/>
      <c r="B224" s="2" t="s">
        <v>371</v>
      </c>
      <c r="C224" s="131"/>
      <c r="D224" s="115"/>
      <c r="E224" s="113"/>
      <c r="F224" s="113">
        <f t="shared" si="50"/>
        <v>17275998.307692308</v>
      </c>
      <c r="G224" s="525">
        <f t="shared" si="51"/>
        <v>17275998.307692312</v>
      </c>
      <c r="H224" s="113">
        <f t="shared" si="54"/>
        <v>57285</v>
      </c>
      <c r="I224" s="524">
        <f t="shared" si="48"/>
        <v>-9635094.1584615372</v>
      </c>
      <c r="J224" s="525">
        <f t="shared" si="53"/>
        <v>-9291384.1584615391</v>
      </c>
      <c r="K224" s="526">
        <f t="shared" si="42"/>
        <v>7640904.1492307708</v>
      </c>
      <c r="L224" s="525">
        <f t="shared" si="55"/>
        <v>-2674316.4522307697</v>
      </c>
      <c r="M224" s="525">
        <f t="shared" si="44"/>
        <v>-20049.75</v>
      </c>
      <c r="N224" s="529"/>
      <c r="O224" s="525">
        <f t="shared" si="58"/>
        <v>0</v>
      </c>
      <c r="P224" s="529">
        <f t="shared" si="49"/>
        <v>7640904.1492307708</v>
      </c>
      <c r="Q224" s="528"/>
      <c r="R224" s="528"/>
      <c r="S224" s="528"/>
      <c r="T224" s="528"/>
      <c r="U224" s="529">
        <f t="shared" si="43"/>
        <v>-2674316.3747564103</v>
      </c>
      <c r="V224" s="525">
        <f t="shared" si="45"/>
        <v>-2794614.8747564103</v>
      </c>
      <c r="W224" s="530">
        <f t="shared" si="46"/>
        <v>5189999.2744743619</v>
      </c>
      <c r="X224" s="255">
        <f t="shared" si="56"/>
        <v>4966587.77447436</v>
      </c>
      <c r="Y224" s="136">
        <f t="shared" si="57"/>
        <v>7984614.1492307726</v>
      </c>
      <c r="Z224" s="548"/>
    </row>
    <row r="225" spans="1:26">
      <c r="A225" s="131"/>
      <c r="B225" s="2" t="s">
        <v>372</v>
      </c>
      <c r="C225" s="131"/>
      <c r="D225" s="115"/>
      <c r="E225" s="113"/>
      <c r="F225" s="113">
        <f t="shared" si="50"/>
        <v>17275998.307692308</v>
      </c>
      <c r="G225" s="525">
        <f t="shared" si="51"/>
        <v>17275998.307692312</v>
      </c>
      <c r="H225" s="113">
        <f t="shared" si="54"/>
        <v>57285</v>
      </c>
      <c r="I225" s="524">
        <f t="shared" si="48"/>
        <v>-9692379.1584615372</v>
      </c>
      <c r="J225" s="525">
        <f t="shared" si="53"/>
        <v>-9348669.1584615391</v>
      </c>
      <c r="K225" s="526">
        <f t="shared" si="42"/>
        <v>7583619.1492307708</v>
      </c>
      <c r="L225" s="525">
        <f t="shared" si="55"/>
        <v>-2654266.7022307697</v>
      </c>
      <c r="M225" s="525">
        <f t="shared" si="44"/>
        <v>-20049.75</v>
      </c>
      <c r="N225" s="529"/>
      <c r="O225" s="525">
        <f t="shared" si="58"/>
        <v>0</v>
      </c>
      <c r="P225" s="529">
        <f t="shared" si="49"/>
        <v>7583619.1492307708</v>
      </c>
      <c r="Q225" s="528"/>
      <c r="R225" s="528"/>
      <c r="S225" s="528"/>
      <c r="T225" s="528"/>
      <c r="U225" s="529">
        <f t="shared" si="43"/>
        <v>-2654266.6247564103</v>
      </c>
      <c r="V225" s="525">
        <f t="shared" si="45"/>
        <v>-2774565.1247564103</v>
      </c>
      <c r="W225" s="530">
        <f t="shared" si="46"/>
        <v>5152764.0244743619</v>
      </c>
      <c r="X225" s="255">
        <f t="shared" si="56"/>
        <v>4929352.52447436</v>
      </c>
      <c r="Y225" s="136">
        <f t="shared" si="57"/>
        <v>7927329.1492307726</v>
      </c>
      <c r="Z225" s="548"/>
    </row>
    <row r="226" spans="1:26">
      <c r="A226" s="131"/>
      <c r="B226" s="2" t="s">
        <v>373</v>
      </c>
      <c r="C226" s="131"/>
      <c r="D226" s="115"/>
      <c r="E226" s="113"/>
      <c r="F226" s="113">
        <f t="shared" si="50"/>
        <v>17275998.307692308</v>
      </c>
      <c r="G226" s="525">
        <f t="shared" si="51"/>
        <v>17275998.307692312</v>
      </c>
      <c r="H226" s="113">
        <f t="shared" si="54"/>
        <v>57285</v>
      </c>
      <c r="I226" s="524">
        <f>I225-H226</f>
        <v>-9749664.1584615372</v>
      </c>
      <c r="J226" s="525">
        <f t="shared" si="53"/>
        <v>-9405954.1584615391</v>
      </c>
      <c r="K226" s="526">
        <f t="shared" si="42"/>
        <v>7526334.1492307708</v>
      </c>
      <c r="L226" s="525">
        <f t="shared" si="55"/>
        <v>-2634216.9522307697</v>
      </c>
      <c r="M226" s="525">
        <f t="shared" si="44"/>
        <v>-20049.75</v>
      </c>
      <c r="N226" s="529"/>
      <c r="O226" s="525">
        <f t="shared" si="58"/>
        <v>0</v>
      </c>
      <c r="P226" s="529">
        <f t="shared" si="49"/>
        <v>7526334.1492307708</v>
      </c>
      <c r="Q226" s="528"/>
      <c r="R226" s="528"/>
      <c r="S226" s="528"/>
      <c r="T226" s="528"/>
      <c r="U226" s="529">
        <f t="shared" si="43"/>
        <v>-2634216.8747564103</v>
      </c>
      <c r="V226" s="525">
        <f t="shared" si="45"/>
        <v>-2754515.3747564103</v>
      </c>
      <c r="W226" s="530">
        <f t="shared" si="46"/>
        <v>5115528.7744743619</v>
      </c>
      <c r="X226" s="255">
        <f t="shared" si="56"/>
        <v>4892117.27447436</v>
      </c>
      <c r="Y226" s="136">
        <f t="shared" si="57"/>
        <v>7870044.1492307726</v>
      </c>
      <c r="Z226" s="548"/>
    </row>
    <row r="227" spans="1:26">
      <c r="A227" s="131"/>
      <c r="B227" s="2" t="s">
        <v>374</v>
      </c>
      <c r="C227" s="131"/>
      <c r="D227" s="115"/>
      <c r="E227" s="113"/>
      <c r="F227" s="113">
        <f t="shared" si="50"/>
        <v>17275998.307692308</v>
      </c>
      <c r="G227" s="525">
        <f t="shared" si="51"/>
        <v>17275998.307692312</v>
      </c>
      <c r="H227" s="113">
        <f t="shared" si="54"/>
        <v>57285</v>
      </c>
      <c r="I227" s="524">
        <f t="shared" si="48"/>
        <v>-9806949.1584615372</v>
      </c>
      <c r="J227" s="525">
        <f t="shared" si="53"/>
        <v>-9463239.1584615391</v>
      </c>
      <c r="K227" s="526">
        <f t="shared" si="42"/>
        <v>7469049.1492307708</v>
      </c>
      <c r="L227" s="525">
        <f t="shared" si="55"/>
        <v>-2614167.2022307697</v>
      </c>
      <c r="M227" s="525">
        <f t="shared" si="44"/>
        <v>-20049.75</v>
      </c>
      <c r="N227" s="529"/>
      <c r="O227" s="525">
        <f t="shared" si="58"/>
        <v>0</v>
      </c>
      <c r="P227" s="529">
        <f t="shared" si="49"/>
        <v>7469049.1492307708</v>
      </c>
      <c r="Q227" s="528"/>
      <c r="R227" s="528"/>
      <c r="S227" s="528"/>
      <c r="T227" s="528"/>
      <c r="U227" s="529">
        <f t="shared" si="43"/>
        <v>-2614167.1247564103</v>
      </c>
      <c r="V227" s="525">
        <f t="shared" si="45"/>
        <v>-2734465.6247564103</v>
      </c>
      <c r="W227" s="530">
        <f t="shared" si="46"/>
        <v>5078293.5244743619</v>
      </c>
      <c r="X227" s="255">
        <f t="shared" si="56"/>
        <v>4854882.02447436</v>
      </c>
      <c r="Y227" s="136">
        <f t="shared" si="57"/>
        <v>7812759.1492307726</v>
      </c>
      <c r="Z227" s="548"/>
    </row>
    <row r="228" spans="1:26">
      <c r="A228" s="131"/>
      <c r="B228" s="2" t="s">
        <v>375</v>
      </c>
      <c r="C228" s="131"/>
      <c r="D228" s="115"/>
      <c r="E228" s="113"/>
      <c r="F228" s="113">
        <f t="shared" si="50"/>
        <v>17275998.307692308</v>
      </c>
      <c r="G228" s="525">
        <f t="shared" si="51"/>
        <v>17275998.307692312</v>
      </c>
      <c r="H228" s="113">
        <f t="shared" si="54"/>
        <v>57285</v>
      </c>
      <c r="I228" s="524">
        <f t="shared" si="48"/>
        <v>-9864234.1584615372</v>
      </c>
      <c r="J228" s="525">
        <f t="shared" si="53"/>
        <v>-9520524.1584615391</v>
      </c>
      <c r="K228" s="526">
        <f t="shared" si="42"/>
        <v>7411764.1492307708</v>
      </c>
      <c r="L228" s="525">
        <f t="shared" si="55"/>
        <v>-2594117.4522307697</v>
      </c>
      <c r="M228" s="525">
        <f t="shared" si="44"/>
        <v>-20049.75</v>
      </c>
      <c r="N228" s="529"/>
      <c r="O228" s="525">
        <f t="shared" si="58"/>
        <v>0</v>
      </c>
      <c r="P228" s="529">
        <f t="shared" si="49"/>
        <v>7411764.1492307708</v>
      </c>
      <c r="Q228" s="528"/>
      <c r="R228" s="528"/>
      <c r="S228" s="528"/>
      <c r="T228" s="528"/>
      <c r="U228" s="529">
        <f t="shared" si="43"/>
        <v>-2594117.3747564103</v>
      </c>
      <c r="V228" s="525">
        <f t="shared" si="45"/>
        <v>-2714415.8747564103</v>
      </c>
      <c r="W228" s="530">
        <f t="shared" si="46"/>
        <v>5041058.2744743619</v>
      </c>
      <c r="X228" s="255">
        <f t="shared" si="56"/>
        <v>4817646.77447436</v>
      </c>
      <c r="Y228" s="136">
        <f t="shared" si="57"/>
        <v>7755474.1492307726</v>
      </c>
      <c r="Z228" s="548"/>
    </row>
    <row r="229" spans="1:26">
      <c r="A229" s="131"/>
      <c r="B229" s="2" t="s">
        <v>376</v>
      </c>
      <c r="C229" s="131"/>
      <c r="D229" s="115"/>
      <c r="E229" s="113"/>
      <c r="F229" s="113">
        <f t="shared" si="50"/>
        <v>17275998.307692308</v>
      </c>
      <c r="G229" s="525">
        <f t="shared" si="51"/>
        <v>17275998.307692312</v>
      </c>
      <c r="H229" s="113">
        <f t="shared" si="54"/>
        <v>57285</v>
      </c>
      <c r="I229" s="524">
        <f t="shared" si="48"/>
        <v>-9921519.1584615372</v>
      </c>
      <c r="J229" s="525">
        <f t="shared" si="53"/>
        <v>-9577809.1584615391</v>
      </c>
      <c r="K229" s="526">
        <f t="shared" ref="K229:K292" si="59">F229+I229</f>
        <v>7354479.1492307708</v>
      </c>
      <c r="L229" s="525">
        <f t="shared" si="55"/>
        <v>-2574067.7022307697</v>
      </c>
      <c r="M229" s="525">
        <f t="shared" si="44"/>
        <v>-20049.75</v>
      </c>
      <c r="N229" s="529"/>
      <c r="O229" s="525">
        <f t="shared" si="58"/>
        <v>0</v>
      </c>
      <c r="P229" s="529">
        <f t="shared" si="49"/>
        <v>7354479.1492307708</v>
      </c>
      <c r="Q229" s="528"/>
      <c r="R229" s="528"/>
      <c r="S229" s="528"/>
      <c r="T229" s="528"/>
      <c r="U229" s="529">
        <f t="shared" si="43"/>
        <v>-2574067.6247564103</v>
      </c>
      <c r="V229" s="525">
        <f t="shared" si="45"/>
        <v>-2694366.1247564103</v>
      </c>
      <c r="W229" s="530">
        <f t="shared" si="46"/>
        <v>5003823.0244743619</v>
      </c>
      <c r="X229" s="255">
        <f t="shared" si="56"/>
        <v>4780411.52447436</v>
      </c>
      <c r="Y229" s="136">
        <f t="shared" si="57"/>
        <v>7698189.1492307726</v>
      </c>
      <c r="Z229" s="548"/>
    </row>
    <row r="230" spans="1:26">
      <c r="A230" s="131"/>
      <c r="B230" s="2" t="s">
        <v>377</v>
      </c>
      <c r="C230" s="131"/>
      <c r="D230" s="115"/>
      <c r="E230" s="113"/>
      <c r="F230" s="113">
        <f t="shared" si="50"/>
        <v>17275998.307692308</v>
      </c>
      <c r="G230" s="525">
        <f t="shared" si="51"/>
        <v>17275998.307692312</v>
      </c>
      <c r="H230" s="113">
        <f t="shared" si="54"/>
        <v>57285</v>
      </c>
      <c r="I230" s="524">
        <f t="shared" si="48"/>
        <v>-9978804.1584615372</v>
      </c>
      <c r="J230" s="525">
        <f t="shared" si="53"/>
        <v>-9635094.1584615391</v>
      </c>
      <c r="K230" s="526">
        <f t="shared" si="59"/>
        <v>7297194.1492307708</v>
      </c>
      <c r="L230" s="525">
        <f t="shared" si="55"/>
        <v>-2554017.9522307697</v>
      </c>
      <c r="M230" s="525">
        <f t="shared" si="44"/>
        <v>-20049.75</v>
      </c>
      <c r="N230" s="529"/>
      <c r="O230" s="525">
        <f t="shared" si="58"/>
        <v>0</v>
      </c>
      <c r="P230" s="529">
        <f t="shared" si="49"/>
        <v>7297194.1492307708</v>
      </c>
      <c r="Q230" s="528"/>
      <c r="R230" s="528"/>
      <c r="S230" s="528"/>
      <c r="T230" s="528"/>
      <c r="U230" s="529">
        <f t="shared" si="43"/>
        <v>-2554017.8747564103</v>
      </c>
      <c r="V230" s="525">
        <f t="shared" si="45"/>
        <v>-2674316.3747564103</v>
      </c>
      <c r="W230" s="530">
        <f t="shared" si="46"/>
        <v>4966587.7744743619</v>
      </c>
      <c r="X230" s="255">
        <f t="shared" si="56"/>
        <v>4743176.27447436</v>
      </c>
      <c r="Y230" s="136">
        <f t="shared" si="57"/>
        <v>7640904.1492307726</v>
      </c>
      <c r="Z230" s="548"/>
    </row>
    <row r="231" spans="1:26">
      <c r="A231" s="131"/>
      <c r="B231" s="2" t="s">
        <v>378</v>
      </c>
      <c r="C231" s="131"/>
      <c r="D231" s="115"/>
      <c r="E231" s="113"/>
      <c r="F231" s="113">
        <f t="shared" si="50"/>
        <v>17275998.307692308</v>
      </c>
      <c r="G231" s="525">
        <f t="shared" si="51"/>
        <v>17275998.307692312</v>
      </c>
      <c r="H231" s="113">
        <f t="shared" si="54"/>
        <v>57285</v>
      </c>
      <c r="I231" s="524">
        <f t="shared" si="48"/>
        <v>-10036089.158461537</v>
      </c>
      <c r="J231" s="525">
        <f t="shared" si="53"/>
        <v>-9692379.1584615391</v>
      </c>
      <c r="K231" s="526">
        <f t="shared" si="59"/>
        <v>7239909.1492307708</v>
      </c>
      <c r="L231" s="525">
        <f t="shared" si="55"/>
        <v>-2533968.2022307697</v>
      </c>
      <c r="M231" s="525">
        <f t="shared" si="44"/>
        <v>-20049.75</v>
      </c>
      <c r="N231" s="529"/>
      <c r="O231" s="525">
        <f t="shared" si="58"/>
        <v>0</v>
      </c>
      <c r="P231" s="529">
        <f t="shared" si="49"/>
        <v>7239909.1492307708</v>
      </c>
      <c r="Q231" s="528"/>
      <c r="R231" s="528"/>
      <c r="S231" s="528"/>
      <c r="T231" s="528"/>
      <c r="U231" s="529">
        <f t="shared" ref="U231:U294" si="60">U230-M231</f>
        <v>-2533968.1247564103</v>
      </c>
      <c r="V231" s="525">
        <f t="shared" si="45"/>
        <v>-2654266.6247564103</v>
      </c>
      <c r="W231" s="530">
        <f t="shared" si="46"/>
        <v>4929352.5244743619</v>
      </c>
      <c r="X231" s="255">
        <f t="shared" si="56"/>
        <v>4705941.02447436</v>
      </c>
      <c r="Y231" s="136">
        <f t="shared" si="57"/>
        <v>7583619.1492307726</v>
      </c>
      <c r="Z231" s="548"/>
    </row>
    <row r="232" spans="1:26">
      <c r="A232" s="131"/>
      <c r="B232" s="2" t="s">
        <v>379</v>
      </c>
      <c r="C232" s="131"/>
      <c r="D232" s="115"/>
      <c r="E232" s="113"/>
      <c r="F232" s="113">
        <f t="shared" si="50"/>
        <v>17275998.307692308</v>
      </c>
      <c r="G232" s="525">
        <f t="shared" si="51"/>
        <v>17275998.307692312</v>
      </c>
      <c r="H232" s="113">
        <f t="shared" si="54"/>
        <v>57285</v>
      </c>
      <c r="I232" s="524">
        <f t="shared" si="48"/>
        <v>-10093374.158461537</v>
      </c>
      <c r="J232" s="525">
        <f t="shared" si="53"/>
        <v>-9749664.1584615391</v>
      </c>
      <c r="K232" s="526">
        <f t="shared" si="59"/>
        <v>7182624.1492307708</v>
      </c>
      <c r="L232" s="525">
        <f t="shared" si="55"/>
        <v>-2513918.4522307697</v>
      </c>
      <c r="M232" s="525">
        <f t="shared" ref="M232:M295" si="61">-L232+L231</f>
        <v>-20049.75</v>
      </c>
      <c r="N232" s="529"/>
      <c r="O232" s="525">
        <f t="shared" si="58"/>
        <v>0</v>
      </c>
      <c r="P232" s="529">
        <f t="shared" si="49"/>
        <v>7182624.1492307708</v>
      </c>
      <c r="Q232" s="528"/>
      <c r="R232" s="528"/>
      <c r="S232" s="528"/>
      <c r="T232" s="528"/>
      <c r="U232" s="529">
        <f t="shared" si="60"/>
        <v>-2513918.3747564103</v>
      </c>
      <c r="V232" s="525">
        <f t="shared" si="45"/>
        <v>-2634216.8747564103</v>
      </c>
      <c r="W232" s="530">
        <f t="shared" si="46"/>
        <v>4892117.2744743619</v>
      </c>
      <c r="X232" s="255">
        <f t="shared" si="56"/>
        <v>4668705.77447436</v>
      </c>
      <c r="Y232" s="136">
        <f t="shared" si="57"/>
        <v>7526334.1492307726</v>
      </c>
      <c r="Z232" s="548"/>
    </row>
    <row r="233" spans="1:26">
      <c r="A233" s="131"/>
      <c r="B233" s="2" t="s">
        <v>380</v>
      </c>
      <c r="C233" s="131"/>
      <c r="D233" s="115"/>
      <c r="E233" s="113"/>
      <c r="F233" s="113">
        <f t="shared" si="50"/>
        <v>17275998.307692308</v>
      </c>
      <c r="G233" s="525">
        <f t="shared" si="51"/>
        <v>17275998.307692312</v>
      </c>
      <c r="H233" s="113">
        <f t="shared" si="54"/>
        <v>57285</v>
      </c>
      <c r="I233" s="524">
        <f t="shared" si="48"/>
        <v>-10150659.158461537</v>
      </c>
      <c r="J233" s="525">
        <f t="shared" si="53"/>
        <v>-9806949.1584615391</v>
      </c>
      <c r="K233" s="526">
        <f t="shared" si="59"/>
        <v>7125339.1492307708</v>
      </c>
      <c r="L233" s="525">
        <f t="shared" si="55"/>
        <v>-2493868.7022307697</v>
      </c>
      <c r="M233" s="525">
        <f t="shared" si="61"/>
        <v>-20049.75</v>
      </c>
      <c r="N233" s="529"/>
      <c r="O233" s="525">
        <f t="shared" si="58"/>
        <v>0</v>
      </c>
      <c r="P233" s="529">
        <f t="shared" si="49"/>
        <v>7125339.1492307708</v>
      </c>
      <c r="Q233" s="528"/>
      <c r="R233" s="528"/>
      <c r="S233" s="528"/>
      <c r="T233" s="528"/>
      <c r="U233" s="529">
        <f t="shared" si="60"/>
        <v>-2493868.6247564103</v>
      </c>
      <c r="V233" s="525">
        <f t="shared" si="45"/>
        <v>-2614167.1247564103</v>
      </c>
      <c r="W233" s="530">
        <f t="shared" si="46"/>
        <v>4854882.0244743619</v>
      </c>
      <c r="X233" s="255">
        <f t="shared" si="56"/>
        <v>4631470.52447436</v>
      </c>
      <c r="Y233" s="136">
        <f t="shared" si="57"/>
        <v>7469049.1492307726</v>
      </c>
      <c r="Z233" s="548"/>
    </row>
    <row r="234" spans="1:26">
      <c r="A234" s="131"/>
      <c r="B234" s="2" t="s">
        <v>381</v>
      </c>
      <c r="C234" s="131"/>
      <c r="D234" s="115"/>
      <c r="E234" s="113"/>
      <c r="F234" s="113">
        <f t="shared" si="50"/>
        <v>17275998.307692308</v>
      </c>
      <c r="G234" s="525">
        <f t="shared" si="51"/>
        <v>17275998.307692312</v>
      </c>
      <c r="H234" s="113">
        <f t="shared" si="54"/>
        <v>57285</v>
      </c>
      <c r="I234" s="524">
        <f t="shared" si="48"/>
        <v>-10207944.158461537</v>
      </c>
      <c r="J234" s="525">
        <f t="shared" si="53"/>
        <v>-9864234.1584615391</v>
      </c>
      <c r="K234" s="526">
        <f t="shared" si="59"/>
        <v>7068054.1492307708</v>
      </c>
      <c r="L234" s="525">
        <f t="shared" si="55"/>
        <v>-2473818.9522307697</v>
      </c>
      <c r="M234" s="525">
        <f t="shared" si="61"/>
        <v>-20049.75</v>
      </c>
      <c r="N234" s="529"/>
      <c r="O234" s="525">
        <f t="shared" si="58"/>
        <v>0</v>
      </c>
      <c r="P234" s="529">
        <f t="shared" si="49"/>
        <v>7068054.1492307708</v>
      </c>
      <c r="Q234" s="528"/>
      <c r="R234" s="528"/>
      <c r="S234" s="528"/>
      <c r="T234" s="528"/>
      <c r="U234" s="529">
        <f t="shared" si="60"/>
        <v>-2473818.8747564103</v>
      </c>
      <c r="V234" s="525">
        <f t="shared" si="45"/>
        <v>-2594117.3747564103</v>
      </c>
      <c r="W234" s="530">
        <f t="shared" si="46"/>
        <v>4817646.7744743619</v>
      </c>
      <c r="X234" s="255">
        <f t="shared" si="56"/>
        <v>4594235.27447436</v>
      </c>
      <c r="Y234" s="136">
        <f t="shared" si="57"/>
        <v>7411764.1492307726</v>
      </c>
      <c r="Z234" s="548"/>
    </row>
    <row r="235" spans="1:26">
      <c r="A235" s="131"/>
      <c r="B235" s="2" t="s">
        <v>382</v>
      </c>
      <c r="C235" s="131"/>
      <c r="D235" s="115"/>
      <c r="E235" s="113"/>
      <c r="F235" s="113">
        <f t="shared" si="50"/>
        <v>17275998.307692308</v>
      </c>
      <c r="G235" s="525">
        <f t="shared" si="51"/>
        <v>17275998.307692312</v>
      </c>
      <c r="H235" s="113">
        <f t="shared" si="54"/>
        <v>57285</v>
      </c>
      <c r="I235" s="524">
        <f t="shared" si="48"/>
        <v>-10265229.158461537</v>
      </c>
      <c r="J235" s="525">
        <f t="shared" si="53"/>
        <v>-9921519.1584615391</v>
      </c>
      <c r="K235" s="526">
        <f t="shared" si="59"/>
        <v>7010769.1492307708</v>
      </c>
      <c r="L235" s="525">
        <f t="shared" si="55"/>
        <v>-2453769.2022307697</v>
      </c>
      <c r="M235" s="525">
        <f t="shared" si="61"/>
        <v>-20049.75</v>
      </c>
      <c r="N235" s="529"/>
      <c r="O235" s="525">
        <f t="shared" si="58"/>
        <v>0</v>
      </c>
      <c r="P235" s="529">
        <f t="shared" si="49"/>
        <v>7010769.1492307708</v>
      </c>
      <c r="Q235" s="528"/>
      <c r="R235" s="528"/>
      <c r="S235" s="528"/>
      <c r="T235" s="528"/>
      <c r="U235" s="529">
        <f t="shared" si="60"/>
        <v>-2453769.1247564103</v>
      </c>
      <c r="V235" s="525">
        <f t="shared" si="45"/>
        <v>-2574067.6247564103</v>
      </c>
      <c r="W235" s="530">
        <f t="shared" si="46"/>
        <v>4780411.5244743619</v>
      </c>
      <c r="X235" s="255">
        <f t="shared" si="56"/>
        <v>4557000.02447436</v>
      </c>
      <c r="Y235" s="136">
        <f t="shared" si="57"/>
        <v>7354479.1492307726</v>
      </c>
      <c r="Z235" s="548"/>
    </row>
    <row r="236" spans="1:26">
      <c r="A236" s="131"/>
      <c r="B236" s="2" t="s">
        <v>383</v>
      </c>
      <c r="C236" s="131"/>
      <c r="D236" s="115"/>
      <c r="E236" s="113"/>
      <c r="F236" s="113">
        <f t="shared" si="50"/>
        <v>17275998.307692308</v>
      </c>
      <c r="G236" s="525">
        <f t="shared" si="51"/>
        <v>17275998.307692312</v>
      </c>
      <c r="H236" s="113">
        <f t="shared" si="54"/>
        <v>57285</v>
      </c>
      <c r="I236" s="524">
        <f t="shared" si="48"/>
        <v>-10322514.158461537</v>
      </c>
      <c r="J236" s="525">
        <f t="shared" si="53"/>
        <v>-9978804.1584615391</v>
      </c>
      <c r="K236" s="526">
        <f t="shared" si="59"/>
        <v>6953484.1492307708</v>
      </c>
      <c r="L236" s="525">
        <f t="shared" si="55"/>
        <v>-2433719.4522307697</v>
      </c>
      <c r="M236" s="525">
        <f t="shared" si="61"/>
        <v>-20049.75</v>
      </c>
      <c r="N236" s="529"/>
      <c r="O236" s="525">
        <f t="shared" si="58"/>
        <v>0</v>
      </c>
      <c r="P236" s="529">
        <f t="shared" si="49"/>
        <v>6953484.1492307708</v>
      </c>
      <c r="Q236" s="528"/>
      <c r="R236" s="528"/>
      <c r="S236" s="528"/>
      <c r="T236" s="528"/>
      <c r="U236" s="529">
        <f t="shared" si="60"/>
        <v>-2433719.3747564103</v>
      </c>
      <c r="V236" s="525">
        <f t="shared" si="45"/>
        <v>-2554017.8747564103</v>
      </c>
      <c r="W236" s="530">
        <f t="shared" si="46"/>
        <v>4743176.2744743619</v>
      </c>
      <c r="X236" s="255">
        <f t="shared" si="56"/>
        <v>4519764.77447436</v>
      </c>
      <c r="Y236" s="136">
        <f t="shared" si="57"/>
        <v>7297194.1492307726</v>
      </c>
      <c r="Z236" s="548"/>
    </row>
    <row r="237" spans="1:26">
      <c r="A237" s="131"/>
      <c r="B237" s="2" t="s">
        <v>384</v>
      </c>
      <c r="C237" s="131"/>
      <c r="D237" s="115"/>
      <c r="E237" s="113"/>
      <c r="F237" s="113">
        <f t="shared" si="50"/>
        <v>17275998.307692308</v>
      </c>
      <c r="G237" s="525">
        <f t="shared" si="51"/>
        <v>17275998.307692312</v>
      </c>
      <c r="H237" s="113">
        <f t="shared" si="54"/>
        <v>57285</v>
      </c>
      <c r="I237" s="524">
        <f t="shared" si="48"/>
        <v>-10379799.158461537</v>
      </c>
      <c r="J237" s="525">
        <f t="shared" si="53"/>
        <v>-10036089.158461539</v>
      </c>
      <c r="K237" s="526">
        <f t="shared" si="59"/>
        <v>6896199.1492307708</v>
      </c>
      <c r="L237" s="525">
        <f t="shared" si="55"/>
        <v>-2413669.7022307697</v>
      </c>
      <c r="M237" s="525">
        <f t="shared" si="61"/>
        <v>-20049.75</v>
      </c>
      <c r="N237" s="529"/>
      <c r="O237" s="525">
        <f t="shared" si="58"/>
        <v>0</v>
      </c>
      <c r="P237" s="529">
        <f t="shared" si="49"/>
        <v>6896199.1492307708</v>
      </c>
      <c r="Q237" s="528"/>
      <c r="R237" s="528"/>
      <c r="S237" s="528"/>
      <c r="T237" s="528"/>
      <c r="U237" s="529">
        <f t="shared" si="60"/>
        <v>-2413669.6247564103</v>
      </c>
      <c r="V237" s="525">
        <f t="shared" si="45"/>
        <v>-2533968.1247564103</v>
      </c>
      <c r="W237" s="530">
        <f t="shared" si="46"/>
        <v>4705941.0244743619</v>
      </c>
      <c r="X237" s="255">
        <f t="shared" si="56"/>
        <v>4482529.52447436</v>
      </c>
      <c r="Y237" s="136">
        <f t="shared" si="57"/>
        <v>7239909.1492307726</v>
      </c>
      <c r="Z237" s="548"/>
    </row>
    <row r="238" spans="1:26">
      <c r="A238" s="131"/>
      <c r="B238" s="2" t="s">
        <v>385</v>
      </c>
      <c r="C238" s="131"/>
      <c r="D238" s="115"/>
      <c r="E238" s="113"/>
      <c r="F238" s="113">
        <f t="shared" si="50"/>
        <v>17275998.307692308</v>
      </c>
      <c r="G238" s="525">
        <f t="shared" si="51"/>
        <v>17275998.307692312</v>
      </c>
      <c r="H238" s="113">
        <f t="shared" si="54"/>
        <v>57285</v>
      </c>
      <c r="I238" s="524">
        <f t="shared" si="48"/>
        <v>-10437084.158461537</v>
      </c>
      <c r="J238" s="525">
        <f t="shared" si="53"/>
        <v>-10093374.158461539</v>
      </c>
      <c r="K238" s="526">
        <f t="shared" si="59"/>
        <v>6838914.1492307708</v>
      </c>
      <c r="L238" s="525">
        <f t="shared" si="55"/>
        <v>-2393619.9522307697</v>
      </c>
      <c r="M238" s="525">
        <f t="shared" si="61"/>
        <v>-20049.75</v>
      </c>
      <c r="N238" s="529"/>
      <c r="O238" s="525">
        <f t="shared" si="58"/>
        <v>0</v>
      </c>
      <c r="P238" s="529">
        <f t="shared" si="49"/>
        <v>6838914.1492307708</v>
      </c>
      <c r="Q238" s="528"/>
      <c r="R238" s="528"/>
      <c r="S238" s="528"/>
      <c r="T238" s="528"/>
      <c r="U238" s="529">
        <f t="shared" si="60"/>
        <v>-2393619.8747564103</v>
      </c>
      <c r="V238" s="525">
        <f t="shared" si="45"/>
        <v>-2513918.3747564103</v>
      </c>
      <c r="W238" s="530">
        <f t="shared" si="46"/>
        <v>4668705.7744743619</v>
      </c>
      <c r="X238" s="255">
        <f t="shared" si="56"/>
        <v>4445294.27447436</v>
      </c>
      <c r="Y238" s="136">
        <f t="shared" si="57"/>
        <v>7182624.1492307726</v>
      </c>
      <c r="Z238" s="548"/>
    </row>
    <row r="239" spans="1:26">
      <c r="A239" s="131"/>
      <c r="B239" s="2" t="s">
        <v>386</v>
      </c>
      <c r="C239" s="131"/>
      <c r="D239" s="115"/>
      <c r="E239" s="113"/>
      <c r="F239" s="113">
        <f t="shared" si="50"/>
        <v>17275998.307692308</v>
      </c>
      <c r="G239" s="525">
        <f t="shared" si="51"/>
        <v>17275998.307692312</v>
      </c>
      <c r="H239" s="113">
        <f t="shared" si="54"/>
        <v>57285</v>
      </c>
      <c r="I239" s="524">
        <f t="shared" si="48"/>
        <v>-10494369.158461537</v>
      </c>
      <c r="J239" s="525">
        <f t="shared" si="53"/>
        <v>-10150659.158461539</v>
      </c>
      <c r="K239" s="526">
        <f t="shared" si="59"/>
        <v>6781629.1492307708</v>
      </c>
      <c r="L239" s="525">
        <f t="shared" si="55"/>
        <v>-2373570.2022307697</v>
      </c>
      <c r="M239" s="525">
        <f t="shared" si="61"/>
        <v>-20049.75</v>
      </c>
      <c r="N239" s="529"/>
      <c r="O239" s="525">
        <f t="shared" si="58"/>
        <v>0</v>
      </c>
      <c r="P239" s="529">
        <f t="shared" si="49"/>
        <v>6781629.1492307708</v>
      </c>
      <c r="Q239" s="528"/>
      <c r="R239" s="528"/>
      <c r="S239" s="528"/>
      <c r="T239" s="528"/>
      <c r="U239" s="529">
        <f t="shared" si="60"/>
        <v>-2373570.1247564103</v>
      </c>
      <c r="V239" s="525">
        <f t="shared" si="45"/>
        <v>-2493868.6247564103</v>
      </c>
      <c r="W239" s="530">
        <f t="shared" si="46"/>
        <v>4631470.5244743619</v>
      </c>
      <c r="X239" s="255">
        <f t="shared" si="56"/>
        <v>4408059.02447436</v>
      </c>
      <c r="Y239" s="136">
        <f t="shared" si="57"/>
        <v>7125339.1492307726</v>
      </c>
      <c r="Z239" s="548"/>
    </row>
    <row r="240" spans="1:26">
      <c r="A240" s="131"/>
      <c r="B240" s="2" t="s">
        <v>387</v>
      </c>
      <c r="C240" s="131"/>
      <c r="D240" s="115"/>
      <c r="E240" s="113"/>
      <c r="F240" s="113">
        <f t="shared" si="50"/>
        <v>17275998.307692308</v>
      </c>
      <c r="G240" s="525">
        <f t="shared" si="51"/>
        <v>17275998.307692312</v>
      </c>
      <c r="H240" s="113">
        <f t="shared" si="54"/>
        <v>57285</v>
      </c>
      <c r="I240" s="524">
        <f t="shared" si="48"/>
        <v>-10551654.158461537</v>
      </c>
      <c r="J240" s="525">
        <f t="shared" si="53"/>
        <v>-10207944.158461539</v>
      </c>
      <c r="K240" s="526">
        <f t="shared" si="59"/>
        <v>6724344.1492307708</v>
      </c>
      <c r="L240" s="525">
        <f t="shared" si="55"/>
        <v>-2353520.4522307697</v>
      </c>
      <c r="M240" s="525">
        <f t="shared" si="61"/>
        <v>-20049.75</v>
      </c>
      <c r="N240" s="529"/>
      <c r="O240" s="525">
        <f t="shared" si="58"/>
        <v>0</v>
      </c>
      <c r="P240" s="529">
        <f t="shared" si="49"/>
        <v>6724344.1492307708</v>
      </c>
      <c r="Q240" s="528"/>
      <c r="R240" s="528"/>
      <c r="S240" s="528"/>
      <c r="T240" s="528"/>
      <c r="U240" s="529">
        <f t="shared" si="60"/>
        <v>-2353520.3747564103</v>
      </c>
      <c r="V240" s="525">
        <f t="shared" si="45"/>
        <v>-2473818.8747564103</v>
      </c>
      <c r="W240" s="530">
        <f t="shared" si="46"/>
        <v>4594235.2744743619</v>
      </c>
      <c r="X240" s="255">
        <f t="shared" si="56"/>
        <v>4370823.77447436</v>
      </c>
      <c r="Y240" s="136">
        <f t="shared" si="57"/>
        <v>7068054.1492307726</v>
      </c>
      <c r="Z240" s="548"/>
    </row>
    <row r="241" spans="1:26">
      <c r="A241" s="131"/>
      <c r="B241" s="2" t="s">
        <v>388</v>
      </c>
      <c r="C241" s="131"/>
      <c r="D241" s="115"/>
      <c r="E241" s="113"/>
      <c r="F241" s="113">
        <f t="shared" si="50"/>
        <v>17275998.307692308</v>
      </c>
      <c r="G241" s="525">
        <f t="shared" si="51"/>
        <v>17275998.307692312</v>
      </c>
      <c r="H241" s="113">
        <f t="shared" si="54"/>
        <v>57285</v>
      </c>
      <c r="I241" s="524">
        <f t="shared" si="48"/>
        <v>-10608939.158461537</v>
      </c>
      <c r="J241" s="525">
        <f t="shared" si="53"/>
        <v>-10265229.158461539</v>
      </c>
      <c r="K241" s="526">
        <f t="shared" si="59"/>
        <v>6667059.1492307708</v>
      </c>
      <c r="L241" s="525">
        <f t="shared" si="55"/>
        <v>-2333470.7022307697</v>
      </c>
      <c r="M241" s="525">
        <f t="shared" si="61"/>
        <v>-20049.75</v>
      </c>
      <c r="N241" s="529"/>
      <c r="O241" s="525">
        <f t="shared" si="58"/>
        <v>0</v>
      </c>
      <c r="P241" s="529">
        <f t="shared" si="49"/>
        <v>6667059.1492307708</v>
      </c>
      <c r="Q241" s="528"/>
      <c r="R241" s="528"/>
      <c r="S241" s="528"/>
      <c r="T241" s="528"/>
      <c r="U241" s="529">
        <f t="shared" si="60"/>
        <v>-2333470.6247564103</v>
      </c>
      <c r="V241" s="525">
        <f t="shared" si="45"/>
        <v>-2453769.1247564103</v>
      </c>
      <c r="W241" s="530">
        <f t="shared" si="46"/>
        <v>4557000.0244743619</v>
      </c>
      <c r="X241" s="255">
        <f t="shared" si="56"/>
        <v>4333588.52447436</v>
      </c>
      <c r="Y241" s="136">
        <f t="shared" si="57"/>
        <v>7010769.1492307726</v>
      </c>
      <c r="Z241" s="548"/>
    </row>
    <row r="242" spans="1:26">
      <c r="A242" s="131"/>
      <c r="B242" s="2" t="s">
        <v>389</v>
      </c>
      <c r="C242" s="131"/>
      <c r="D242" s="115"/>
      <c r="E242" s="113"/>
      <c r="F242" s="113">
        <f t="shared" si="50"/>
        <v>17275998.307692308</v>
      </c>
      <c r="G242" s="525">
        <f t="shared" si="51"/>
        <v>17275998.307692312</v>
      </c>
      <c r="H242" s="113">
        <f t="shared" si="54"/>
        <v>57285</v>
      </c>
      <c r="I242" s="524">
        <f t="shared" si="48"/>
        <v>-10666224.158461537</v>
      </c>
      <c r="J242" s="525">
        <f t="shared" si="53"/>
        <v>-10322514.158461539</v>
      </c>
      <c r="K242" s="526">
        <f t="shared" si="59"/>
        <v>6609774.1492307708</v>
      </c>
      <c r="L242" s="525">
        <f t="shared" si="55"/>
        <v>-2313420.9522307697</v>
      </c>
      <c r="M242" s="525">
        <f t="shared" si="61"/>
        <v>-20049.75</v>
      </c>
      <c r="N242" s="529"/>
      <c r="O242" s="525">
        <f t="shared" si="58"/>
        <v>0</v>
      </c>
      <c r="P242" s="529">
        <f t="shared" si="49"/>
        <v>6609774.1492307708</v>
      </c>
      <c r="Q242" s="528"/>
      <c r="R242" s="528"/>
      <c r="S242" s="528"/>
      <c r="T242" s="528"/>
      <c r="U242" s="529">
        <f t="shared" si="60"/>
        <v>-2313420.8747564103</v>
      </c>
      <c r="V242" s="525">
        <f t="shared" ref="V242:V305" si="62">(U230+U242+SUM(U231:U241)*2)/24</f>
        <v>-2433719.3747564103</v>
      </c>
      <c r="W242" s="530">
        <f t="shared" ref="W242:W305" si="63">G242+J242+V242</f>
        <v>4519764.7744743619</v>
      </c>
      <c r="X242" s="255">
        <f t="shared" si="56"/>
        <v>4296353.27447436</v>
      </c>
      <c r="Y242" s="136">
        <f t="shared" si="57"/>
        <v>6953484.1492307726</v>
      </c>
      <c r="Z242" s="548"/>
    </row>
    <row r="243" spans="1:26">
      <c r="A243" s="131"/>
      <c r="B243" s="2" t="s">
        <v>390</v>
      </c>
      <c r="C243" s="131"/>
      <c r="D243" s="115"/>
      <c r="E243" s="113"/>
      <c r="F243" s="113">
        <f t="shared" si="50"/>
        <v>17275998.307692308</v>
      </c>
      <c r="G243" s="525">
        <f t="shared" si="51"/>
        <v>17275998.307692312</v>
      </c>
      <c r="H243" s="113">
        <f t="shared" si="54"/>
        <v>57285</v>
      </c>
      <c r="I243" s="524">
        <f t="shared" si="48"/>
        <v>-10723509.158461537</v>
      </c>
      <c r="J243" s="525">
        <f t="shared" si="53"/>
        <v>-10379799.158461539</v>
      </c>
      <c r="K243" s="526">
        <f t="shared" si="59"/>
        <v>6552489.1492307708</v>
      </c>
      <c r="L243" s="525">
        <f t="shared" si="55"/>
        <v>-2293371.2022307697</v>
      </c>
      <c r="M243" s="525">
        <f t="shared" si="61"/>
        <v>-20049.75</v>
      </c>
      <c r="N243" s="529"/>
      <c r="O243" s="525">
        <f t="shared" si="58"/>
        <v>0</v>
      </c>
      <c r="P243" s="529">
        <f t="shared" si="49"/>
        <v>6552489.1492307708</v>
      </c>
      <c r="Q243" s="528"/>
      <c r="R243" s="528"/>
      <c r="S243" s="528"/>
      <c r="T243" s="528"/>
      <c r="U243" s="529">
        <f t="shared" si="60"/>
        <v>-2293371.1247564103</v>
      </c>
      <c r="V243" s="525">
        <f t="shared" si="62"/>
        <v>-2413669.6247564103</v>
      </c>
      <c r="W243" s="530">
        <f t="shared" si="63"/>
        <v>4482529.5244743619</v>
      </c>
      <c r="X243" s="255">
        <f t="shared" si="56"/>
        <v>4259118.02447436</v>
      </c>
      <c r="Y243" s="136">
        <f t="shared" si="57"/>
        <v>6896199.1492307726</v>
      </c>
      <c r="Z243" s="548"/>
    </row>
    <row r="244" spans="1:26">
      <c r="A244" s="131"/>
      <c r="B244" s="2" t="s">
        <v>391</v>
      </c>
      <c r="C244" s="131"/>
      <c r="D244" s="115"/>
      <c r="E244" s="113"/>
      <c r="F244" s="113">
        <f t="shared" si="50"/>
        <v>17275998.307692308</v>
      </c>
      <c r="G244" s="525">
        <f t="shared" si="51"/>
        <v>17275998.307692312</v>
      </c>
      <c r="H244" s="113">
        <f t="shared" si="54"/>
        <v>57285</v>
      </c>
      <c r="I244" s="524">
        <f t="shared" si="48"/>
        <v>-10780794.158461537</v>
      </c>
      <c r="J244" s="525">
        <f t="shared" si="53"/>
        <v>-10437084.158461539</v>
      </c>
      <c r="K244" s="526">
        <f t="shared" si="59"/>
        <v>6495204.1492307708</v>
      </c>
      <c r="L244" s="525">
        <f t="shared" si="55"/>
        <v>-2273321.4522307697</v>
      </c>
      <c r="M244" s="525">
        <f t="shared" si="61"/>
        <v>-20049.75</v>
      </c>
      <c r="N244" s="529"/>
      <c r="O244" s="525">
        <f t="shared" si="58"/>
        <v>0</v>
      </c>
      <c r="P244" s="529">
        <f t="shared" si="49"/>
        <v>6495204.1492307708</v>
      </c>
      <c r="Q244" s="528"/>
      <c r="R244" s="528"/>
      <c r="S244" s="528"/>
      <c r="T244" s="528"/>
      <c r="U244" s="529">
        <f t="shared" si="60"/>
        <v>-2273321.3747564103</v>
      </c>
      <c r="V244" s="525">
        <f t="shared" si="62"/>
        <v>-2393619.8747564103</v>
      </c>
      <c r="W244" s="530">
        <f t="shared" si="63"/>
        <v>4445294.2744743619</v>
      </c>
      <c r="X244" s="255">
        <f t="shared" si="56"/>
        <v>4221882.77447436</v>
      </c>
      <c r="Y244" s="136">
        <f t="shared" si="57"/>
        <v>6838914.1492307726</v>
      </c>
      <c r="Z244" s="548"/>
    </row>
    <row r="245" spans="1:26">
      <c r="A245" s="131"/>
      <c r="B245" s="2" t="s">
        <v>392</v>
      </c>
      <c r="C245" s="131"/>
      <c r="D245" s="115"/>
      <c r="E245" s="113"/>
      <c r="F245" s="113">
        <f t="shared" si="50"/>
        <v>17275998.307692308</v>
      </c>
      <c r="G245" s="525">
        <f t="shared" si="51"/>
        <v>17275998.307692312</v>
      </c>
      <c r="H245" s="113">
        <f t="shared" si="54"/>
        <v>57285</v>
      </c>
      <c r="I245" s="524">
        <f t="shared" si="48"/>
        <v>-10838079.158461537</v>
      </c>
      <c r="J245" s="525">
        <f t="shared" si="53"/>
        <v>-10494369.158461539</v>
      </c>
      <c r="K245" s="526">
        <f t="shared" si="59"/>
        <v>6437919.1492307708</v>
      </c>
      <c r="L245" s="525">
        <f t="shared" si="55"/>
        <v>-2253271.7022307697</v>
      </c>
      <c r="M245" s="525">
        <f t="shared" si="61"/>
        <v>-20049.75</v>
      </c>
      <c r="N245" s="529"/>
      <c r="O245" s="525">
        <f t="shared" si="58"/>
        <v>0</v>
      </c>
      <c r="P245" s="529">
        <f t="shared" si="49"/>
        <v>6437919.1492307708</v>
      </c>
      <c r="Q245" s="528"/>
      <c r="R245" s="528"/>
      <c r="S245" s="528"/>
      <c r="T245" s="528"/>
      <c r="U245" s="529">
        <f t="shared" si="60"/>
        <v>-2253271.6247564103</v>
      </c>
      <c r="V245" s="525">
        <f t="shared" si="62"/>
        <v>-2373570.1247564103</v>
      </c>
      <c r="W245" s="530">
        <f t="shared" si="63"/>
        <v>4408059.0244743619</v>
      </c>
      <c r="X245" s="255">
        <f t="shared" si="56"/>
        <v>4184647.5244743605</v>
      </c>
      <c r="Y245" s="136">
        <f t="shared" si="57"/>
        <v>6781629.1492307726</v>
      </c>
      <c r="Z245" s="548"/>
    </row>
    <row r="246" spans="1:26">
      <c r="A246" s="131"/>
      <c r="B246" s="2" t="s">
        <v>393</v>
      </c>
      <c r="C246" s="131"/>
      <c r="D246" s="115"/>
      <c r="E246" s="113"/>
      <c r="F246" s="113">
        <f t="shared" si="50"/>
        <v>17275998.307692308</v>
      </c>
      <c r="G246" s="525">
        <f t="shared" si="51"/>
        <v>17275998.307692312</v>
      </c>
      <c r="H246" s="113">
        <f t="shared" si="54"/>
        <v>57285</v>
      </c>
      <c r="I246" s="524">
        <f t="shared" si="48"/>
        <v>-10895364.158461537</v>
      </c>
      <c r="J246" s="525">
        <f t="shared" si="53"/>
        <v>-10551654.158461539</v>
      </c>
      <c r="K246" s="526">
        <f t="shared" si="59"/>
        <v>6380634.1492307708</v>
      </c>
      <c r="L246" s="525">
        <f t="shared" si="55"/>
        <v>-2233221.9522307697</v>
      </c>
      <c r="M246" s="525">
        <f t="shared" si="61"/>
        <v>-20049.75</v>
      </c>
      <c r="N246" s="529"/>
      <c r="O246" s="525">
        <f t="shared" si="58"/>
        <v>0</v>
      </c>
      <c r="P246" s="529">
        <f t="shared" si="49"/>
        <v>6380634.1492307708</v>
      </c>
      <c r="Q246" s="528"/>
      <c r="R246" s="528"/>
      <c r="S246" s="528"/>
      <c r="T246" s="528"/>
      <c r="U246" s="529">
        <f t="shared" si="60"/>
        <v>-2233221.8747564103</v>
      </c>
      <c r="V246" s="525">
        <f t="shared" si="62"/>
        <v>-2353520.3747564103</v>
      </c>
      <c r="W246" s="530">
        <f t="shared" si="63"/>
        <v>4370823.7744743619</v>
      </c>
      <c r="X246" s="255">
        <f t="shared" si="56"/>
        <v>4147412.2744743605</v>
      </c>
      <c r="Y246" s="136">
        <f t="shared" si="57"/>
        <v>6724344.1492307726</v>
      </c>
      <c r="Z246" s="548"/>
    </row>
    <row r="247" spans="1:26">
      <c r="A247" s="131"/>
      <c r="B247" s="2" t="s">
        <v>394</v>
      </c>
      <c r="C247" s="131"/>
      <c r="D247" s="115"/>
      <c r="E247" s="113"/>
      <c r="F247" s="113">
        <f t="shared" si="50"/>
        <v>17275998.307692308</v>
      </c>
      <c r="G247" s="525">
        <f t="shared" si="51"/>
        <v>17275998.307692312</v>
      </c>
      <c r="H247" s="113">
        <f t="shared" si="54"/>
        <v>57285</v>
      </c>
      <c r="I247" s="524">
        <f t="shared" ref="I247:I310" si="64">I246-H247</f>
        <v>-10952649.158461537</v>
      </c>
      <c r="J247" s="525">
        <f t="shared" si="53"/>
        <v>-10608939.158461539</v>
      </c>
      <c r="K247" s="526">
        <f t="shared" si="59"/>
        <v>6323349.1492307708</v>
      </c>
      <c r="L247" s="525">
        <f t="shared" si="55"/>
        <v>-2213172.2022307697</v>
      </c>
      <c r="M247" s="525">
        <f t="shared" si="61"/>
        <v>-20049.75</v>
      </c>
      <c r="N247" s="529"/>
      <c r="O247" s="525">
        <f t="shared" si="58"/>
        <v>0</v>
      </c>
      <c r="P247" s="529">
        <f t="shared" si="49"/>
        <v>6323349.1492307708</v>
      </c>
      <c r="Q247" s="528"/>
      <c r="R247" s="528"/>
      <c r="S247" s="528"/>
      <c r="T247" s="528"/>
      <c r="U247" s="529">
        <f t="shared" si="60"/>
        <v>-2213172.1247564103</v>
      </c>
      <c r="V247" s="525">
        <f t="shared" si="62"/>
        <v>-2333470.6247564103</v>
      </c>
      <c r="W247" s="530">
        <f t="shared" si="63"/>
        <v>4333588.5244743619</v>
      </c>
      <c r="X247" s="255">
        <f t="shared" si="56"/>
        <v>4110177.0244743605</v>
      </c>
      <c r="Y247" s="136">
        <f t="shared" si="57"/>
        <v>6667059.1492307726</v>
      </c>
      <c r="Z247" s="548"/>
    </row>
    <row r="248" spans="1:26">
      <c r="A248" s="131"/>
      <c r="B248" s="2" t="s">
        <v>395</v>
      </c>
      <c r="C248" s="131"/>
      <c r="D248" s="115"/>
      <c r="E248" s="113"/>
      <c r="F248" s="113">
        <f t="shared" si="50"/>
        <v>17275998.307692308</v>
      </c>
      <c r="G248" s="525">
        <f t="shared" si="51"/>
        <v>17275998.307692312</v>
      </c>
      <c r="H248" s="113">
        <f t="shared" si="54"/>
        <v>57285</v>
      </c>
      <c r="I248" s="524">
        <f t="shared" si="64"/>
        <v>-11009934.158461537</v>
      </c>
      <c r="J248" s="525">
        <f t="shared" si="53"/>
        <v>-10666224.158461539</v>
      </c>
      <c r="K248" s="526">
        <f t="shared" si="59"/>
        <v>6266064.1492307708</v>
      </c>
      <c r="L248" s="525">
        <f t="shared" si="55"/>
        <v>-2193122.4522307697</v>
      </c>
      <c r="M248" s="525">
        <f t="shared" si="61"/>
        <v>-20049.75</v>
      </c>
      <c r="N248" s="529"/>
      <c r="O248" s="525">
        <f t="shared" si="58"/>
        <v>0</v>
      </c>
      <c r="P248" s="529">
        <f t="shared" si="49"/>
        <v>6266064.1492307708</v>
      </c>
      <c r="Q248" s="528"/>
      <c r="R248" s="528"/>
      <c r="S248" s="528"/>
      <c r="T248" s="528"/>
      <c r="U248" s="529">
        <f t="shared" si="60"/>
        <v>-2193122.3747564103</v>
      </c>
      <c r="V248" s="525">
        <f t="shared" si="62"/>
        <v>-2313420.8747564103</v>
      </c>
      <c r="W248" s="530">
        <f t="shared" si="63"/>
        <v>4296353.2744743619</v>
      </c>
      <c r="X248" s="255">
        <f t="shared" si="56"/>
        <v>4072941.7744743605</v>
      </c>
      <c r="Y248" s="136">
        <f t="shared" si="57"/>
        <v>6609774.1492307726</v>
      </c>
      <c r="Z248" s="548"/>
    </row>
    <row r="249" spans="1:26">
      <c r="A249" s="131"/>
      <c r="B249" s="2" t="s">
        <v>396</v>
      </c>
      <c r="C249" s="131"/>
      <c r="D249" s="115"/>
      <c r="E249" s="113"/>
      <c r="F249" s="113">
        <f t="shared" si="50"/>
        <v>17275998.307692308</v>
      </c>
      <c r="G249" s="525">
        <f t="shared" si="51"/>
        <v>17275998.307692312</v>
      </c>
      <c r="H249" s="113">
        <f t="shared" si="54"/>
        <v>57285</v>
      </c>
      <c r="I249" s="524">
        <f t="shared" si="64"/>
        <v>-11067219.158461537</v>
      </c>
      <c r="J249" s="525">
        <f t="shared" si="53"/>
        <v>-10723509.158461539</v>
      </c>
      <c r="K249" s="526">
        <f t="shared" si="59"/>
        <v>6208779.1492307708</v>
      </c>
      <c r="L249" s="525">
        <f t="shared" si="55"/>
        <v>-2173072.7022307697</v>
      </c>
      <c r="M249" s="525">
        <f t="shared" si="61"/>
        <v>-20049.75</v>
      </c>
      <c r="N249" s="529"/>
      <c r="O249" s="525">
        <f t="shared" si="58"/>
        <v>0</v>
      </c>
      <c r="P249" s="529">
        <f t="shared" ref="P249:P312" si="65">K249+O249</f>
        <v>6208779.1492307708</v>
      </c>
      <c r="Q249" s="528"/>
      <c r="R249" s="528"/>
      <c r="S249" s="528"/>
      <c r="T249" s="528"/>
      <c r="U249" s="529">
        <f t="shared" si="60"/>
        <v>-2173072.6247564103</v>
      </c>
      <c r="V249" s="525">
        <f t="shared" si="62"/>
        <v>-2293371.1247564103</v>
      </c>
      <c r="W249" s="530">
        <f t="shared" si="63"/>
        <v>4259118.0244743619</v>
      </c>
      <c r="X249" s="255">
        <f t="shared" si="56"/>
        <v>4035706.5244743605</v>
      </c>
      <c r="Y249" s="136">
        <f t="shared" si="57"/>
        <v>6552489.1492307726</v>
      </c>
      <c r="Z249" s="548"/>
    </row>
    <row r="250" spans="1:26">
      <c r="A250" s="131"/>
      <c r="B250" s="2" t="s">
        <v>397</v>
      </c>
      <c r="C250" s="131"/>
      <c r="D250" s="115"/>
      <c r="E250" s="113"/>
      <c r="F250" s="113">
        <f t="shared" ref="F250:F313" si="66">F249</f>
        <v>17275998.307692308</v>
      </c>
      <c r="G250" s="525">
        <f t="shared" ref="G250:G313" si="67">(F238+F250+SUM(F239:F249)*2)/24</f>
        <v>17275998.307692312</v>
      </c>
      <c r="H250" s="113">
        <f t="shared" si="54"/>
        <v>57285</v>
      </c>
      <c r="I250" s="524">
        <f t="shared" si="64"/>
        <v>-11124504.158461537</v>
      </c>
      <c r="J250" s="525">
        <f t="shared" si="53"/>
        <v>-10780794.158461539</v>
      </c>
      <c r="K250" s="526">
        <f t="shared" si="59"/>
        <v>6151494.1492307708</v>
      </c>
      <c r="L250" s="525">
        <f t="shared" si="55"/>
        <v>-2153022.9522307697</v>
      </c>
      <c r="M250" s="525">
        <f t="shared" si="61"/>
        <v>-20049.75</v>
      </c>
      <c r="N250" s="529"/>
      <c r="O250" s="525">
        <f t="shared" si="58"/>
        <v>0</v>
      </c>
      <c r="P250" s="529">
        <f t="shared" si="65"/>
        <v>6151494.1492307708</v>
      </c>
      <c r="Q250" s="528"/>
      <c r="R250" s="528"/>
      <c r="S250" s="528"/>
      <c r="T250" s="528"/>
      <c r="U250" s="529">
        <f t="shared" si="60"/>
        <v>-2153022.8747564103</v>
      </c>
      <c r="V250" s="525">
        <f t="shared" si="62"/>
        <v>-2273321.3747564103</v>
      </c>
      <c r="W250" s="530">
        <f t="shared" si="63"/>
        <v>4221882.7744743619</v>
      </c>
      <c r="X250" s="255">
        <f t="shared" si="56"/>
        <v>3998471.2744743605</v>
      </c>
      <c r="Y250" s="136">
        <f t="shared" si="57"/>
        <v>6495204.1492307726</v>
      </c>
      <c r="Z250" s="548"/>
    </row>
    <row r="251" spans="1:26">
      <c r="A251" s="131"/>
      <c r="B251" s="2" t="s">
        <v>398</v>
      </c>
      <c r="C251" s="131"/>
      <c r="D251" s="115"/>
      <c r="E251" s="113"/>
      <c r="F251" s="113">
        <f t="shared" si="66"/>
        <v>17275998.307692308</v>
      </c>
      <c r="G251" s="525">
        <f t="shared" si="67"/>
        <v>17275998.307692312</v>
      </c>
      <c r="H251" s="113">
        <f t="shared" si="54"/>
        <v>57285</v>
      </c>
      <c r="I251" s="524">
        <f t="shared" si="64"/>
        <v>-11181789.158461537</v>
      </c>
      <c r="J251" s="525">
        <f t="shared" ref="J251:J314" si="68">(I239+I251+SUM(I240:I250)*2)/24</f>
        <v>-10838079.158461539</v>
      </c>
      <c r="K251" s="526">
        <f t="shared" si="59"/>
        <v>6094209.1492307708</v>
      </c>
      <c r="L251" s="525">
        <f t="shared" si="55"/>
        <v>-2132973.2022307697</v>
      </c>
      <c r="M251" s="525">
        <f t="shared" si="61"/>
        <v>-20049.75</v>
      </c>
      <c r="N251" s="529"/>
      <c r="O251" s="525">
        <f t="shared" si="58"/>
        <v>0</v>
      </c>
      <c r="P251" s="529">
        <f t="shared" si="65"/>
        <v>6094209.1492307708</v>
      </c>
      <c r="Q251" s="528"/>
      <c r="R251" s="528"/>
      <c r="S251" s="528"/>
      <c r="T251" s="528"/>
      <c r="U251" s="529">
        <f t="shared" si="60"/>
        <v>-2132973.1247564103</v>
      </c>
      <c r="V251" s="525">
        <f t="shared" si="62"/>
        <v>-2253271.6247564103</v>
      </c>
      <c r="W251" s="530">
        <f t="shared" si="63"/>
        <v>4184647.5244743624</v>
      </c>
      <c r="X251" s="255">
        <f t="shared" si="56"/>
        <v>3961236.0244743605</v>
      </c>
      <c r="Y251" s="136">
        <f t="shared" si="57"/>
        <v>6437919.1492307726</v>
      </c>
      <c r="Z251" s="548"/>
    </row>
    <row r="252" spans="1:26">
      <c r="A252" s="131"/>
      <c r="B252" s="2" t="s">
        <v>399</v>
      </c>
      <c r="C252" s="131"/>
      <c r="D252" s="115"/>
      <c r="E252" s="113"/>
      <c r="F252" s="113">
        <f t="shared" si="66"/>
        <v>17275998.307692308</v>
      </c>
      <c r="G252" s="525">
        <f t="shared" si="67"/>
        <v>17275998.307692312</v>
      </c>
      <c r="H252" s="113">
        <f t="shared" si="54"/>
        <v>57285</v>
      </c>
      <c r="I252" s="524">
        <f t="shared" si="64"/>
        <v>-11239074.158461537</v>
      </c>
      <c r="J252" s="525">
        <f t="shared" si="68"/>
        <v>-10895364.158461539</v>
      </c>
      <c r="K252" s="526">
        <f t="shared" si="59"/>
        <v>6036924.1492307708</v>
      </c>
      <c r="L252" s="525">
        <f t="shared" si="55"/>
        <v>-2112923.4522307697</v>
      </c>
      <c r="M252" s="525">
        <f t="shared" si="61"/>
        <v>-20049.75</v>
      </c>
      <c r="N252" s="529"/>
      <c r="O252" s="525">
        <f t="shared" si="58"/>
        <v>0</v>
      </c>
      <c r="P252" s="529">
        <f t="shared" si="65"/>
        <v>6036924.1492307708</v>
      </c>
      <c r="Q252" s="528"/>
      <c r="R252" s="528"/>
      <c r="S252" s="528"/>
      <c r="T252" s="528"/>
      <c r="U252" s="529">
        <f t="shared" si="60"/>
        <v>-2112923.3747564103</v>
      </c>
      <c r="V252" s="525">
        <f t="shared" si="62"/>
        <v>-2233221.8747564103</v>
      </c>
      <c r="W252" s="530">
        <f t="shared" si="63"/>
        <v>4147412.2744743624</v>
      </c>
      <c r="X252" s="255">
        <f t="shared" si="56"/>
        <v>3924000.7744743605</v>
      </c>
      <c r="Y252" s="136">
        <f t="shared" si="57"/>
        <v>6380634.1492307726</v>
      </c>
      <c r="Z252" s="548"/>
    </row>
    <row r="253" spans="1:26">
      <c r="A253" s="131"/>
      <c r="B253" s="2" t="s">
        <v>400</v>
      </c>
      <c r="C253" s="131"/>
      <c r="D253" s="115"/>
      <c r="E253" s="113"/>
      <c r="F253" s="113">
        <f t="shared" si="66"/>
        <v>17275998.307692308</v>
      </c>
      <c r="G253" s="525">
        <f t="shared" si="67"/>
        <v>17275998.307692312</v>
      </c>
      <c r="H253" s="113">
        <f t="shared" si="54"/>
        <v>57285</v>
      </c>
      <c r="I253" s="524">
        <f t="shared" si="64"/>
        <v>-11296359.158461537</v>
      </c>
      <c r="J253" s="525">
        <f t="shared" si="68"/>
        <v>-10952649.158461539</v>
      </c>
      <c r="K253" s="526">
        <f t="shared" si="59"/>
        <v>5979639.1492307708</v>
      </c>
      <c r="L253" s="525">
        <f t="shared" si="55"/>
        <v>-2092873.7022307697</v>
      </c>
      <c r="M253" s="525">
        <f t="shared" si="61"/>
        <v>-20049.75</v>
      </c>
      <c r="N253" s="529"/>
      <c r="O253" s="525">
        <f t="shared" si="58"/>
        <v>0</v>
      </c>
      <c r="P253" s="529">
        <f t="shared" si="65"/>
        <v>5979639.1492307708</v>
      </c>
      <c r="Q253" s="528"/>
      <c r="R253" s="528"/>
      <c r="S253" s="528"/>
      <c r="T253" s="528"/>
      <c r="U253" s="529">
        <f t="shared" si="60"/>
        <v>-2092873.6247564103</v>
      </c>
      <c r="V253" s="525">
        <f t="shared" si="62"/>
        <v>-2213172.1247564103</v>
      </c>
      <c r="W253" s="530">
        <f t="shared" si="63"/>
        <v>4110177.0244743624</v>
      </c>
      <c r="X253" s="255">
        <f t="shared" si="56"/>
        <v>3886765.5244743605</v>
      </c>
      <c r="Y253" s="136">
        <f t="shared" si="57"/>
        <v>6323349.1492307726</v>
      </c>
      <c r="Z253" s="548"/>
    </row>
    <row r="254" spans="1:26">
      <c r="A254" s="131"/>
      <c r="B254" s="2" t="s">
        <v>401</v>
      </c>
      <c r="C254" s="131"/>
      <c r="D254" s="531"/>
      <c r="E254" s="532"/>
      <c r="F254" s="113">
        <f t="shared" si="66"/>
        <v>17275998.307692308</v>
      </c>
      <c r="G254" s="525">
        <f t="shared" si="67"/>
        <v>17275998.307692312</v>
      </c>
      <c r="H254" s="113">
        <f t="shared" si="54"/>
        <v>57285</v>
      </c>
      <c r="I254" s="524">
        <f t="shared" si="64"/>
        <v>-11353644.158461537</v>
      </c>
      <c r="J254" s="525">
        <f t="shared" si="68"/>
        <v>-11009934.158461539</v>
      </c>
      <c r="K254" s="526">
        <f t="shared" si="59"/>
        <v>5922354.1492307708</v>
      </c>
      <c r="L254" s="525">
        <f t="shared" si="55"/>
        <v>-2072823.9522307697</v>
      </c>
      <c r="M254" s="525">
        <f t="shared" si="61"/>
        <v>-20049.75</v>
      </c>
      <c r="N254" s="529"/>
      <c r="O254" s="525">
        <f t="shared" si="58"/>
        <v>0</v>
      </c>
      <c r="P254" s="529">
        <f t="shared" si="65"/>
        <v>5922354.1492307708</v>
      </c>
      <c r="Q254" s="528"/>
      <c r="R254" s="528"/>
      <c r="S254" s="528"/>
      <c r="T254" s="528"/>
      <c r="U254" s="529">
        <f t="shared" si="60"/>
        <v>-2072823.8747564103</v>
      </c>
      <c r="V254" s="525">
        <f t="shared" si="62"/>
        <v>-2193122.3747564103</v>
      </c>
      <c r="W254" s="530">
        <f t="shared" si="63"/>
        <v>4072941.7744743624</v>
      </c>
      <c r="X254" s="255">
        <f t="shared" si="56"/>
        <v>3849530.2744743605</v>
      </c>
      <c r="Y254" s="136">
        <f t="shared" si="57"/>
        <v>6266064.1492307726</v>
      </c>
      <c r="Z254" s="548"/>
    </row>
    <row r="255" spans="1:26">
      <c r="A255" s="131"/>
      <c r="B255" s="2" t="s">
        <v>402</v>
      </c>
      <c r="C255" s="131"/>
      <c r="D255" s="531"/>
      <c r="E255" s="532"/>
      <c r="F255" s="113">
        <f t="shared" si="66"/>
        <v>17275998.307692308</v>
      </c>
      <c r="G255" s="525">
        <f t="shared" si="67"/>
        <v>17275998.307692312</v>
      </c>
      <c r="H255" s="113">
        <f t="shared" si="54"/>
        <v>57285</v>
      </c>
      <c r="I255" s="524">
        <f t="shared" si="64"/>
        <v>-11410929.158461537</v>
      </c>
      <c r="J255" s="525">
        <f t="shared" si="68"/>
        <v>-11067219.158461539</v>
      </c>
      <c r="K255" s="526">
        <f t="shared" si="59"/>
        <v>5865069.1492307708</v>
      </c>
      <c r="L255" s="525">
        <f t="shared" si="55"/>
        <v>-2052774.2022307697</v>
      </c>
      <c r="M255" s="525">
        <f t="shared" si="61"/>
        <v>-20049.75</v>
      </c>
      <c r="N255" s="529"/>
      <c r="O255" s="525">
        <f t="shared" si="58"/>
        <v>0</v>
      </c>
      <c r="P255" s="529">
        <f t="shared" si="65"/>
        <v>5865069.1492307708</v>
      </c>
      <c r="Q255" s="528"/>
      <c r="R255" s="528"/>
      <c r="S255" s="528"/>
      <c r="T255" s="528"/>
      <c r="U255" s="529">
        <f t="shared" si="60"/>
        <v>-2052774.1247564103</v>
      </c>
      <c r="V255" s="525">
        <f t="shared" si="62"/>
        <v>-2173072.6247564103</v>
      </c>
      <c r="W255" s="530">
        <f t="shared" si="63"/>
        <v>4035706.5244743624</v>
      </c>
      <c r="X255" s="255">
        <f t="shared" si="56"/>
        <v>3812295.0244743605</v>
      </c>
      <c r="Y255" s="136">
        <f t="shared" si="57"/>
        <v>6208779.1492307726</v>
      </c>
      <c r="Z255" s="548"/>
    </row>
    <row r="256" spans="1:26">
      <c r="A256" s="131"/>
      <c r="B256" s="2" t="s">
        <v>403</v>
      </c>
      <c r="C256" s="131"/>
      <c r="D256" s="531"/>
      <c r="E256" s="532"/>
      <c r="F256" s="113">
        <f t="shared" si="66"/>
        <v>17275998.307692308</v>
      </c>
      <c r="G256" s="525">
        <f t="shared" si="67"/>
        <v>17275998.307692312</v>
      </c>
      <c r="H256" s="113">
        <f t="shared" si="54"/>
        <v>57285</v>
      </c>
      <c r="I256" s="524">
        <f t="shared" si="64"/>
        <v>-11468214.158461537</v>
      </c>
      <c r="J256" s="525">
        <f t="shared" si="68"/>
        <v>-11124504.158461539</v>
      </c>
      <c r="K256" s="526">
        <f t="shared" si="59"/>
        <v>5807784.1492307708</v>
      </c>
      <c r="L256" s="525">
        <f t="shared" si="55"/>
        <v>-2032724.4522307697</v>
      </c>
      <c r="M256" s="525">
        <f t="shared" si="61"/>
        <v>-20049.75</v>
      </c>
      <c r="N256" s="529"/>
      <c r="O256" s="525">
        <f t="shared" si="58"/>
        <v>0</v>
      </c>
      <c r="P256" s="529">
        <f t="shared" si="65"/>
        <v>5807784.1492307708</v>
      </c>
      <c r="Q256" s="528"/>
      <c r="R256" s="528"/>
      <c r="S256" s="528"/>
      <c r="T256" s="528"/>
      <c r="U256" s="529">
        <f t="shared" si="60"/>
        <v>-2032724.3747564103</v>
      </c>
      <c r="V256" s="525">
        <f t="shared" si="62"/>
        <v>-2153022.8747564103</v>
      </c>
      <c r="W256" s="530">
        <f t="shared" si="63"/>
        <v>3998471.2744743624</v>
      </c>
      <c r="X256" s="255">
        <f t="shared" si="56"/>
        <v>3775059.7744743605</v>
      </c>
      <c r="Y256" s="136">
        <f t="shared" si="57"/>
        <v>6151494.1492307726</v>
      </c>
      <c r="Z256" s="548"/>
    </row>
    <row r="257" spans="1:26">
      <c r="A257" s="131"/>
      <c r="B257" s="2" t="s">
        <v>404</v>
      </c>
      <c r="C257" s="131"/>
      <c r="D257" s="531"/>
      <c r="E257" s="532"/>
      <c r="F257" s="113">
        <f t="shared" si="66"/>
        <v>17275998.307692308</v>
      </c>
      <c r="G257" s="525">
        <f t="shared" si="67"/>
        <v>17275998.307692312</v>
      </c>
      <c r="H257" s="113">
        <f t="shared" si="54"/>
        <v>57285</v>
      </c>
      <c r="I257" s="524">
        <f t="shared" si="64"/>
        <v>-11525499.158461537</v>
      </c>
      <c r="J257" s="525">
        <f t="shared" si="68"/>
        <v>-11181789.158461539</v>
      </c>
      <c r="K257" s="526">
        <f t="shared" si="59"/>
        <v>5750499.1492307708</v>
      </c>
      <c r="L257" s="525">
        <f t="shared" si="55"/>
        <v>-2012674.7022307697</v>
      </c>
      <c r="M257" s="525">
        <f t="shared" si="61"/>
        <v>-20049.75</v>
      </c>
      <c r="N257" s="529"/>
      <c r="O257" s="525">
        <f t="shared" si="58"/>
        <v>0</v>
      </c>
      <c r="P257" s="529">
        <f t="shared" si="65"/>
        <v>5750499.1492307708</v>
      </c>
      <c r="Q257" s="528"/>
      <c r="R257" s="528"/>
      <c r="S257" s="528"/>
      <c r="T257" s="528"/>
      <c r="U257" s="529">
        <f t="shared" si="60"/>
        <v>-2012674.6247564103</v>
      </c>
      <c r="V257" s="525">
        <f t="shared" si="62"/>
        <v>-2132973.1247564103</v>
      </c>
      <c r="W257" s="530">
        <f t="shared" si="63"/>
        <v>3961236.0244743624</v>
      </c>
      <c r="X257" s="255">
        <f t="shared" si="56"/>
        <v>3737824.5244743605</v>
      </c>
      <c r="Y257" s="136">
        <f t="shared" si="57"/>
        <v>6094209.1492307726</v>
      </c>
      <c r="Z257" s="548"/>
    </row>
    <row r="258" spans="1:26">
      <c r="A258" s="131"/>
      <c r="B258" s="2" t="s">
        <v>405</v>
      </c>
      <c r="C258" s="131"/>
      <c r="D258" s="531"/>
      <c r="E258" s="532"/>
      <c r="F258" s="113">
        <f t="shared" si="66"/>
        <v>17275998.307692308</v>
      </c>
      <c r="G258" s="525">
        <f t="shared" si="67"/>
        <v>17275998.307692312</v>
      </c>
      <c r="H258" s="113">
        <f t="shared" si="54"/>
        <v>57285</v>
      </c>
      <c r="I258" s="524">
        <f t="shared" si="64"/>
        <v>-11582784.158461537</v>
      </c>
      <c r="J258" s="525">
        <f t="shared" si="68"/>
        <v>-11239074.158461539</v>
      </c>
      <c r="K258" s="526">
        <f t="shared" si="59"/>
        <v>5693214.1492307708</v>
      </c>
      <c r="L258" s="525">
        <f t="shared" si="55"/>
        <v>-1992624.9522307697</v>
      </c>
      <c r="M258" s="525">
        <f t="shared" si="61"/>
        <v>-20049.75</v>
      </c>
      <c r="N258" s="529"/>
      <c r="O258" s="525">
        <f t="shared" si="58"/>
        <v>0</v>
      </c>
      <c r="P258" s="529">
        <f t="shared" si="65"/>
        <v>5693214.1492307708</v>
      </c>
      <c r="Q258" s="528"/>
      <c r="R258" s="528"/>
      <c r="S258" s="528"/>
      <c r="T258" s="528"/>
      <c r="U258" s="529">
        <f t="shared" si="60"/>
        <v>-1992624.8747564103</v>
      </c>
      <c r="V258" s="525">
        <f t="shared" si="62"/>
        <v>-2112923.3747564103</v>
      </c>
      <c r="W258" s="530">
        <f t="shared" si="63"/>
        <v>3924000.7744743624</v>
      </c>
      <c r="X258" s="255">
        <f t="shared" si="56"/>
        <v>3700589.2744743605</v>
      </c>
      <c r="Y258" s="136">
        <f t="shared" si="57"/>
        <v>6036924.1492307726</v>
      </c>
      <c r="Z258" s="548"/>
    </row>
    <row r="259" spans="1:26">
      <c r="A259" s="131"/>
      <c r="B259" s="2" t="s">
        <v>406</v>
      </c>
      <c r="C259" s="131"/>
      <c r="D259" s="531"/>
      <c r="E259" s="532"/>
      <c r="F259" s="113">
        <f t="shared" si="66"/>
        <v>17275998.307692308</v>
      </c>
      <c r="G259" s="525">
        <f t="shared" si="67"/>
        <v>17275998.307692312</v>
      </c>
      <c r="H259" s="113">
        <f t="shared" si="54"/>
        <v>57285</v>
      </c>
      <c r="I259" s="524">
        <f t="shared" si="64"/>
        <v>-11640069.158461537</v>
      </c>
      <c r="J259" s="525">
        <f t="shared" si="68"/>
        <v>-11296359.158461539</v>
      </c>
      <c r="K259" s="526">
        <f t="shared" si="59"/>
        <v>5635929.1492307708</v>
      </c>
      <c r="L259" s="525">
        <f t="shared" si="55"/>
        <v>-1972575.2022307697</v>
      </c>
      <c r="M259" s="525">
        <f t="shared" si="61"/>
        <v>-20049.75</v>
      </c>
      <c r="N259" s="529"/>
      <c r="O259" s="525">
        <f t="shared" si="58"/>
        <v>0</v>
      </c>
      <c r="P259" s="529">
        <f t="shared" si="65"/>
        <v>5635929.1492307708</v>
      </c>
      <c r="Q259" s="528"/>
      <c r="R259" s="528"/>
      <c r="S259" s="528"/>
      <c r="T259" s="528"/>
      <c r="U259" s="529">
        <f t="shared" si="60"/>
        <v>-1972575.1247564103</v>
      </c>
      <c r="V259" s="525">
        <f t="shared" si="62"/>
        <v>-2092873.6247564105</v>
      </c>
      <c r="W259" s="530">
        <f t="shared" si="63"/>
        <v>3886765.5244743619</v>
      </c>
      <c r="X259" s="255">
        <f t="shared" si="56"/>
        <v>3663354.0244743605</v>
      </c>
      <c r="Y259" s="136">
        <f t="shared" si="57"/>
        <v>5979639.1492307726</v>
      </c>
      <c r="Z259" s="548"/>
    </row>
    <row r="260" spans="1:26">
      <c r="A260" s="131"/>
      <c r="B260" s="2" t="s">
        <v>407</v>
      </c>
      <c r="C260" s="131"/>
      <c r="D260" s="531"/>
      <c r="E260" s="532"/>
      <c r="F260" s="113">
        <f t="shared" si="66"/>
        <v>17275998.307692308</v>
      </c>
      <c r="G260" s="525">
        <f t="shared" si="67"/>
        <v>17275998.307692312</v>
      </c>
      <c r="H260" s="113">
        <f t="shared" si="54"/>
        <v>57285</v>
      </c>
      <c r="I260" s="524">
        <f t="shared" si="64"/>
        <v>-11697354.158461537</v>
      </c>
      <c r="J260" s="525">
        <f t="shared" si="68"/>
        <v>-11353644.158461539</v>
      </c>
      <c r="K260" s="526">
        <f t="shared" si="59"/>
        <v>5578644.1492307708</v>
      </c>
      <c r="L260" s="525">
        <f t="shared" si="55"/>
        <v>-1952525.4522307697</v>
      </c>
      <c r="M260" s="525">
        <f t="shared" si="61"/>
        <v>-20049.75</v>
      </c>
      <c r="N260" s="529"/>
      <c r="O260" s="525">
        <f t="shared" si="58"/>
        <v>0</v>
      </c>
      <c r="P260" s="529">
        <f t="shared" si="65"/>
        <v>5578644.1492307708</v>
      </c>
      <c r="Q260" s="528"/>
      <c r="R260" s="528"/>
      <c r="S260" s="528"/>
      <c r="T260" s="528"/>
      <c r="U260" s="529">
        <f t="shared" si="60"/>
        <v>-1952525.3747564103</v>
      </c>
      <c r="V260" s="525">
        <f t="shared" si="62"/>
        <v>-2072823.8747564105</v>
      </c>
      <c r="W260" s="530">
        <f t="shared" si="63"/>
        <v>3849530.2744743619</v>
      </c>
      <c r="X260" s="255">
        <f t="shared" si="56"/>
        <v>3626118.7744743605</v>
      </c>
      <c r="Y260" s="136">
        <f t="shared" si="57"/>
        <v>5922354.1492307726</v>
      </c>
      <c r="Z260" s="548"/>
    </row>
    <row r="261" spans="1:26">
      <c r="A261" s="131"/>
      <c r="B261" s="2" t="s">
        <v>408</v>
      </c>
      <c r="C261" s="131"/>
      <c r="D261" s="531"/>
      <c r="E261" s="532"/>
      <c r="F261" s="113">
        <f t="shared" si="66"/>
        <v>17275998.307692308</v>
      </c>
      <c r="G261" s="525">
        <f t="shared" si="67"/>
        <v>17275998.307692312</v>
      </c>
      <c r="H261" s="113">
        <f t="shared" si="54"/>
        <v>57285</v>
      </c>
      <c r="I261" s="524">
        <f t="shared" si="64"/>
        <v>-11754639.158461537</v>
      </c>
      <c r="J261" s="525">
        <f t="shared" si="68"/>
        <v>-11410929.158461539</v>
      </c>
      <c r="K261" s="526">
        <f t="shared" si="59"/>
        <v>5521359.1492307708</v>
      </c>
      <c r="L261" s="525">
        <f t="shared" si="55"/>
        <v>-1932475.7022307697</v>
      </c>
      <c r="M261" s="525">
        <f t="shared" si="61"/>
        <v>-20049.75</v>
      </c>
      <c r="N261" s="529"/>
      <c r="O261" s="525">
        <f t="shared" si="58"/>
        <v>0</v>
      </c>
      <c r="P261" s="529">
        <f t="shared" si="65"/>
        <v>5521359.1492307708</v>
      </c>
      <c r="Q261" s="528"/>
      <c r="R261" s="528"/>
      <c r="S261" s="528"/>
      <c r="T261" s="528"/>
      <c r="U261" s="529">
        <f t="shared" si="60"/>
        <v>-1932475.6247564103</v>
      </c>
      <c r="V261" s="525">
        <f t="shared" si="62"/>
        <v>-2052774.1247564105</v>
      </c>
      <c r="W261" s="530">
        <f t="shared" si="63"/>
        <v>3812295.0244743619</v>
      </c>
      <c r="X261" s="255">
        <f t="shared" si="56"/>
        <v>3588883.5244743605</v>
      </c>
      <c r="Y261" s="136">
        <f t="shared" si="57"/>
        <v>5865069.1492307726</v>
      </c>
      <c r="Z261" s="548"/>
    </row>
    <row r="262" spans="1:26">
      <c r="A262" s="131"/>
      <c r="B262" s="2" t="s">
        <v>409</v>
      </c>
      <c r="C262" s="131"/>
      <c r="D262" s="528"/>
      <c r="E262" s="528"/>
      <c r="F262" s="113">
        <f t="shared" si="66"/>
        <v>17275998.307692308</v>
      </c>
      <c r="G262" s="525">
        <f t="shared" si="67"/>
        <v>17275998.307692312</v>
      </c>
      <c r="H262" s="113">
        <f t="shared" si="54"/>
        <v>57285</v>
      </c>
      <c r="I262" s="524">
        <f t="shared" si="64"/>
        <v>-11811924.158461537</v>
      </c>
      <c r="J262" s="525">
        <f t="shared" si="68"/>
        <v>-11468214.158461539</v>
      </c>
      <c r="K262" s="526">
        <f t="shared" si="59"/>
        <v>5464074.1492307708</v>
      </c>
      <c r="L262" s="525">
        <f t="shared" si="55"/>
        <v>-1912425.9522307697</v>
      </c>
      <c r="M262" s="525">
        <f t="shared" si="61"/>
        <v>-20049.75</v>
      </c>
      <c r="N262" s="529"/>
      <c r="O262" s="525">
        <f t="shared" si="58"/>
        <v>0</v>
      </c>
      <c r="P262" s="529">
        <f t="shared" si="65"/>
        <v>5464074.1492307708</v>
      </c>
      <c r="Q262" s="528"/>
      <c r="R262" s="528"/>
      <c r="S262" s="528"/>
      <c r="T262" s="528"/>
      <c r="U262" s="529">
        <f t="shared" si="60"/>
        <v>-1912425.8747564103</v>
      </c>
      <c r="V262" s="525">
        <f t="shared" si="62"/>
        <v>-2032724.3747564105</v>
      </c>
      <c r="W262" s="530">
        <f t="shared" si="63"/>
        <v>3775059.7744743619</v>
      </c>
      <c r="X262" s="255">
        <f t="shared" si="56"/>
        <v>3551648.2744743605</v>
      </c>
      <c r="Y262" s="136">
        <f t="shared" si="57"/>
        <v>5807784.1492307726</v>
      </c>
      <c r="Z262" s="548"/>
    </row>
    <row r="263" spans="1:26">
      <c r="A263" s="131"/>
      <c r="B263" s="2" t="s">
        <v>410</v>
      </c>
      <c r="C263" s="131"/>
      <c r="D263" s="528"/>
      <c r="E263" s="528"/>
      <c r="F263" s="113">
        <f t="shared" si="66"/>
        <v>17275998.307692308</v>
      </c>
      <c r="G263" s="525">
        <f t="shared" si="67"/>
        <v>17275998.307692312</v>
      </c>
      <c r="H263" s="113">
        <f t="shared" si="54"/>
        <v>57285</v>
      </c>
      <c r="I263" s="524">
        <f t="shared" si="64"/>
        <v>-11869209.158461537</v>
      </c>
      <c r="J263" s="525">
        <f t="shared" si="68"/>
        <v>-11525499.158461539</v>
      </c>
      <c r="K263" s="526">
        <f t="shared" si="59"/>
        <v>5406789.1492307708</v>
      </c>
      <c r="L263" s="525">
        <f t="shared" si="55"/>
        <v>-1892376.2022307697</v>
      </c>
      <c r="M263" s="525">
        <f t="shared" si="61"/>
        <v>-20049.75</v>
      </c>
      <c r="N263" s="529"/>
      <c r="O263" s="525">
        <f t="shared" si="58"/>
        <v>0</v>
      </c>
      <c r="P263" s="529">
        <f t="shared" si="65"/>
        <v>5406789.1492307708</v>
      </c>
      <c r="Q263" s="528"/>
      <c r="R263" s="528"/>
      <c r="S263" s="528"/>
      <c r="T263" s="528"/>
      <c r="U263" s="529">
        <f t="shared" si="60"/>
        <v>-1892376.1247564103</v>
      </c>
      <c r="V263" s="525">
        <f t="shared" si="62"/>
        <v>-2012674.6247564105</v>
      </c>
      <c r="W263" s="530">
        <f t="shared" si="63"/>
        <v>3737824.5244743619</v>
      </c>
      <c r="X263" s="255">
        <f t="shared" si="56"/>
        <v>3514413.0244743605</v>
      </c>
      <c r="Y263" s="136">
        <f t="shared" si="57"/>
        <v>5750499.1492307726</v>
      </c>
      <c r="Z263" s="548"/>
    </row>
    <row r="264" spans="1:26">
      <c r="A264" s="131"/>
      <c r="B264" s="2" t="s">
        <v>411</v>
      </c>
      <c r="C264" s="131"/>
      <c r="D264" s="528"/>
      <c r="E264" s="528"/>
      <c r="F264" s="113">
        <f t="shared" si="66"/>
        <v>17275998.307692308</v>
      </c>
      <c r="G264" s="525">
        <f t="shared" si="67"/>
        <v>17275998.307692312</v>
      </c>
      <c r="H264" s="113">
        <f t="shared" si="54"/>
        <v>57285</v>
      </c>
      <c r="I264" s="524">
        <f t="shared" si="64"/>
        <v>-11926494.158461537</v>
      </c>
      <c r="J264" s="525">
        <f t="shared" si="68"/>
        <v>-11582784.158461539</v>
      </c>
      <c r="K264" s="526">
        <f t="shared" si="59"/>
        <v>5349504.1492307708</v>
      </c>
      <c r="L264" s="525">
        <f t="shared" si="55"/>
        <v>-1872326.4522307697</v>
      </c>
      <c r="M264" s="525">
        <f t="shared" si="61"/>
        <v>-20049.75</v>
      </c>
      <c r="N264" s="529"/>
      <c r="O264" s="525">
        <f t="shared" si="58"/>
        <v>0</v>
      </c>
      <c r="P264" s="529">
        <f t="shared" si="65"/>
        <v>5349504.1492307708</v>
      </c>
      <c r="Q264" s="528"/>
      <c r="R264" s="528"/>
      <c r="S264" s="528"/>
      <c r="T264" s="528"/>
      <c r="U264" s="529">
        <f t="shared" si="60"/>
        <v>-1872326.3747564103</v>
      </c>
      <c r="V264" s="525">
        <f t="shared" si="62"/>
        <v>-1992624.8747564105</v>
      </c>
      <c r="W264" s="530">
        <f t="shared" si="63"/>
        <v>3700589.2744743619</v>
      </c>
      <c r="X264" s="255">
        <f t="shared" si="56"/>
        <v>3477177.7744743605</v>
      </c>
      <c r="Y264" s="136">
        <f t="shared" si="57"/>
        <v>5693214.1492307726</v>
      </c>
      <c r="Z264" s="548"/>
    </row>
    <row r="265" spans="1:26">
      <c r="A265" s="131"/>
      <c r="B265" s="2" t="s">
        <v>412</v>
      </c>
      <c r="C265" s="131"/>
      <c r="D265" s="528"/>
      <c r="E265" s="528"/>
      <c r="F265" s="113">
        <f t="shared" si="66"/>
        <v>17275998.307692308</v>
      </c>
      <c r="G265" s="525">
        <f t="shared" si="67"/>
        <v>17275998.307692312</v>
      </c>
      <c r="H265" s="113">
        <f t="shared" si="54"/>
        <v>57285</v>
      </c>
      <c r="I265" s="524">
        <f t="shared" si="64"/>
        <v>-11983779.158461537</v>
      </c>
      <c r="J265" s="525">
        <f t="shared" si="68"/>
        <v>-11640069.158461539</v>
      </c>
      <c r="K265" s="526">
        <f t="shared" si="59"/>
        <v>5292219.1492307708</v>
      </c>
      <c r="L265" s="525">
        <f t="shared" si="55"/>
        <v>-1852276.7022307697</v>
      </c>
      <c r="M265" s="525">
        <f t="shared" si="61"/>
        <v>-20049.75</v>
      </c>
      <c r="N265" s="529"/>
      <c r="O265" s="525">
        <f t="shared" si="58"/>
        <v>0</v>
      </c>
      <c r="P265" s="529">
        <f t="shared" si="65"/>
        <v>5292219.1492307708</v>
      </c>
      <c r="Q265" s="528"/>
      <c r="R265" s="528"/>
      <c r="S265" s="528"/>
      <c r="T265" s="528"/>
      <c r="U265" s="529">
        <f t="shared" si="60"/>
        <v>-1852276.6247564103</v>
      </c>
      <c r="V265" s="525">
        <f t="shared" si="62"/>
        <v>-1972575.1247564105</v>
      </c>
      <c r="W265" s="530">
        <f t="shared" si="63"/>
        <v>3663354.0244743619</v>
      </c>
      <c r="X265" s="255">
        <f t="shared" si="56"/>
        <v>3439942.5244743605</v>
      </c>
      <c r="Y265" s="136">
        <f t="shared" si="57"/>
        <v>5635929.1492307726</v>
      </c>
      <c r="Z265" s="548"/>
    </row>
    <row r="266" spans="1:26">
      <c r="A266" s="131"/>
      <c r="B266" s="2" t="s">
        <v>413</v>
      </c>
      <c r="C266" s="131"/>
      <c r="D266" s="528"/>
      <c r="E266" s="528"/>
      <c r="F266" s="113">
        <f t="shared" si="66"/>
        <v>17275998.307692308</v>
      </c>
      <c r="G266" s="525">
        <f t="shared" si="67"/>
        <v>17275998.307692312</v>
      </c>
      <c r="H266" s="113">
        <f t="shared" si="54"/>
        <v>57285</v>
      </c>
      <c r="I266" s="524">
        <f t="shared" si="64"/>
        <v>-12041064.158461537</v>
      </c>
      <c r="J266" s="525">
        <f t="shared" si="68"/>
        <v>-11697354.158461539</v>
      </c>
      <c r="K266" s="526">
        <f t="shared" si="59"/>
        <v>5234934.1492307708</v>
      </c>
      <c r="L266" s="525">
        <f t="shared" si="55"/>
        <v>-1832226.9522307697</v>
      </c>
      <c r="M266" s="525">
        <f t="shared" si="61"/>
        <v>-20049.75</v>
      </c>
      <c r="N266" s="529"/>
      <c r="O266" s="525">
        <f t="shared" si="58"/>
        <v>0</v>
      </c>
      <c r="P266" s="529">
        <f t="shared" si="65"/>
        <v>5234934.1492307708</v>
      </c>
      <c r="Q266" s="528"/>
      <c r="R266" s="528"/>
      <c r="S266" s="528"/>
      <c r="T266" s="528"/>
      <c r="U266" s="529">
        <f t="shared" si="60"/>
        <v>-1832226.8747564103</v>
      </c>
      <c r="V266" s="525">
        <f t="shared" si="62"/>
        <v>-1952525.3747564105</v>
      </c>
      <c r="W266" s="530">
        <f t="shared" si="63"/>
        <v>3626118.7744743619</v>
      </c>
      <c r="X266" s="255">
        <f t="shared" si="56"/>
        <v>3402707.2744743605</v>
      </c>
      <c r="Y266" s="136">
        <f t="shared" si="57"/>
        <v>5578644.1492307726</v>
      </c>
      <c r="Z266" s="548"/>
    </row>
    <row r="267" spans="1:26">
      <c r="A267" s="131"/>
      <c r="B267" s="2" t="s">
        <v>414</v>
      </c>
      <c r="C267" s="131"/>
      <c r="D267" s="528"/>
      <c r="E267" s="528"/>
      <c r="F267" s="113">
        <f t="shared" si="66"/>
        <v>17275998.307692308</v>
      </c>
      <c r="G267" s="525">
        <f t="shared" si="67"/>
        <v>17275998.307692312</v>
      </c>
      <c r="H267" s="113">
        <f t="shared" si="54"/>
        <v>57285</v>
      </c>
      <c r="I267" s="524">
        <f t="shared" si="64"/>
        <v>-12098349.158461537</v>
      </c>
      <c r="J267" s="525">
        <f t="shared" si="68"/>
        <v>-11754639.158461539</v>
      </c>
      <c r="K267" s="526">
        <f t="shared" si="59"/>
        <v>5177649.1492307708</v>
      </c>
      <c r="L267" s="525">
        <f t="shared" si="55"/>
        <v>-1812177.2022307697</v>
      </c>
      <c r="M267" s="525">
        <f t="shared" si="61"/>
        <v>-20049.75</v>
      </c>
      <c r="N267" s="529"/>
      <c r="O267" s="525">
        <f t="shared" si="58"/>
        <v>0</v>
      </c>
      <c r="P267" s="529">
        <f t="shared" si="65"/>
        <v>5177649.1492307708</v>
      </c>
      <c r="Q267" s="528"/>
      <c r="R267" s="528"/>
      <c r="S267" s="528"/>
      <c r="T267" s="528"/>
      <c r="U267" s="529">
        <f t="shared" si="60"/>
        <v>-1812177.1247564103</v>
      </c>
      <c r="V267" s="525">
        <f t="shared" si="62"/>
        <v>-1932475.6247564105</v>
      </c>
      <c r="W267" s="530">
        <f t="shared" si="63"/>
        <v>3588883.5244743619</v>
      </c>
      <c r="X267" s="255">
        <f t="shared" si="56"/>
        <v>3365472.0244743605</v>
      </c>
      <c r="Y267" s="136">
        <f t="shared" si="57"/>
        <v>5521359.1492307726</v>
      </c>
      <c r="Z267" s="548"/>
    </row>
    <row r="268" spans="1:26">
      <c r="A268" s="131"/>
      <c r="B268" s="2" t="s">
        <v>415</v>
      </c>
      <c r="C268" s="131"/>
      <c r="D268" s="528"/>
      <c r="E268" s="528"/>
      <c r="F268" s="113">
        <f t="shared" si="66"/>
        <v>17275998.307692308</v>
      </c>
      <c r="G268" s="525">
        <f t="shared" si="67"/>
        <v>17275998.307692312</v>
      </c>
      <c r="H268" s="113">
        <f t="shared" si="54"/>
        <v>57285</v>
      </c>
      <c r="I268" s="524">
        <f t="shared" si="64"/>
        <v>-12155634.158461537</v>
      </c>
      <c r="J268" s="525">
        <f t="shared" si="68"/>
        <v>-11811924.158461539</v>
      </c>
      <c r="K268" s="526">
        <f t="shared" si="59"/>
        <v>5120364.1492307708</v>
      </c>
      <c r="L268" s="525">
        <f t="shared" si="55"/>
        <v>-1792127.4522307697</v>
      </c>
      <c r="M268" s="525">
        <f t="shared" si="61"/>
        <v>-20049.75</v>
      </c>
      <c r="N268" s="529"/>
      <c r="O268" s="525">
        <f t="shared" si="58"/>
        <v>0</v>
      </c>
      <c r="P268" s="529">
        <f t="shared" si="65"/>
        <v>5120364.1492307708</v>
      </c>
      <c r="Q268" s="528"/>
      <c r="R268" s="528"/>
      <c r="S268" s="528"/>
      <c r="T268" s="528"/>
      <c r="U268" s="529">
        <f t="shared" si="60"/>
        <v>-1792127.3747564103</v>
      </c>
      <c r="V268" s="525">
        <f t="shared" si="62"/>
        <v>-1912425.8747564105</v>
      </c>
      <c r="W268" s="530">
        <f t="shared" si="63"/>
        <v>3551648.2744743619</v>
      </c>
      <c r="X268" s="255">
        <f t="shared" si="56"/>
        <v>3328236.7744743605</v>
      </c>
      <c r="Y268" s="136">
        <f t="shared" si="57"/>
        <v>5464074.1492307726</v>
      </c>
      <c r="Z268" s="548"/>
    </row>
    <row r="269" spans="1:26">
      <c r="A269" s="131"/>
      <c r="B269" s="2" t="s">
        <v>416</v>
      </c>
      <c r="C269" s="131"/>
      <c r="D269" s="528"/>
      <c r="E269" s="528"/>
      <c r="F269" s="113">
        <f t="shared" si="66"/>
        <v>17275998.307692308</v>
      </c>
      <c r="G269" s="525">
        <f t="shared" si="67"/>
        <v>17275998.307692312</v>
      </c>
      <c r="H269" s="113">
        <f t="shared" ref="H269:H332" si="69">H268</f>
        <v>57285</v>
      </c>
      <c r="I269" s="524">
        <f t="shared" si="64"/>
        <v>-12212919.158461537</v>
      </c>
      <c r="J269" s="525">
        <f t="shared" si="68"/>
        <v>-11869209.158461539</v>
      </c>
      <c r="K269" s="526">
        <f t="shared" si="59"/>
        <v>5063079.1492307708</v>
      </c>
      <c r="L269" s="525">
        <f t="shared" si="55"/>
        <v>-1772077.7022307697</v>
      </c>
      <c r="M269" s="525">
        <f t="shared" si="61"/>
        <v>-20049.75</v>
      </c>
      <c r="N269" s="529"/>
      <c r="O269" s="525">
        <f t="shared" si="58"/>
        <v>0</v>
      </c>
      <c r="P269" s="529">
        <f t="shared" si="65"/>
        <v>5063079.1492307708</v>
      </c>
      <c r="Q269" s="528"/>
      <c r="R269" s="528"/>
      <c r="S269" s="528"/>
      <c r="T269" s="528"/>
      <c r="U269" s="529">
        <f t="shared" si="60"/>
        <v>-1772077.6247564103</v>
      </c>
      <c r="V269" s="525">
        <f t="shared" si="62"/>
        <v>-1892376.1247564105</v>
      </c>
      <c r="W269" s="530">
        <f t="shared" si="63"/>
        <v>3514413.0244743619</v>
      </c>
      <c r="X269" s="255">
        <f t="shared" si="56"/>
        <v>3291001.5244743605</v>
      </c>
      <c r="Y269" s="136">
        <f t="shared" si="57"/>
        <v>5406789.1492307726</v>
      </c>
      <c r="Z269" s="548"/>
    </row>
    <row r="270" spans="1:26">
      <c r="A270" s="131"/>
      <c r="B270" s="2" t="s">
        <v>417</v>
      </c>
      <c r="C270" s="131"/>
      <c r="D270" s="528"/>
      <c r="E270" s="528"/>
      <c r="F270" s="113">
        <f t="shared" si="66"/>
        <v>17275998.307692308</v>
      </c>
      <c r="G270" s="525">
        <f t="shared" si="67"/>
        <v>17275998.307692312</v>
      </c>
      <c r="H270" s="113">
        <f t="shared" si="69"/>
        <v>57285</v>
      </c>
      <c r="I270" s="524">
        <f t="shared" si="64"/>
        <v>-12270204.158461537</v>
      </c>
      <c r="J270" s="525">
        <f t="shared" si="68"/>
        <v>-11926494.158461539</v>
      </c>
      <c r="K270" s="526">
        <f t="shared" si="59"/>
        <v>5005794.1492307708</v>
      </c>
      <c r="L270" s="525">
        <f t="shared" si="55"/>
        <v>-1752027.9522307697</v>
      </c>
      <c r="M270" s="525">
        <f t="shared" si="61"/>
        <v>-20049.75</v>
      </c>
      <c r="N270" s="529"/>
      <c r="O270" s="525">
        <f t="shared" si="58"/>
        <v>0</v>
      </c>
      <c r="P270" s="529">
        <f t="shared" si="65"/>
        <v>5005794.1492307708</v>
      </c>
      <c r="Q270" s="528"/>
      <c r="R270" s="528"/>
      <c r="S270" s="528"/>
      <c r="T270" s="528"/>
      <c r="U270" s="529">
        <f t="shared" si="60"/>
        <v>-1752027.8747564103</v>
      </c>
      <c r="V270" s="525">
        <f t="shared" si="62"/>
        <v>-1872326.3747564105</v>
      </c>
      <c r="W270" s="530">
        <f t="shared" si="63"/>
        <v>3477177.7744743619</v>
      </c>
      <c r="X270" s="255">
        <f t="shared" si="56"/>
        <v>3253766.2744743605</v>
      </c>
      <c r="Y270" s="136">
        <f t="shared" si="57"/>
        <v>5349504.1492307726</v>
      </c>
      <c r="Z270" s="548"/>
    </row>
    <row r="271" spans="1:26">
      <c r="A271" s="131"/>
      <c r="B271" s="2" t="s">
        <v>418</v>
      </c>
      <c r="C271" s="131"/>
      <c r="D271" s="528"/>
      <c r="E271" s="528"/>
      <c r="F271" s="113">
        <f t="shared" si="66"/>
        <v>17275998.307692308</v>
      </c>
      <c r="G271" s="525">
        <f t="shared" si="67"/>
        <v>17275998.307692312</v>
      </c>
      <c r="H271" s="113">
        <f t="shared" si="69"/>
        <v>57285</v>
      </c>
      <c r="I271" s="524">
        <f t="shared" si="64"/>
        <v>-12327489.158461537</v>
      </c>
      <c r="J271" s="525">
        <f t="shared" si="68"/>
        <v>-11983779.158461539</v>
      </c>
      <c r="K271" s="526">
        <f t="shared" si="59"/>
        <v>4948509.1492307708</v>
      </c>
      <c r="L271" s="525">
        <f t="shared" si="55"/>
        <v>-1731978.2022307697</v>
      </c>
      <c r="M271" s="525">
        <f t="shared" si="61"/>
        <v>-20049.75</v>
      </c>
      <c r="N271" s="529"/>
      <c r="O271" s="525">
        <f t="shared" si="58"/>
        <v>0</v>
      </c>
      <c r="P271" s="529">
        <f t="shared" si="65"/>
        <v>4948509.1492307708</v>
      </c>
      <c r="Q271" s="528"/>
      <c r="R271" s="528"/>
      <c r="S271" s="528"/>
      <c r="T271" s="528"/>
      <c r="U271" s="529">
        <f t="shared" si="60"/>
        <v>-1731978.1247564103</v>
      </c>
      <c r="V271" s="525">
        <f t="shared" si="62"/>
        <v>-1852276.6247564105</v>
      </c>
      <c r="W271" s="530">
        <f t="shared" si="63"/>
        <v>3439942.5244743619</v>
      </c>
      <c r="X271" s="255">
        <f t="shared" si="56"/>
        <v>3216531.0244743605</v>
      </c>
      <c r="Y271" s="136">
        <f t="shared" si="57"/>
        <v>5292219.1492307726</v>
      </c>
      <c r="Z271" s="548"/>
    </row>
    <row r="272" spans="1:26">
      <c r="A272" s="131"/>
      <c r="B272" s="2" t="s">
        <v>419</v>
      </c>
      <c r="C272" s="131"/>
      <c r="D272" s="528"/>
      <c r="E272" s="528"/>
      <c r="F272" s="113">
        <f t="shared" si="66"/>
        <v>17275998.307692308</v>
      </c>
      <c r="G272" s="525">
        <f t="shared" si="67"/>
        <v>17275998.307692312</v>
      </c>
      <c r="H272" s="113">
        <f t="shared" si="69"/>
        <v>57285</v>
      </c>
      <c r="I272" s="524">
        <f t="shared" si="64"/>
        <v>-12384774.158461537</v>
      </c>
      <c r="J272" s="525">
        <f t="shared" si="68"/>
        <v>-12041064.158461539</v>
      </c>
      <c r="K272" s="526">
        <f t="shared" si="59"/>
        <v>4891224.1492307708</v>
      </c>
      <c r="L272" s="525">
        <f t="shared" si="55"/>
        <v>-1711928.4522307697</v>
      </c>
      <c r="M272" s="525">
        <f t="shared" si="61"/>
        <v>-20049.75</v>
      </c>
      <c r="N272" s="529"/>
      <c r="O272" s="525">
        <f t="shared" si="58"/>
        <v>0</v>
      </c>
      <c r="P272" s="529">
        <f t="shared" si="65"/>
        <v>4891224.1492307708</v>
      </c>
      <c r="Q272" s="528"/>
      <c r="R272" s="528"/>
      <c r="S272" s="528"/>
      <c r="T272" s="528"/>
      <c r="U272" s="529">
        <f t="shared" si="60"/>
        <v>-1711928.3747564103</v>
      </c>
      <c r="V272" s="525">
        <f t="shared" si="62"/>
        <v>-1832226.8747564105</v>
      </c>
      <c r="W272" s="530">
        <f t="shared" si="63"/>
        <v>3402707.2744743619</v>
      </c>
      <c r="X272" s="255">
        <f t="shared" si="56"/>
        <v>3179295.7744743605</v>
      </c>
      <c r="Y272" s="136">
        <f t="shared" si="57"/>
        <v>5234934.1492307726</v>
      </c>
      <c r="Z272" s="548"/>
    </row>
    <row r="273" spans="1:26">
      <c r="A273" s="131"/>
      <c r="B273" s="2" t="s">
        <v>420</v>
      </c>
      <c r="C273" s="131"/>
      <c r="D273" s="528"/>
      <c r="E273" s="528"/>
      <c r="F273" s="113">
        <f t="shared" si="66"/>
        <v>17275998.307692308</v>
      </c>
      <c r="G273" s="525">
        <f t="shared" si="67"/>
        <v>17275998.307692312</v>
      </c>
      <c r="H273" s="113">
        <f t="shared" si="69"/>
        <v>57285</v>
      </c>
      <c r="I273" s="524">
        <f t="shared" si="64"/>
        <v>-12442059.158461537</v>
      </c>
      <c r="J273" s="525">
        <f t="shared" si="68"/>
        <v>-12098349.158461539</v>
      </c>
      <c r="K273" s="526">
        <f t="shared" si="59"/>
        <v>4833939.1492307708</v>
      </c>
      <c r="L273" s="525">
        <f t="shared" si="55"/>
        <v>-1691878.7022307697</v>
      </c>
      <c r="M273" s="525">
        <f t="shared" si="61"/>
        <v>-20049.75</v>
      </c>
      <c r="N273" s="529"/>
      <c r="O273" s="525">
        <f t="shared" si="58"/>
        <v>0</v>
      </c>
      <c r="P273" s="529">
        <f t="shared" si="65"/>
        <v>4833939.1492307708</v>
      </c>
      <c r="Q273" s="528"/>
      <c r="R273" s="528"/>
      <c r="S273" s="528"/>
      <c r="T273" s="528"/>
      <c r="U273" s="529">
        <f t="shared" si="60"/>
        <v>-1691878.6247564103</v>
      </c>
      <c r="V273" s="525">
        <f t="shared" si="62"/>
        <v>-1812177.1247564105</v>
      </c>
      <c r="W273" s="530">
        <f t="shared" si="63"/>
        <v>3365472.0244743619</v>
      </c>
      <c r="X273" s="255">
        <f t="shared" si="56"/>
        <v>3142060.5244743605</v>
      </c>
      <c r="Y273" s="136">
        <f t="shared" si="57"/>
        <v>5177649.1492307726</v>
      </c>
      <c r="Z273" s="548"/>
    </row>
    <row r="274" spans="1:26">
      <c r="A274" s="131"/>
      <c r="B274" s="2" t="s">
        <v>421</v>
      </c>
      <c r="C274" s="131"/>
      <c r="D274" s="528"/>
      <c r="E274" s="528"/>
      <c r="F274" s="113">
        <f t="shared" si="66"/>
        <v>17275998.307692308</v>
      </c>
      <c r="G274" s="525">
        <f t="shared" si="67"/>
        <v>17275998.307692312</v>
      </c>
      <c r="H274" s="113">
        <f t="shared" si="69"/>
        <v>57285</v>
      </c>
      <c r="I274" s="524">
        <f t="shared" si="64"/>
        <v>-12499344.158461537</v>
      </c>
      <c r="J274" s="525">
        <f t="shared" si="68"/>
        <v>-12155634.158461539</v>
      </c>
      <c r="K274" s="526">
        <f t="shared" si="59"/>
        <v>4776654.1492307708</v>
      </c>
      <c r="L274" s="525">
        <f t="shared" ref="L274:L337" si="70">-K274*35%</f>
        <v>-1671828.9522307697</v>
      </c>
      <c r="M274" s="525">
        <f t="shared" si="61"/>
        <v>-20049.75</v>
      </c>
      <c r="N274" s="529"/>
      <c r="O274" s="525">
        <f t="shared" si="58"/>
        <v>0</v>
      </c>
      <c r="P274" s="529">
        <f t="shared" si="65"/>
        <v>4776654.1492307708</v>
      </c>
      <c r="Q274" s="528"/>
      <c r="R274" s="528"/>
      <c r="S274" s="528"/>
      <c r="T274" s="528"/>
      <c r="U274" s="529">
        <f t="shared" si="60"/>
        <v>-1671828.8747564103</v>
      </c>
      <c r="V274" s="525">
        <f t="shared" si="62"/>
        <v>-1792127.3747564105</v>
      </c>
      <c r="W274" s="530">
        <f t="shared" si="63"/>
        <v>3328236.7744743619</v>
      </c>
      <c r="X274" s="255">
        <f t="shared" si="56"/>
        <v>3104825.2744743605</v>
      </c>
      <c r="Y274" s="136">
        <f t="shared" si="57"/>
        <v>5120364.1492307726</v>
      </c>
      <c r="Z274" s="548"/>
    </row>
    <row r="275" spans="1:26">
      <c r="A275" s="131"/>
      <c r="B275" s="2" t="s">
        <v>422</v>
      </c>
      <c r="C275" s="131"/>
      <c r="D275" s="528"/>
      <c r="E275" s="528"/>
      <c r="F275" s="113">
        <f t="shared" si="66"/>
        <v>17275998.307692308</v>
      </c>
      <c r="G275" s="525">
        <f t="shared" si="67"/>
        <v>17275998.307692312</v>
      </c>
      <c r="H275" s="113">
        <f t="shared" si="69"/>
        <v>57285</v>
      </c>
      <c r="I275" s="524">
        <f t="shared" si="64"/>
        <v>-12556629.158461537</v>
      </c>
      <c r="J275" s="525">
        <f t="shared" si="68"/>
        <v>-12212919.158461539</v>
      </c>
      <c r="K275" s="526">
        <f t="shared" si="59"/>
        <v>4719369.1492307708</v>
      </c>
      <c r="L275" s="525">
        <f t="shared" si="70"/>
        <v>-1651779.2022307697</v>
      </c>
      <c r="M275" s="525">
        <f t="shared" si="61"/>
        <v>-20049.75</v>
      </c>
      <c r="N275" s="529"/>
      <c r="O275" s="525">
        <f t="shared" si="58"/>
        <v>0</v>
      </c>
      <c r="P275" s="529">
        <f t="shared" si="65"/>
        <v>4719369.1492307708</v>
      </c>
      <c r="Q275" s="528"/>
      <c r="R275" s="528"/>
      <c r="S275" s="528"/>
      <c r="T275" s="528"/>
      <c r="U275" s="529">
        <f t="shared" si="60"/>
        <v>-1651779.1247564103</v>
      </c>
      <c r="V275" s="525">
        <f t="shared" si="62"/>
        <v>-1772077.6247564105</v>
      </c>
      <c r="W275" s="530">
        <f t="shared" si="63"/>
        <v>3291001.5244743619</v>
      </c>
      <c r="X275" s="255">
        <f t="shared" ref="X275:X338" si="71">F275+I275+U275</f>
        <v>3067590.0244743605</v>
      </c>
      <c r="Y275" s="136">
        <f t="shared" ref="Y275:Y338" si="72">G275+J275</f>
        <v>5063079.1492307726</v>
      </c>
      <c r="Z275" s="548"/>
    </row>
    <row r="276" spans="1:26">
      <c r="A276" s="131"/>
      <c r="B276" s="2" t="s">
        <v>423</v>
      </c>
      <c r="C276" s="131"/>
      <c r="D276" s="528"/>
      <c r="E276" s="528"/>
      <c r="F276" s="113">
        <f t="shared" si="66"/>
        <v>17275998.307692308</v>
      </c>
      <c r="G276" s="525">
        <f t="shared" si="67"/>
        <v>17275998.307692312</v>
      </c>
      <c r="H276" s="113">
        <f t="shared" si="69"/>
        <v>57285</v>
      </c>
      <c r="I276" s="524">
        <f t="shared" si="64"/>
        <v>-12613914.158461537</v>
      </c>
      <c r="J276" s="525">
        <f t="shared" si="68"/>
        <v>-12270204.158461539</v>
      </c>
      <c r="K276" s="526">
        <f t="shared" si="59"/>
        <v>4662084.1492307708</v>
      </c>
      <c r="L276" s="525">
        <f t="shared" si="70"/>
        <v>-1631729.4522307697</v>
      </c>
      <c r="M276" s="525">
        <f t="shared" si="61"/>
        <v>-20049.75</v>
      </c>
      <c r="N276" s="529"/>
      <c r="O276" s="525">
        <f t="shared" si="58"/>
        <v>0</v>
      </c>
      <c r="P276" s="529">
        <f t="shared" si="65"/>
        <v>4662084.1492307708</v>
      </c>
      <c r="Q276" s="528"/>
      <c r="R276" s="528"/>
      <c r="S276" s="528"/>
      <c r="T276" s="528"/>
      <c r="U276" s="529">
        <f t="shared" si="60"/>
        <v>-1631729.3747564103</v>
      </c>
      <c r="V276" s="525">
        <f t="shared" si="62"/>
        <v>-1752027.8747564105</v>
      </c>
      <c r="W276" s="530">
        <f t="shared" si="63"/>
        <v>3253766.2744743619</v>
      </c>
      <c r="X276" s="255">
        <f t="shared" si="71"/>
        <v>3030354.7744743605</v>
      </c>
      <c r="Y276" s="136">
        <f t="shared" si="72"/>
        <v>5005794.1492307726</v>
      </c>
      <c r="Z276" s="548"/>
    </row>
    <row r="277" spans="1:26">
      <c r="A277" s="131"/>
      <c r="B277" s="2" t="s">
        <v>424</v>
      </c>
      <c r="C277" s="131"/>
      <c r="D277" s="528"/>
      <c r="E277" s="528"/>
      <c r="F277" s="113">
        <f t="shared" si="66"/>
        <v>17275998.307692308</v>
      </c>
      <c r="G277" s="525">
        <f t="shared" si="67"/>
        <v>17275998.307692312</v>
      </c>
      <c r="H277" s="113">
        <f t="shared" si="69"/>
        <v>57285</v>
      </c>
      <c r="I277" s="524">
        <f t="shared" si="64"/>
        <v>-12671199.158461537</v>
      </c>
      <c r="J277" s="525">
        <f t="shared" si="68"/>
        <v>-12327489.158461539</v>
      </c>
      <c r="K277" s="526">
        <f t="shared" si="59"/>
        <v>4604799.1492307708</v>
      </c>
      <c r="L277" s="525">
        <f t="shared" si="70"/>
        <v>-1611679.7022307697</v>
      </c>
      <c r="M277" s="525">
        <f t="shared" si="61"/>
        <v>-20049.75</v>
      </c>
      <c r="N277" s="529"/>
      <c r="O277" s="525">
        <f t="shared" si="58"/>
        <v>0</v>
      </c>
      <c r="P277" s="529">
        <f t="shared" si="65"/>
        <v>4604799.1492307708</v>
      </c>
      <c r="Q277" s="528"/>
      <c r="R277" s="528"/>
      <c r="S277" s="528"/>
      <c r="T277" s="528"/>
      <c r="U277" s="529">
        <f t="shared" si="60"/>
        <v>-1611679.6247564103</v>
      </c>
      <c r="V277" s="525">
        <f t="shared" si="62"/>
        <v>-1731978.1247564105</v>
      </c>
      <c r="W277" s="530">
        <f t="shared" si="63"/>
        <v>3216531.0244743619</v>
      </c>
      <c r="X277" s="255">
        <f t="shared" si="71"/>
        <v>2993119.5244743605</v>
      </c>
      <c r="Y277" s="136">
        <f t="shared" si="72"/>
        <v>4948509.1492307726</v>
      </c>
      <c r="Z277" s="548"/>
    </row>
    <row r="278" spans="1:26">
      <c r="A278" s="131"/>
      <c r="B278" s="2" t="s">
        <v>425</v>
      </c>
      <c r="C278" s="131"/>
      <c r="D278" s="528"/>
      <c r="E278" s="528"/>
      <c r="F278" s="113">
        <f t="shared" si="66"/>
        <v>17275998.307692308</v>
      </c>
      <c r="G278" s="525">
        <f t="shared" si="67"/>
        <v>17275998.307692312</v>
      </c>
      <c r="H278" s="113">
        <f t="shared" si="69"/>
        <v>57285</v>
      </c>
      <c r="I278" s="524">
        <f t="shared" si="64"/>
        <v>-12728484.158461537</v>
      </c>
      <c r="J278" s="525">
        <f t="shared" si="68"/>
        <v>-12384774.158461539</v>
      </c>
      <c r="K278" s="526">
        <f t="shared" si="59"/>
        <v>4547514.1492307708</v>
      </c>
      <c r="L278" s="525">
        <f t="shared" si="70"/>
        <v>-1591629.9522307697</v>
      </c>
      <c r="M278" s="525">
        <f t="shared" si="61"/>
        <v>-20049.75</v>
      </c>
      <c r="N278" s="529"/>
      <c r="O278" s="525">
        <f t="shared" si="58"/>
        <v>0</v>
      </c>
      <c r="P278" s="529">
        <f t="shared" si="65"/>
        <v>4547514.1492307708</v>
      </c>
      <c r="Q278" s="528"/>
      <c r="R278" s="528"/>
      <c r="S278" s="528"/>
      <c r="T278" s="528"/>
      <c r="U278" s="529">
        <f t="shared" si="60"/>
        <v>-1591629.8747564103</v>
      </c>
      <c r="V278" s="525">
        <f t="shared" si="62"/>
        <v>-1711928.3747564105</v>
      </c>
      <c r="W278" s="530">
        <f t="shared" si="63"/>
        <v>3179295.7744743619</v>
      </c>
      <c r="X278" s="255">
        <f t="shared" si="71"/>
        <v>2955884.2744743605</v>
      </c>
      <c r="Y278" s="136">
        <f t="shared" si="72"/>
        <v>4891224.1492307726</v>
      </c>
      <c r="Z278" s="548"/>
    </row>
    <row r="279" spans="1:26">
      <c r="A279" s="131"/>
      <c r="B279" s="2" t="s">
        <v>426</v>
      </c>
      <c r="C279" s="131"/>
      <c r="D279" s="528"/>
      <c r="E279" s="528"/>
      <c r="F279" s="113">
        <f t="shared" si="66"/>
        <v>17275998.307692308</v>
      </c>
      <c r="G279" s="525">
        <f t="shared" si="67"/>
        <v>17275998.307692312</v>
      </c>
      <c r="H279" s="113">
        <f t="shared" si="69"/>
        <v>57285</v>
      </c>
      <c r="I279" s="524">
        <f t="shared" si="64"/>
        <v>-12785769.158461537</v>
      </c>
      <c r="J279" s="525">
        <f t="shared" si="68"/>
        <v>-12442059.158461539</v>
      </c>
      <c r="K279" s="526">
        <f t="shared" si="59"/>
        <v>4490229.1492307708</v>
      </c>
      <c r="L279" s="525">
        <f t="shared" si="70"/>
        <v>-1571580.2022307697</v>
      </c>
      <c r="M279" s="525">
        <f t="shared" si="61"/>
        <v>-20049.75</v>
      </c>
      <c r="N279" s="529"/>
      <c r="O279" s="525">
        <f t="shared" si="58"/>
        <v>0</v>
      </c>
      <c r="P279" s="529">
        <f t="shared" si="65"/>
        <v>4490229.1492307708</v>
      </c>
      <c r="Q279" s="528"/>
      <c r="R279" s="528"/>
      <c r="S279" s="528"/>
      <c r="T279" s="528"/>
      <c r="U279" s="529">
        <f t="shared" si="60"/>
        <v>-1571580.1247564103</v>
      </c>
      <c r="V279" s="525">
        <f t="shared" si="62"/>
        <v>-1691878.6247564105</v>
      </c>
      <c r="W279" s="530">
        <f t="shared" si="63"/>
        <v>3142060.5244743619</v>
      </c>
      <c r="X279" s="255">
        <f t="shared" si="71"/>
        <v>2918649.0244743605</v>
      </c>
      <c r="Y279" s="136">
        <f t="shared" si="72"/>
        <v>4833939.1492307726</v>
      </c>
      <c r="Z279" s="548"/>
    </row>
    <row r="280" spans="1:26">
      <c r="A280" s="131"/>
      <c r="B280" s="2" t="s">
        <v>427</v>
      </c>
      <c r="C280" s="131"/>
      <c r="D280" s="528"/>
      <c r="E280" s="528"/>
      <c r="F280" s="113">
        <f t="shared" si="66"/>
        <v>17275998.307692308</v>
      </c>
      <c r="G280" s="525">
        <f t="shared" si="67"/>
        <v>17275998.307692312</v>
      </c>
      <c r="H280" s="113">
        <f t="shared" si="69"/>
        <v>57285</v>
      </c>
      <c r="I280" s="524">
        <f t="shared" si="64"/>
        <v>-12843054.158461537</v>
      </c>
      <c r="J280" s="525">
        <f t="shared" si="68"/>
        <v>-12499344.158461539</v>
      </c>
      <c r="K280" s="526">
        <f t="shared" si="59"/>
        <v>4432944.1492307708</v>
      </c>
      <c r="L280" s="525">
        <f t="shared" si="70"/>
        <v>-1551530.4522307697</v>
      </c>
      <c r="M280" s="525">
        <f t="shared" si="61"/>
        <v>-20049.75</v>
      </c>
      <c r="N280" s="529"/>
      <c r="O280" s="525">
        <f t="shared" ref="O280:O343" si="73">(N268+N280+SUM(N269:N279)*2)/24</f>
        <v>0</v>
      </c>
      <c r="P280" s="529">
        <f t="shared" si="65"/>
        <v>4432944.1492307708</v>
      </c>
      <c r="Q280" s="528"/>
      <c r="R280" s="528"/>
      <c r="S280" s="528"/>
      <c r="T280" s="528"/>
      <c r="U280" s="529">
        <f t="shared" si="60"/>
        <v>-1551530.3747564103</v>
      </c>
      <c r="V280" s="525">
        <f t="shared" si="62"/>
        <v>-1671828.8747564105</v>
      </c>
      <c r="W280" s="530">
        <f t="shared" si="63"/>
        <v>3104825.2744743619</v>
      </c>
      <c r="X280" s="255">
        <f t="shared" si="71"/>
        <v>2881413.7744743605</v>
      </c>
      <c r="Y280" s="136">
        <f t="shared" si="72"/>
        <v>4776654.1492307726</v>
      </c>
      <c r="Z280" s="548"/>
    </row>
    <row r="281" spans="1:26">
      <c r="A281" s="131"/>
      <c r="B281" s="2" t="s">
        <v>428</v>
      </c>
      <c r="C281" s="131"/>
      <c r="D281" s="528"/>
      <c r="E281" s="528"/>
      <c r="F281" s="113">
        <f t="shared" si="66"/>
        <v>17275998.307692308</v>
      </c>
      <c r="G281" s="525">
        <f t="shared" si="67"/>
        <v>17275998.307692312</v>
      </c>
      <c r="H281" s="113">
        <f t="shared" si="69"/>
        <v>57285</v>
      </c>
      <c r="I281" s="524">
        <f t="shared" si="64"/>
        <v>-12900339.158461537</v>
      </c>
      <c r="J281" s="525">
        <f t="shared" si="68"/>
        <v>-12556629.158461539</v>
      </c>
      <c r="K281" s="526">
        <f t="shared" si="59"/>
        <v>4375659.1492307708</v>
      </c>
      <c r="L281" s="525">
        <f t="shared" si="70"/>
        <v>-1531480.7022307697</v>
      </c>
      <c r="M281" s="525">
        <f t="shared" si="61"/>
        <v>-20049.75</v>
      </c>
      <c r="N281" s="529"/>
      <c r="O281" s="525">
        <f t="shared" si="73"/>
        <v>0</v>
      </c>
      <c r="P281" s="529">
        <f t="shared" si="65"/>
        <v>4375659.1492307708</v>
      </c>
      <c r="Q281" s="528"/>
      <c r="R281" s="528"/>
      <c r="S281" s="528"/>
      <c r="T281" s="528"/>
      <c r="U281" s="529">
        <f t="shared" si="60"/>
        <v>-1531480.6247564103</v>
      </c>
      <c r="V281" s="525">
        <f t="shared" si="62"/>
        <v>-1651779.1247564105</v>
      </c>
      <c r="W281" s="530">
        <f t="shared" si="63"/>
        <v>3067590.0244743619</v>
      </c>
      <c r="X281" s="255">
        <f t="shared" si="71"/>
        <v>2844178.5244743605</v>
      </c>
      <c r="Y281" s="136">
        <f t="shared" si="72"/>
        <v>4719369.1492307726</v>
      </c>
      <c r="Z281" s="548"/>
    </row>
    <row r="282" spans="1:26">
      <c r="A282" s="131"/>
      <c r="B282" s="2" t="s">
        <v>429</v>
      </c>
      <c r="C282" s="131"/>
      <c r="D282" s="528"/>
      <c r="E282" s="528"/>
      <c r="F282" s="113">
        <f t="shared" si="66"/>
        <v>17275998.307692308</v>
      </c>
      <c r="G282" s="525">
        <f t="shared" si="67"/>
        <v>17275998.307692312</v>
      </c>
      <c r="H282" s="113">
        <f t="shared" si="69"/>
        <v>57285</v>
      </c>
      <c r="I282" s="524">
        <f t="shared" si="64"/>
        <v>-12957624.158461537</v>
      </c>
      <c r="J282" s="525">
        <f t="shared" si="68"/>
        <v>-12613914.158461539</v>
      </c>
      <c r="K282" s="526">
        <f t="shared" si="59"/>
        <v>4318374.1492307708</v>
      </c>
      <c r="L282" s="525">
        <f t="shared" si="70"/>
        <v>-1511430.9522307697</v>
      </c>
      <c r="M282" s="525">
        <f t="shared" si="61"/>
        <v>-20049.75</v>
      </c>
      <c r="N282" s="529"/>
      <c r="O282" s="525">
        <f t="shared" si="73"/>
        <v>0</v>
      </c>
      <c r="P282" s="529">
        <f t="shared" si="65"/>
        <v>4318374.1492307708</v>
      </c>
      <c r="Q282" s="528"/>
      <c r="R282" s="528"/>
      <c r="S282" s="528"/>
      <c r="T282" s="528"/>
      <c r="U282" s="529">
        <f t="shared" si="60"/>
        <v>-1511430.8747564103</v>
      </c>
      <c r="V282" s="525">
        <f t="shared" si="62"/>
        <v>-1631729.3747564105</v>
      </c>
      <c r="W282" s="530">
        <f t="shared" si="63"/>
        <v>3030354.7744743619</v>
      </c>
      <c r="X282" s="255">
        <f t="shared" si="71"/>
        <v>2806943.2744743605</v>
      </c>
      <c r="Y282" s="136">
        <f t="shared" si="72"/>
        <v>4662084.1492307726</v>
      </c>
      <c r="Z282" s="548"/>
    </row>
    <row r="283" spans="1:26">
      <c r="A283" s="131"/>
      <c r="B283" s="2" t="s">
        <v>430</v>
      </c>
      <c r="C283" s="131"/>
      <c r="D283" s="528"/>
      <c r="E283" s="528"/>
      <c r="F283" s="113">
        <f t="shared" si="66"/>
        <v>17275998.307692308</v>
      </c>
      <c r="G283" s="525">
        <f t="shared" si="67"/>
        <v>17275998.307692312</v>
      </c>
      <c r="H283" s="113">
        <f t="shared" si="69"/>
        <v>57285</v>
      </c>
      <c r="I283" s="524">
        <f t="shared" si="64"/>
        <v>-13014909.158461537</v>
      </c>
      <c r="J283" s="525">
        <f t="shared" si="68"/>
        <v>-12671199.158461539</v>
      </c>
      <c r="K283" s="526">
        <f t="shared" si="59"/>
        <v>4261089.1492307708</v>
      </c>
      <c r="L283" s="525">
        <f t="shared" si="70"/>
        <v>-1491381.2022307697</v>
      </c>
      <c r="M283" s="525">
        <f t="shared" si="61"/>
        <v>-20049.75</v>
      </c>
      <c r="N283" s="529"/>
      <c r="O283" s="525">
        <f t="shared" si="73"/>
        <v>0</v>
      </c>
      <c r="P283" s="529">
        <f t="shared" si="65"/>
        <v>4261089.1492307708</v>
      </c>
      <c r="Q283" s="528"/>
      <c r="R283" s="528"/>
      <c r="S283" s="528"/>
      <c r="T283" s="528"/>
      <c r="U283" s="529">
        <f t="shared" si="60"/>
        <v>-1491381.1247564103</v>
      </c>
      <c r="V283" s="525">
        <f t="shared" si="62"/>
        <v>-1611679.6247564105</v>
      </c>
      <c r="W283" s="530">
        <f t="shared" si="63"/>
        <v>2993119.5244743619</v>
      </c>
      <c r="X283" s="255">
        <f t="shared" si="71"/>
        <v>2769708.0244743605</v>
      </c>
      <c r="Y283" s="136">
        <f t="shared" si="72"/>
        <v>4604799.1492307726</v>
      </c>
      <c r="Z283" s="548"/>
    </row>
    <row r="284" spans="1:26">
      <c r="A284" s="131"/>
      <c r="B284" s="2" t="s">
        <v>431</v>
      </c>
      <c r="C284" s="131"/>
      <c r="D284" s="528"/>
      <c r="E284" s="528"/>
      <c r="F284" s="113">
        <f t="shared" si="66"/>
        <v>17275998.307692308</v>
      </c>
      <c r="G284" s="525">
        <f t="shared" si="67"/>
        <v>17275998.307692312</v>
      </c>
      <c r="H284" s="113">
        <f t="shared" si="69"/>
        <v>57285</v>
      </c>
      <c r="I284" s="524">
        <f t="shared" si="64"/>
        <v>-13072194.158461537</v>
      </c>
      <c r="J284" s="525">
        <f t="shared" si="68"/>
        <v>-12728484.158461539</v>
      </c>
      <c r="K284" s="526">
        <f t="shared" si="59"/>
        <v>4203804.1492307708</v>
      </c>
      <c r="L284" s="525">
        <f t="shared" si="70"/>
        <v>-1471331.4522307697</v>
      </c>
      <c r="M284" s="525">
        <f t="shared" si="61"/>
        <v>-20049.75</v>
      </c>
      <c r="N284" s="529"/>
      <c r="O284" s="525">
        <f t="shared" si="73"/>
        <v>0</v>
      </c>
      <c r="P284" s="529">
        <f t="shared" si="65"/>
        <v>4203804.1492307708</v>
      </c>
      <c r="Q284" s="528"/>
      <c r="R284" s="528"/>
      <c r="S284" s="528"/>
      <c r="T284" s="528"/>
      <c r="U284" s="529">
        <f t="shared" si="60"/>
        <v>-1471331.3747564103</v>
      </c>
      <c r="V284" s="525">
        <f t="shared" si="62"/>
        <v>-1591629.8747564105</v>
      </c>
      <c r="W284" s="530">
        <f t="shared" si="63"/>
        <v>2955884.2744743619</v>
      </c>
      <c r="X284" s="255">
        <f t="shared" si="71"/>
        <v>2732472.7744743605</v>
      </c>
      <c r="Y284" s="136">
        <f t="shared" si="72"/>
        <v>4547514.1492307726</v>
      </c>
      <c r="Z284" s="548"/>
    </row>
    <row r="285" spans="1:26">
      <c r="A285" s="131"/>
      <c r="B285" s="2" t="s">
        <v>432</v>
      </c>
      <c r="C285" s="131"/>
      <c r="D285" s="528"/>
      <c r="E285" s="528"/>
      <c r="F285" s="113">
        <f t="shared" si="66"/>
        <v>17275998.307692308</v>
      </c>
      <c r="G285" s="525">
        <f t="shared" si="67"/>
        <v>17275998.307692312</v>
      </c>
      <c r="H285" s="113">
        <f t="shared" si="69"/>
        <v>57285</v>
      </c>
      <c r="I285" s="524">
        <f t="shared" si="64"/>
        <v>-13129479.158461537</v>
      </c>
      <c r="J285" s="525">
        <f t="shared" si="68"/>
        <v>-12785769.158461539</v>
      </c>
      <c r="K285" s="526">
        <f t="shared" si="59"/>
        <v>4146519.1492307708</v>
      </c>
      <c r="L285" s="525">
        <f t="shared" si="70"/>
        <v>-1451281.7022307697</v>
      </c>
      <c r="M285" s="525">
        <f t="shared" si="61"/>
        <v>-20049.75</v>
      </c>
      <c r="N285" s="529"/>
      <c r="O285" s="525">
        <f t="shared" si="73"/>
        <v>0</v>
      </c>
      <c r="P285" s="529">
        <f t="shared" si="65"/>
        <v>4146519.1492307708</v>
      </c>
      <c r="Q285" s="528"/>
      <c r="R285" s="528"/>
      <c r="S285" s="528"/>
      <c r="T285" s="528"/>
      <c r="U285" s="529">
        <f t="shared" si="60"/>
        <v>-1451281.6247564103</v>
      </c>
      <c r="V285" s="525">
        <f t="shared" si="62"/>
        <v>-1571580.1247564105</v>
      </c>
      <c r="W285" s="530">
        <f t="shared" si="63"/>
        <v>2918649.0244743619</v>
      </c>
      <c r="X285" s="255">
        <f t="shared" si="71"/>
        <v>2695237.5244743605</v>
      </c>
      <c r="Y285" s="136">
        <f t="shared" si="72"/>
        <v>4490229.1492307726</v>
      </c>
      <c r="Z285" s="548"/>
    </row>
    <row r="286" spans="1:26">
      <c r="A286" s="131"/>
      <c r="B286" s="2" t="s">
        <v>433</v>
      </c>
      <c r="C286" s="131"/>
      <c r="D286" s="528"/>
      <c r="E286" s="528"/>
      <c r="F286" s="113">
        <f t="shared" si="66"/>
        <v>17275998.307692308</v>
      </c>
      <c r="G286" s="525">
        <f t="shared" si="67"/>
        <v>17275998.307692312</v>
      </c>
      <c r="H286" s="113">
        <f t="shared" si="69"/>
        <v>57285</v>
      </c>
      <c r="I286" s="524">
        <f t="shared" si="64"/>
        <v>-13186764.158461537</v>
      </c>
      <c r="J286" s="525">
        <f t="shared" si="68"/>
        <v>-12843054.158461539</v>
      </c>
      <c r="K286" s="526">
        <f t="shared" si="59"/>
        <v>4089234.1492307708</v>
      </c>
      <c r="L286" s="525">
        <f t="shared" si="70"/>
        <v>-1431231.9522307697</v>
      </c>
      <c r="M286" s="525">
        <f t="shared" si="61"/>
        <v>-20049.75</v>
      </c>
      <c r="N286" s="529"/>
      <c r="O286" s="525">
        <f t="shared" si="73"/>
        <v>0</v>
      </c>
      <c r="P286" s="529">
        <f t="shared" si="65"/>
        <v>4089234.1492307708</v>
      </c>
      <c r="Q286" s="528"/>
      <c r="R286" s="528"/>
      <c r="S286" s="528"/>
      <c r="T286" s="528"/>
      <c r="U286" s="529">
        <f t="shared" si="60"/>
        <v>-1431231.8747564103</v>
      </c>
      <c r="V286" s="525">
        <f t="shared" si="62"/>
        <v>-1551530.3747564105</v>
      </c>
      <c r="W286" s="530">
        <f t="shared" si="63"/>
        <v>2881413.7744743619</v>
      </c>
      <c r="X286" s="255">
        <f t="shared" si="71"/>
        <v>2658002.2744743605</v>
      </c>
      <c r="Y286" s="136">
        <f t="shared" si="72"/>
        <v>4432944.1492307726</v>
      </c>
      <c r="Z286" s="548"/>
    </row>
    <row r="287" spans="1:26">
      <c r="A287" s="131"/>
      <c r="B287" s="2" t="s">
        <v>434</v>
      </c>
      <c r="C287" s="131"/>
      <c r="D287" s="528"/>
      <c r="E287" s="528"/>
      <c r="F287" s="113">
        <f t="shared" si="66"/>
        <v>17275998.307692308</v>
      </c>
      <c r="G287" s="525">
        <f t="shared" si="67"/>
        <v>17275998.307692312</v>
      </c>
      <c r="H287" s="113">
        <f t="shared" si="69"/>
        <v>57285</v>
      </c>
      <c r="I287" s="524">
        <f t="shared" si="64"/>
        <v>-13244049.158461537</v>
      </c>
      <c r="J287" s="525">
        <f t="shared" si="68"/>
        <v>-12900339.158461539</v>
      </c>
      <c r="K287" s="526">
        <f t="shared" si="59"/>
        <v>4031949.1492307708</v>
      </c>
      <c r="L287" s="525">
        <f t="shared" si="70"/>
        <v>-1411182.2022307697</v>
      </c>
      <c r="M287" s="525">
        <f t="shared" si="61"/>
        <v>-20049.75</v>
      </c>
      <c r="N287" s="529"/>
      <c r="O287" s="525">
        <f t="shared" si="73"/>
        <v>0</v>
      </c>
      <c r="P287" s="529">
        <f t="shared" si="65"/>
        <v>4031949.1492307708</v>
      </c>
      <c r="Q287" s="528"/>
      <c r="R287" s="528"/>
      <c r="S287" s="528"/>
      <c r="T287" s="528"/>
      <c r="U287" s="529">
        <f t="shared" si="60"/>
        <v>-1411182.1247564103</v>
      </c>
      <c r="V287" s="525">
        <f t="shared" si="62"/>
        <v>-1531480.6247564105</v>
      </c>
      <c r="W287" s="530">
        <f t="shared" si="63"/>
        <v>2844178.5244743619</v>
      </c>
      <c r="X287" s="255">
        <f t="shared" si="71"/>
        <v>2620767.0244743605</v>
      </c>
      <c r="Y287" s="136">
        <f t="shared" si="72"/>
        <v>4375659.1492307726</v>
      </c>
      <c r="Z287" s="548"/>
    </row>
    <row r="288" spans="1:26">
      <c r="A288" s="131"/>
      <c r="B288" s="2" t="s">
        <v>435</v>
      </c>
      <c r="C288" s="131"/>
      <c r="D288" s="528"/>
      <c r="E288" s="528"/>
      <c r="F288" s="113">
        <f t="shared" si="66"/>
        <v>17275998.307692308</v>
      </c>
      <c r="G288" s="525">
        <f t="shared" si="67"/>
        <v>17275998.307692312</v>
      </c>
      <c r="H288" s="113">
        <f t="shared" si="69"/>
        <v>57285</v>
      </c>
      <c r="I288" s="524">
        <f t="shared" si="64"/>
        <v>-13301334.158461537</v>
      </c>
      <c r="J288" s="525">
        <f t="shared" si="68"/>
        <v>-12957624.158461539</v>
      </c>
      <c r="K288" s="526">
        <f t="shared" si="59"/>
        <v>3974664.1492307708</v>
      </c>
      <c r="L288" s="525">
        <f t="shared" si="70"/>
        <v>-1391132.4522307697</v>
      </c>
      <c r="M288" s="525">
        <f t="shared" si="61"/>
        <v>-20049.75</v>
      </c>
      <c r="N288" s="529"/>
      <c r="O288" s="525">
        <f t="shared" si="73"/>
        <v>0</v>
      </c>
      <c r="P288" s="529">
        <f t="shared" si="65"/>
        <v>3974664.1492307708</v>
      </c>
      <c r="Q288" s="528"/>
      <c r="R288" s="528"/>
      <c r="S288" s="528"/>
      <c r="T288" s="528"/>
      <c r="U288" s="529">
        <f t="shared" si="60"/>
        <v>-1391132.3747564103</v>
      </c>
      <c r="V288" s="525">
        <f t="shared" si="62"/>
        <v>-1511430.8747564105</v>
      </c>
      <c r="W288" s="530">
        <f t="shared" si="63"/>
        <v>2806943.2744743619</v>
      </c>
      <c r="X288" s="255">
        <f t="shared" si="71"/>
        <v>2583531.7744743605</v>
      </c>
      <c r="Y288" s="136">
        <f t="shared" si="72"/>
        <v>4318374.1492307726</v>
      </c>
      <c r="Z288" s="548"/>
    </row>
    <row r="289" spans="1:26">
      <c r="A289" s="131"/>
      <c r="B289" s="2" t="s">
        <v>436</v>
      </c>
      <c r="C289" s="131"/>
      <c r="D289" s="528"/>
      <c r="E289" s="528"/>
      <c r="F289" s="113">
        <f t="shared" si="66"/>
        <v>17275998.307692308</v>
      </c>
      <c r="G289" s="525">
        <f t="shared" si="67"/>
        <v>17275998.307692312</v>
      </c>
      <c r="H289" s="113">
        <f t="shared" si="69"/>
        <v>57285</v>
      </c>
      <c r="I289" s="524">
        <f t="shared" si="64"/>
        <v>-13358619.158461537</v>
      </c>
      <c r="J289" s="525">
        <f t="shared" si="68"/>
        <v>-13014909.158461539</v>
      </c>
      <c r="K289" s="526">
        <f t="shared" si="59"/>
        <v>3917379.1492307708</v>
      </c>
      <c r="L289" s="525">
        <f t="shared" si="70"/>
        <v>-1371082.7022307697</v>
      </c>
      <c r="M289" s="525">
        <f t="shared" si="61"/>
        <v>-20049.75</v>
      </c>
      <c r="N289" s="529"/>
      <c r="O289" s="525">
        <f t="shared" si="73"/>
        <v>0</v>
      </c>
      <c r="P289" s="529">
        <f t="shared" si="65"/>
        <v>3917379.1492307708</v>
      </c>
      <c r="Q289" s="528"/>
      <c r="R289" s="528"/>
      <c r="S289" s="528"/>
      <c r="T289" s="528"/>
      <c r="U289" s="529">
        <f t="shared" si="60"/>
        <v>-1371082.6247564103</v>
      </c>
      <c r="V289" s="525">
        <f t="shared" si="62"/>
        <v>-1491381.1247564105</v>
      </c>
      <c r="W289" s="530">
        <f t="shared" si="63"/>
        <v>2769708.0244743619</v>
      </c>
      <c r="X289" s="255">
        <f t="shared" si="71"/>
        <v>2546296.5244743605</v>
      </c>
      <c r="Y289" s="136">
        <f t="shared" si="72"/>
        <v>4261089.1492307726</v>
      </c>
      <c r="Z289" s="548"/>
    </row>
    <row r="290" spans="1:26">
      <c r="A290" s="131"/>
      <c r="B290" s="2" t="s">
        <v>437</v>
      </c>
      <c r="C290" s="131"/>
      <c r="D290" s="528"/>
      <c r="E290" s="528"/>
      <c r="F290" s="113">
        <f t="shared" si="66"/>
        <v>17275998.307692308</v>
      </c>
      <c r="G290" s="525">
        <f t="shared" si="67"/>
        <v>17275998.307692312</v>
      </c>
      <c r="H290" s="113">
        <f t="shared" si="69"/>
        <v>57285</v>
      </c>
      <c r="I290" s="524">
        <f t="shared" si="64"/>
        <v>-13415904.158461537</v>
      </c>
      <c r="J290" s="525">
        <f t="shared" si="68"/>
        <v>-13072194.158461539</v>
      </c>
      <c r="K290" s="526">
        <f t="shared" si="59"/>
        <v>3860094.1492307708</v>
      </c>
      <c r="L290" s="525">
        <f t="shared" si="70"/>
        <v>-1351032.9522307697</v>
      </c>
      <c r="M290" s="525">
        <f t="shared" si="61"/>
        <v>-20049.75</v>
      </c>
      <c r="N290" s="529"/>
      <c r="O290" s="525">
        <f t="shared" si="73"/>
        <v>0</v>
      </c>
      <c r="P290" s="529">
        <f t="shared" si="65"/>
        <v>3860094.1492307708</v>
      </c>
      <c r="Q290" s="528"/>
      <c r="R290" s="528"/>
      <c r="S290" s="528"/>
      <c r="T290" s="528"/>
      <c r="U290" s="529">
        <f t="shared" si="60"/>
        <v>-1351032.8747564103</v>
      </c>
      <c r="V290" s="525">
        <f t="shared" si="62"/>
        <v>-1471331.3747564105</v>
      </c>
      <c r="W290" s="530">
        <f t="shared" si="63"/>
        <v>2732472.7744743619</v>
      </c>
      <c r="X290" s="255">
        <f t="shared" si="71"/>
        <v>2509061.2744743605</v>
      </c>
      <c r="Y290" s="136">
        <f t="shared" si="72"/>
        <v>4203804.1492307726</v>
      </c>
      <c r="Z290" s="548"/>
    </row>
    <row r="291" spans="1:26">
      <c r="A291" s="131"/>
      <c r="B291" s="2" t="s">
        <v>438</v>
      </c>
      <c r="C291" s="131"/>
      <c r="D291" s="528"/>
      <c r="E291" s="528"/>
      <c r="F291" s="113">
        <f t="shared" si="66"/>
        <v>17275998.307692308</v>
      </c>
      <c r="G291" s="525">
        <f t="shared" si="67"/>
        <v>17275998.307692312</v>
      </c>
      <c r="H291" s="113">
        <f t="shared" si="69"/>
        <v>57285</v>
      </c>
      <c r="I291" s="524">
        <f t="shared" si="64"/>
        <v>-13473189.158461537</v>
      </c>
      <c r="J291" s="525">
        <f t="shared" si="68"/>
        <v>-13129479.158461539</v>
      </c>
      <c r="K291" s="526">
        <f t="shared" si="59"/>
        <v>3802809.1492307708</v>
      </c>
      <c r="L291" s="525">
        <f t="shared" si="70"/>
        <v>-1330983.2022307697</v>
      </c>
      <c r="M291" s="525">
        <f t="shared" si="61"/>
        <v>-20049.75</v>
      </c>
      <c r="N291" s="529"/>
      <c r="O291" s="525">
        <f t="shared" si="73"/>
        <v>0</v>
      </c>
      <c r="P291" s="529">
        <f t="shared" si="65"/>
        <v>3802809.1492307708</v>
      </c>
      <c r="Q291" s="528"/>
      <c r="R291" s="528"/>
      <c r="S291" s="528"/>
      <c r="T291" s="528"/>
      <c r="U291" s="529">
        <f t="shared" si="60"/>
        <v>-1330983.1247564103</v>
      </c>
      <c r="V291" s="525">
        <f t="shared" si="62"/>
        <v>-1451281.6247564105</v>
      </c>
      <c r="W291" s="530">
        <f t="shared" si="63"/>
        <v>2695237.5244743619</v>
      </c>
      <c r="X291" s="255">
        <f t="shared" si="71"/>
        <v>2471826.0244743605</v>
      </c>
      <c r="Y291" s="136">
        <f t="shared" si="72"/>
        <v>4146519.1492307726</v>
      </c>
      <c r="Z291" s="548"/>
    </row>
    <row r="292" spans="1:26">
      <c r="A292" s="131"/>
      <c r="B292" s="2" t="s">
        <v>439</v>
      </c>
      <c r="C292" s="131"/>
      <c r="D292" s="528"/>
      <c r="E292" s="528"/>
      <c r="F292" s="113">
        <f t="shared" si="66"/>
        <v>17275998.307692308</v>
      </c>
      <c r="G292" s="525">
        <f t="shared" si="67"/>
        <v>17275998.307692312</v>
      </c>
      <c r="H292" s="113">
        <f t="shared" si="69"/>
        <v>57285</v>
      </c>
      <c r="I292" s="524">
        <f t="shared" si="64"/>
        <v>-13530474.158461537</v>
      </c>
      <c r="J292" s="525">
        <f t="shared" si="68"/>
        <v>-13186764.158461539</v>
      </c>
      <c r="K292" s="526">
        <f t="shared" si="59"/>
        <v>3745524.1492307708</v>
      </c>
      <c r="L292" s="525">
        <f t="shared" si="70"/>
        <v>-1310933.4522307697</v>
      </c>
      <c r="M292" s="525">
        <f t="shared" si="61"/>
        <v>-20049.75</v>
      </c>
      <c r="N292" s="529"/>
      <c r="O292" s="525">
        <f t="shared" si="73"/>
        <v>0</v>
      </c>
      <c r="P292" s="529">
        <f t="shared" si="65"/>
        <v>3745524.1492307708</v>
      </c>
      <c r="Q292" s="528"/>
      <c r="R292" s="528"/>
      <c r="S292" s="528"/>
      <c r="T292" s="528"/>
      <c r="U292" s="529">
        <f t="shared" si="60"/>
        <v>-1310933.3747564103</v>
      </c>
      <c r="V292" s="525">
        <f t="shared" si="62"/>
        <v>-1431231.8747564105</v>
      </c>
      <c r="W292" s="530">
        <f t="shared" si="63"/>
        <v>2658002.2744743619</v>
      </c>
      <c r="X292" s="255">
        <f t="shared" si="71"/>
        <v>2434590.7744743605</v>
      </c>
      <c r="Y292" s="136">
        <f t="shared" si="72"/>
        <v>4089234.1492307726</v>
      </c>
      <c r="Z292" s="548"/>
    </row>
    <row r="293" spans="1:26">
      <c r="A293" s="131"/>
      <c r="B293" s="2" t="s">
        <v>440</v>
      </c>
      <c r="C293" s="131"/>
      <c r="D293" s="528"/>
      <c r="E293" s="528"/>
      <c r="F293" s="113">
        <f t="shared" si="66"/>
        <v>17275998.307692308</v>
      </c>
      <c r="G293" s="525">
        <f t="shared" si="67"/>
        <v>17275998.307692312</v>
      </c>
      <c r="H293" s="113">
        <f t="shared" si="69"/>
        <v>57285</v>
      </c>
      <c r="I293" s="524">
        <f t="shared" si="64"/>
        <v>-13587759.158461537</v>
      </c>
      <c r="J293" s="525">
        <f t="shared" si="68"/>
        <v>-13244049.158461539</v>
      </c>
      <c r="K293" s="526">
        <f t="shared" ref="K293:K356" si="74">F293+I293</f>
        <v>3688239.1492307708</v>
      </c>
      <c r="L293" s="525">
        <f t="shared" si="70"/>
        <v>-1290883.7022307697</v>
      </c>
      <c r="M293" s="525">
        <f t="shared" si="61"/>
        <v>-20049.75</v>
      </c>
      <c r="N293" s="529"/>
      <c r="O293" s="525">
        <f t="shared" si="73"/>
        <v>0</v>
      </c>
      <c r="P293" s="529">
        <f t="shared" si="65"/>
        <v>3688239.1492307708</v>
      </c>
      <c r="Q293" s="528"/>
      <c r="R293" s="528"/>
      <c r="S293" s="528"/>
      <c r="T293" s="528"/>
      <c r="U293" s="529">
        <f t="shared" si="60"/>
        <v>-1290883.6247564103</v>
      </c>
      <c r="V293" s="525">
        <f t="shared" si="62"/>
        <v>-1411182.1247564105</v>
      </c>
      <c r="W293" s="530">
        <f t="shared" si="63"/>
        <v>2620767.0244743619</v>
      </c>
      <c r="X293" s="255">
        <f t="shared" si="71"/>
        <v>2397355.5244743605</v>
      </c>
      <c r="Y293" s="136">
        <f t="shared" si="72"/>
        <v>4031949.1492307726</v>
      </c>
      <c r="Z293" s="548"/>
    </row>
    <row r="294" spans="1:26">
      <c r="A294" s="131"/>
      <c r="B294" s="2" t="s">
        <v>441</v>
      </c>
      <c r="C294" s="131"/>
      <c r="D294" s="528"/>
      <c r="E294" s="528"/>
      <c r="F294" s="113">
        <f t="shared" si="66"/>
        <v>17275998.307692308</v>
      </c>
      <c r="G294" s="525">
        <f t="shared" si="67"/>
        <v>17275998.307692312</v>
      </c>
      <c r="H294" s="113">
        <f t="shared" si="69"/>
        <v>57285</v>
      </c>
      <c r="I294" s="524">
        <f t="shared" si="64"/>
        <v>-13645044.158461537</v>
      </c>
      <c r="J294" s="525">
        <f t="shared" si="68"/>
        <v>-13301334.158461539</v>
      </c>
      <c r="K294" s="526">
        <f t="shared" si="74"/>
        <v>3630954.1492307708</v>
      </c>
      <c r="L294" s="525">
        <f t="shared" si="70"/>
        <v>-1270833.9522307697</v>
      </c>
      <c r="M294" s="525">
        <f t="shared" si="61"/>
        <v>-20049.75</v>
      </c>
      <c r="N294" s="529"/>
      <c r="O294" s="525">
        <f t="shared" si="73"/>
        <v>0</v>
      </c>
      <c r="P294" s="529">
        <f t="shared" si="65"/>
        <v>3630954.1492307708</v>
      </c>
      <c r="Q294" s="528"/>
      <c r="R294" s="528"/>
      <c r="S294" s="528"/>
      <c r="T294" s="528"/>
      <c r="U294" s="529">
        <f t="shared" si="60"/>
        <v>-1270833.8747564103</v>
      </c>
      <c r="V294" s="525">
        <f t="shared" si="62"/>
        <v>-1391132.3747564105</v>
      </c>
      <c r="W294" s="530">
        <f t="shared" si="63"/>
        <v>2583531.7744743619</v>
      </c>
      <c r="X294" s="255">
        <f t="shared" si="71"/>
        <v>2360120.2744743605</v>
      </c>
      <c r="Y294" s="136">
        <f t="shared" si="72"/>
        <v>3974664.1492307726</v>
      </c>
      <c r="Z294" s="548"/>
    </row>
    <row r="295" spans="1:26">
      <c r="A295" s="131"/>
      <c r="B295" s="2" t="s">
        <v>442</v>
      </c>
      <c r="C295" s="131"/>
      <c r="D295" s="528"/>
      <c r="E295" s="528"/>
      <c r="F295" s="113">
        <f t="shared" si="66"/>
        <v>17275998.307692308</v>
      </c>
      <c r="G295" s="525">
        <f t="shared" si="67"/>
        <v>17275998.307692312</v>
      </c>
      <c r="H295" s="113">
        <f t="shared" si="69"/>
        <v>57285</v>
      </c>
      <c r="I295" s="524">
        <f t="shared" si="64"/>
        <v>-13702329.158461537</v>
      </c>
      <c r="J295" s="525">
        <f t="shared" si="68"/>
        <v>-13358619.158461539</v>
      </c>
      <c r="K295" s="526">
        <f t="shared" si="74"/>
        <v>3573669.1492307708</v>
      </c>
      <c r="L295" s="525">
        <f t="shared" si="70"/>
        <v>-1250784.2022307697</v>
      </c>
      <c r="M295" s="525">
        <f t="shared" si="61"/>
        <v>-20049.75</v>
      </c>
      <c r="N295" s="529"/>
      <c r="O295" s="525">
        <f t="shared" si="73"/>
        <v>0</v>
      </c>
      <c r="P295" s="529">
        <f t="shared" si="65"/>
        <v>3573669.1492307708</v>
      </c>
      <c r="Q295" s="528"/>
      <c r="R295" s="528"/>
      <c r="S295" s="528"/>
      <c r="T295" s="528"/>
      <c r="U295" s="529">
        <f t="shared" ref="U295:U358" si="75">U294-M295</f>
        <v>-1250784.1247564103</v>
      </c>
      <c r="V295" s="525">
        <f t="shared" si="62"/>
        <v>-1371082.6247564105</v>
      </c>
      <c r="W295" s="530">
        <f t="shared" si="63"/>
        <v>2546296.5244743619</v>
      </c>
      <c r="X295" s="255">
        <f t="shared" si="71"/>
        <v>2322885.0244743605</v>
      </c>
      <c r="Y295" s="136">
        <f t="shared" si="72"/>
        <v>3917379.1492307726</v>
      </c>
      <c r="Z295" s="548"/>
    </row>
    <row r="296" spans="1:26">
      <c r="A296" s="131"/>
      <c r="B296" s="2" t="s">
        <v>443</v>
      </c>
      <c r="C296" s="131"/>
      <c r="D296" s="528"/>
      <c r="E296" s="528"/>
      <c r="F296" s="113">
        <f t="shared" si="66"/>
        <v>17275998.307692308</v>
      </c>
      <c r="G296" s="525">
        <f t="shared" si="67"/>
        <v>17275998.307692312</v>
      </c>
      <c r="H296" s="113">
        <f t="shared" si="69"/>
        <v>57285</v>
      </c>
      <c r="I296" s="524">
        <f t="shared" si="64"/>
        <v>-13759614.158461537</v>
      </c>
      <c r="J296" s="525">
        <f t="shared" si="68"/>
        <v>-13415904.158461539</v>
      </c>
      <c r="K296" s="526">
        <f t="shared" si="74"/>
        <v>3516384.1492307708</v>
      </c>
      <c r="L296" s="525">
        <f t="shared" si="70"/>
        <v>-1230734.4522307697</v>
      </c>
      <c r="M296" s="525">
        <f t="shared" ref="M296:M359" si="76">-L296+L295</f>
        <v>-20049.75</v>
      </c>
      <c r="N296" s="529"/>
      <c r="O296" s="525">
        <f t="shared" si="73"/>
        <v>0</v>
      </c>
      <c r="P296" s="529">
        <f t="shared" si="65"/>
        <v>3516384.1492307708</v>
      </c>
      <c r="Q296" s="528"/>
      <c r="R296" s="528"/>
      <c r="S296" s="528"/>
      <c r="T296" s="528"/>
      <c r="U296" s="529">
        <f t="shared" si="75"/>
        <v>-1230734.3747564103</v>
      </c>
      <c r="V296" s="525">
        <f t="shared" si="62"/>
        <v>-1351032.8747564105</v>
      </c>
      <c r="W296" s="530">
        <f t="shared" si="63"/>
        <v>2509061.2744743619</v>
      </c>
      <c r="X296" s="255">
        <f t="shared" si="71"/>
        <v>2285649.7744743605</v>
      </c>
      <c r="Y296" s="136">
        <f t="shared" si="72"/>
        <v>3860094.1492307726</v>
      </c>
      <c r="Z296" s="548"/>
    </row>
    <row r="297" spans="1:26">
      <c r="A297" s="131"/>
      <c r="B297" s="2" t="s">
        <v>444</v>
      </c>
      <c r="C297" s="131"/>
      <c r="D297" s="528"/>
      <c r="E297" s="528"/>
      <c r="F297" s="113">
        <f t="shared" si="66"/>
        <v>17275998.307692308</v>
      </c>
      <c r="G297" s="525">
        <f t="shared" si="67"/>
        <v>17275998.307692312</v>
      </c>
      <c r="H297" s="113">
        <f t="shared" si="69"/>
        <v>57285</v>
      </c>
      <c r="I297" s="524">
        <f t="shared" si="64"/>
        <v>-13816899.158461537</v>
      </c>
      <c r="J297" s="525">
        <f t="shared" si="68"/>
        <v>-13473189.158461539</v>
      </c>
      <c r="K297" s="526">
        <f t="shared" si="74"/>
        <v>3459099.1492307708</v>
      </c>
      <c r="L297" s="525">
        <f t="shared" si="70"/>
        <v>-1210684.7022307697</v>
      </c>
      <c r="M297" s="525">
        <f t="shared" si="76"/>
        <v>-20049.75</v>
      </c>
      <c r="N297" s="529"/>
      <c r="O297" s="525">
        <f t="shared" si="73"/>
        <v>0</v>
      </c>
      <c r="P297" s="529">
        <f t="shared" si="65"/>
        <v>3459099.1492307708</v>
      </c>
      <c r="Q297" s="528"/>
      <c r="R297" s="528"/>
      <c r="S297" s="528"/>
      <c r="T297" s="528"/>
      <c r="U297" s="529">
        <f t="shared" si="75"/>
        <v>-1210684.6247564103</v>
      </c>
      <c r="V297" s="525">
        <f t="shared" si="62"/>
        <v>-1330983.1247564105</v>
      </c>
      <c r="W297" s="530">
        <f t="shared" si="63"/>
        <v>2471826.0244743619</v>
      </c>
      <c r="X297" s="255">
        <f t="shared" si="71"/>
        <v>2248414.5244743605</v>
      </c>
      <c r="Y297" s="136">
        <f t="shared" si="72"/>
        <v>3802809.1492307726</v>
      </c>
      <c r="Z297" s="548"/>
    </row>
    <row r="298" spans="1:26">
      <c r="A298" s="131"/>
      <c r="B298" s="2" t="s">
        <v>445</v>
      </c>
      <c r="C298" s="131"/>
      <c r="D298" s="528"/>
      <c r="E298" s="528"/>
      <c r="F298" s="113">
        <f t="shared" si="66"/>
        <v>17275998.307692308</v>
      </c>
      <c r="G298" s="525">
        <f t="shared" si="67"/>
        <v>17275998.307692312</v>
      </c>
      <c r="H298" s="113">
        <f t="shared" si="69"/>
        <v>57285</v>
      </c>
      <c r="I298" s="524">
        <f t="shared" si="64"/>
        <v>-13874184.158461537</v>
      </c>
      <c r="J298" s="525">
        <f t="shared" si="68"/>
        <v>-13530474.158461539</v>
      </c>
      <c r="K298" s="526">
        <f t="shared" si="74"/>
        <v>3401814.1492307708</v>
      </c>
      <c r="L298" s="525">
        <f t="shared" si="70"/>
        <v>-1190634.9522307697</v>
      </c>
      <c r="M298" s="525">
        <f t="shared" si="76"/>
        <v>-20049.75</v>
      </c>
      <c r="N298" s="529"/>
      <c r="O298" s="525">
        <f t="shared" si="73"/>
        <v>0</v>
      </c>
      <c r="P298" s="529">
        <f t="shared" si="65"/>
        <v>3401814.1492307708</v>
      </c>
      <c r="Q298" s="528"/>
      <c r="R298" s="528"/>
      <c r="S298" s="528"/>
      <c r="T298" s="528"/>
      <c r="U298" s="529">
        <f t="shared" si="75"/>
        <v>-1190634.8747564103</v>
      </c>
      <c r="V298" s="525">
        <f t="shared" si="62"/>
        <v>-1310933.3747564105</v>
      </c>
      <c r="W298" s="530">
        <f t="shared" si="63"/>
        <v>2434590.7744743619</v>
      </c>
      <c r="X298" s="255">
        <f t="shared" si="71"/>
        <v>2211179.2744743605</v>
      </c>
      <c r="Y298" s="136">
        <f t="shared" si="72"/>
        <v>3745524.1492307726</v>
      </c>
      <c r="Z298" s="548"/>
    </row>
    <row r="299" spans="1:26">
      <c r="A299" s="131"/>
      <c r="B299" s="2" t="s">
        <v>446</v>
      </c>
      <c r="C299" s="131"/>
      <c r="D299" s="528"/>
      <c r="E299" s="528"/>
      <c r="F299" s="113">
        <f t="shared" si="66"/>
        <v>17275998.307692308</v>
      </c>
      <c r="G299" s="525">
        <f t="shared" si="67"/>
        <v>17275998.307692312</v>
      </c>
      <c r="H299" s="113">
        <f t="shared" si="69"/>
        <v>57285</v>
      </c>
      <c r="I299" s="524">
        <f t="shared" si="64"/>
        <v>-13931469.158461537</v>
      </c>
      <c r="J299" s="525">
        <f t="shared" si="68"/>
        <v>-13587759.158461539</v>
      </c>
      <c r="K299" s="526">
        <f t="shared" si="74"/>
        <v>3344529.1492307708</v>
      </c>
      <c r="L299" s="525">
        <f t="shared" si="70"/>
        <v>-1170585.2022307697</v>
      </c>
      <c r="M299" s="525">
        <f t="shared" si="76"/>
        <v>-20049.75</v>
      </c>
      <c r="N299" s="529"/>
      <c r="O299" s="525">
        <f t="shared" si="73"/>
        <v>0</v>
      </c>
      <c r="P299" s="529">
        <f t="shared" si="65"/>
        <v>3344529.1492307708</v>
      </c>
      <c r="Q299" s="528"/>
      <c r="R299" s="528"/>
      <c r="S299" s="528"/>
      <c r="T299" s="528"/>
      <c r="U299" s="529">
        <f t="shared" si="75"/>
        <v>-1170585.1247564103</v>
      </c>
      <c r="V299" s="525">
        <f t="shared" si="62"/>
        <v>-1290883.6247564105</v>
      </c>
      <c r="W299" s="530">
        <f t="shared" si="63"/>
        <v>2397355.5244743619</v>
      </c>
      <c r="X299" s="255">
        <f t="shared" si="71"/>
        <v>2173944.0244743605</v>
      </c>
      <c r="Y299" s="136">
        <f t="shared" si="72"/>
        <v>3688239.1492307726</v>
      </c>
      <c r="Z299" s="548"/>
    </row>
    <row r="300" spans="1:26">
      <c r="A300" s="131"/>
      <c r="B300" s="2" t="s">
        <v>447</v>
      </c>
      <c r="C300" s="131"/>
      <c r="D300" s="528"/>
      <c r="E300" s="528"/>
      <c r="F300" s="113">
        <f t="shared" si="66"/>
        <v>17275998.307692308</v>
      </c>
      <c r="G300" s="525">
        <f t="shared" si="67"/>
        <v>17275998.307692312</v>
      </c>
      <c r="H300" s="113">
        <f t="shared" si="69"/>
        <v>57285</v>
      </c>
      <c r="I300" s="524">
        <f t="shared" si="64"/>
        <v>-13988754.158461537</v>
      </c>
      <c r="J300" s="525">
        <f t="shared" si="68"/>
        <v>-13645044.158461539</v>
      </c>
      <c r="K300" s="526">
        <f t="shared" si="74"/>
        <v>3287244.1492307708</v>
      </c>
      <c r="L300" s="525">
        <f t="shared" si="70"/>
        <v>-1150535.4522307697</v>
      </c>
      <c r="M300" s="525">
        <f t="shared" si="76"/>
        <v>-20049.75</v>
      </c>
      <c r="N300" s="529"/>
      <c r="O300" s="525">
        <f t="shared" si="73"/>
        <v>0</v>
      </c>
      <c r="P300" s="529">
        <f t="shared" si="65"/>
        <v>3287244.1492307708</v>
      </c>
      <c r="Q300" s="528"/>
      <c r="R300" s="528"/>
      <c r="S300" s="528"/>
      <c r="T300" s="528"/>
      <c r="U300" s="529">
        <f t="shared" si="75"/>
        <v>-1150535.3747564103</v>
      </c>
      <c r="V300" s="525">
        <f t="shared" si="62"/>
        <v>-1270833.8747564105</v>
      </c>
      <c r="W300" s="530">
        <f t="shared" si="63"/>
        <v>2360120.2744743619</v>
      </c>
      <c r="X300" s="255">
        <f t="shared" si="71"/>
        <v>2136708.7744743605</v>
      </c>
      <c r="Y300" s="136">
        <f t="shared" si="72"/>
        <v>3630954.1492307726</v>
      </c>
      <c r="Z300" s="548"/>
    </row>
    <row r="301" spans="1:26">
      <c r="A301" s="131"/>
      <c r="B301" s="2" t="s">
        <v>448</v>
      </c>
      <c r="C301" s="131"/>
      <c r="D301" s="528"/>
      <c r="E301" s="528"/>
      <c r="F301" s="113">
        <f t="shared" si="66"/>
        <v>17275998.307692308</v>
      </c>
      <c r="G301" s="525">
        <f t="shared" si="67"/>
        <v>17275998.307692312</v>
      </c>
      <c r="H301" s="113">
        <f t="shared" si="69"/>
        <v>57285</v>
      </c>
      <c r="I301" s="524">
        <f t="shared" si="64"/>
        <v>-14046039.158461537</v>
      </c>
      <c r="J301" s="525">
        <f t="shared" si="68"/>
        <v>-13702329.158461539</v>
      </c>
      <c r="K301" s="526">
        <f t="shared" si="74"/>
        <v>3229959.1492307708</v>
      </c>
      <c r="L301" s="525">
        <f t="shared" si="70"/>
        <v>-1130485.7022307697</v>
      </c>
      <c r="M301" s="525">
        <f t="shared" si="76"/>
        <v>-20049.75</v>
      </c>
      <c r="N301" s="529"/>
      <c r="O301" s="525">
        <f t="shared" si="73"/>
        <v>0</v>
      </c>
      <c r="P301" s="529">
        <f t="shared" si="65"/>
        <v>3229959.1492307708</v>
      </c>
      <c r="Q301" s="528"/>
      <c r="R301" s="528"/>
      <c r="S301" s="528"/>
      <c r="T301" s="528"/>
      <c r="U301" s="529">
        <f t="shared" si="75"/>
        <v>-1130485.6247564103</v>
      </c>
      <c r="V301" s="525">
        <f t="shared" si="62"/>
        <v>-1250784.1247564105</v>
      </c>
      <c r="W301" s="530">
        <f t="shared" si="63"/>
        <v>2322885.0244743619</v>
      </c>
      <c r="X301" s="255">
        <f t="shared" si="71"/>
        <v>2099473.5244743605</v>
      </c>
      <c r="Y301" s="136">
        <f t="shared" si="72"/>
        <v>3573669.1492307726</v>
      </c>
      <c r="Z301" s="548"/>
    </row>
    <row r="302" spans="1:26">
      <c r="A302" s="131"/>
      <c r="B302" s="2" t="s">
        <v>449</v>
      </c>
      <c r="C302" s="131"/>
      <c r="D302" s="528"/>
      <c r="E302" s="528"/>
      <c r="F302" s="113">
        <f t="shared" si="66"/>
        <v>17275998.307692308</v>
      </c>
      <c r="G302" s="525">
        <f t="shared" si="67"/>
        <v>17275998.307692312</v>
      </c>
      <c r="H302" s="113">
        <f t="shared" si="69"/>
        <v>57285</v>
      </c>
      <c r="I302" s="524">
        <f t="shared" si="64"/>
        <v>-14103324.158461537</v>
      </c>
      <c r="J302" s="525">
        <f t="shared" si="68"/>
        <v>-13759614.158461539</v>
      </c>
      <c r="K302" s="526">
        <f t="shared" si="74"/>
        <v>3172674.1492307708</v>
      </c>
      <c r="L302" s="525">
        <f t="shared" si="70"/>
        <v>-1110435.9522307697</v>
      </c>
      <c r="M302" s="525">
        <f t="shared" si="76"/>
        <v>-20049.75</v>
      </c>
      <c r="N302" s="529"/>
      <c r="O302" s="525">
        <f t="shared" si="73"/>
        <v>0</v>
      </c>
      <c r="P302" s="529">
        <f t="shared" si="65"/>
        <v>3172674.1492307708</v>
      </c>
      <c r="Q302" s="528"/>
      <c r="R302" s="528"/>
      <c r="S302" s="528"/>
      <c r="T302" s="528"/>
      <c r="U302" s="529">
        <f t="shared" si="75"/>
        <v>-1110435.8747564103</v>
      </c>
      <c r="V302" s="525">
        <f t="shared" si="62"/>
        <v>-1230734.3747564105</v>
      </c>
      <c r="W302" s="530">
        <f t="shared" si="63"/>
        <v>2285649.7744743619</v>
      </c>
      <c r="X302" s="255">
        <f t="shared" si="71"/>
        <v>2062238.2744743605</v>
      </c>
      <c r="Y302" s="136">
        <f t="shared" si="72"/>
        <v>3516384.1492307726</v>
      </c>
      <c r="Z302" s="548"/>
    </row>
    <row r="303" spans="1:26">
      <c r="A303" s="131"/>
      <c r="B303" s="2" t="s">
        <v>450</v>
      </c>
      <c r="C303" s="131"/>
      <c r="D303" s="528"/>
      <c r="E303" s="528"/>
      <c r="F303" s="113">
        <f t="shared" si="66"/>
        <v>17275998.307692308</v>
      </c>
      <c r="G303" s="525">
        <f t="shared" si="67"/>
        <v>17275998.307692312</v>
      </c>
      <c r="H303" s="113">
        <f t="shared" si="69"/>
        <v>57285</v>
      </c>
      <c r="I303" s="524">
        <f t="shared" si="64"/>
        <v>-14160609.158461537</v>
      </c>
      <c r="J303" s="525">
        <f t="shared" si="68"/>
        <v>-13816899.158461539</v>
      </c>
      <c r="K303" s="526">
        <f t="shared" si="74"/>
        <v>3115389.1492307708</v>
      </c>
      <c r="L303" s="525">
        <f t="shared" si="70"/>
        <v>-1090386.2022307697</v>
      </c>
      <c r="M303" s="525">
        <f t="shared" si="76"/>
        <v>-20049.75</v>
      </c>
      <c r="N303" s="529"/>
      <c r="O303" s="525">
        <f t="shared" si="73"/>
        <v>0</v>
      </c>
      <c r="P303" s="529">
        <f t="shared" si="65"/>
        <v>3115389.1492307708</v>
      </c>
      <c r="Q303" s="528"/>
      <c r="R303" s="528"/>
      <c r="S303" s="528"/>
      <c r="T303" s="528"/>
      <c r="U303" s="529">
        <f t="shared" si="75"/>
        <v>-1090386.1247564103</v>
      </c>
      <c r="V303" s="525">
        <f t="shared" si="62"/>
        <v>-1210684.6247564105</v>
      </c>
      <c r="W303" s="530">
        <f t="shared" si="63"/>
        <v>2248414.5244743619</v>
      </c>
      <c r="X303" s="255">
        <f t="shared" si="71"/>
        <v>2025003.0244743605</v>
      </c>
      <c r="Y303" s="136">
        <f t="shared" si="72"/>
        <v>3459099.1492307726</v>
      </c>
      <c r="Z303" s="548"/>
    </row>
    <row r="304" spans="1:26">
      <c r="A304" s="131"/>
      <c r="B304" s="2" t="s">
        <v>451</v>
      </c>
      <c r="C304" s="131"/>
      <c r="D304" s="528"/>
      <c r="E304" s="528"/>
      <c r="F304" s="113">
        <f t="shared" si="66"/>
        <v>17275998.307692308</v>
      </c>
      <c r="G304" s="525">
        <f t="shared" si="67"/>
        <v>17275998.307692312</v>
      </c>
      <c r="H304" s="113">
        <f t="shared" si="69"/>
        <v>57285</v>
      </c>
      <c r="I304" s="524">
        <f t="shared" si="64"/>
        <v>-14217894.158461537</v>
      </c>
      <c r="J304" s="525">
        <f t="shared" si="68"/>
        <v>-13874184.158461539</v>
      </c>
      <c r="K304" s="526">
        <f t="shared" si="74"/>
        <v>3058104.1492307708</v>
      </c>
      <c r="L304" s="525">
        <f t="shared" si="70"/>
        <v>-1070336.4522307697</v>
      </c>
      <c r="M304" s="525">
        <f t="shared" si="76"/>
        <v>-20049.75</v>
      </c>
      <c r="N304" s="529"/>
      <c r="O304" s="525">
        <f t="shared" si="73"/>
        <v>0</v>
      </c>
      <c r="P304" s="529">
        <f t="shared" si="65"/>
        <v>3058104.1492307708</v>
      </c>
      <c r="Q304" s="528"/>
      <c r="R304" s="528"/>
      <c r="S304" s="528"/>
      <c r="T304" s="528"/>
      <c r="U304" s="529">
        <f t="shared" si="75"/>
        <v>-1070336.3747564103</v>
      </c>
      <c r="V304" s="525">
        <f t="shared" si="62"/>
        <v>-1190634.8747564105</v>
      </c>
      <c r="W304" s="530">
        <f t="shared" si="63"/>
        <v>2211179.2744743619</v>
      </c>
      <c r="X304" s="255">
        <f t="shared" si="71"/>
        <v>1987767.7744743605</v>
      </c>
      <c r="Y304" s="136">
        <f t="shared" si="72"/>
        <v>3401814.1492307726</v>
      </c>
      <c r="Z304" s="548"/>
    </row>
    <row r="305" spans="1:26">
      <c r="A305" s="131"/>
      <c r="B305" s="2" t="s">
        <v>452</v>
      </c>
      <c r="C305" s="131"/>
      <c r="D305" s="528"/>
      <c r="E305" s="528"/>
      <c r="F305" s="113">
        <f t="shared" si="66"/>
        <v>17275998.307692308</v>
      </c>
      <c r="G305" s="525">
        <f t="shared" si="67"/>
        <v>17275998.307692312</v>
      </c>
      <c r="H305" s="113">
        <f t="shared" si="69"/>
        <v>57285</v>
      </c>
      <c r="I305" s="524">
        <f t="shared" si="64"/>
        <v>-14275179.158461537</v>
      </c>
      <c r="J305" s="525">
        <f t="shared" si="68"/>
        <v>-13931469.158461539</v>
      </c>
      <c r="K305" s="526">
        <f t="shared" si="74"/>
        <v>3000819.1492307708</v>
      </c>
      <c r="L305" s="525">
        <f t="shared" si="70"/>
        <v>-1050286.7022307697</v>
      </c>
      <c r="M305" s="525">
        <f t="shared" si="76"/>
        <v>-20049.75</v>
      </c>
      <c r="N305" s="529"/>
      <c r="O305" s="525">
        <f t="shared" si="73"/>
        <v>0</v>
      </c>
      <c r="P305" s="529">
        <f t="shared" si="65"/>
        <v>3000819.1492307708</v>
      </c>
      <c r="Q305" s="528"/>
      <c r="R305" s="528"/>
      <c r="S305" s="528"/>
      <c r="T305" s="528"/>
      <c r="U305" s="529">
        <f t="shared" si="75"/>
        <v>-1050286.6247564103</v>
      </c>
      <c r="V305" s="525">
        <f t="shared" si="62"/>
        <v>-1170585.1247564105</v>
      </c>
      <c r="W305" s="530">
        <f t="shared" si="63"/>
        <v>2173944.0244743619</v>
      </c>
      <c r="X305" s="255">
        <f t="shared" si="71"/>
        <v>1950532.5244743605</v>
      </c>
      <c r="Y305" s="136">
        <f t="shared" si="72"/>
        <v>3344529.1492307726</v>
      </c>
      <c r="Z305" s="548"/>
    </row>
    <row r="306" spans="1:26">
      <c r="A306" s="131"/>
      <c r="B306" s="2" t="s">
        <v>453</v>
      </c>
      <c r="C306" s="131"/>
      <c r="D306" s="528"/>
      <c r="E306" s="528"/>
      <c r="F306" s="113">
        <f t="shared" si="66"/>
        <v>17275998.307692308</v>
      </c>
      <c r="G306" s="525">
        <f t="shared" si="67"/>
        <v>17275998.307692312</v>
      </c>
      <c r="H306" s="113">
        <f t="shared" si="69"/>
        <v>57285</v>
      </c>
      <c r="I306" s="524">
        <f t="shared" si="64"/>
        <v>-14332464.158461537</v>
      </c>
      <c r="J306" s="525">
        <f t="shared" si="68"/>
        <v>-13988754.158461539</v>
      </c>
      <c r="K306" s="526">
        <f t="shared" si="74"/>
        <v>2943534.1492307708</v>
      </c>
      <c r="L306" s="525">
        <f t="shared" si="70"/>
        <v>-1030236.9522307697</v>
      </c>
      <c r="M306" s="525">
        <f t="shared" si="76"/>
        <v>-20049.75</v>
      </c>
      <c r="N306" s="529"/>
      <c r="O306" s="525">
        <f t="shared" si="73"/>
        <v>0</v>
      </c>
      <c r="P306" s="529">
        <f t="shared" si="65"/>
        <v>2943534.1492307708</v>
      </c>
      <c r="Q306" s="528"/>
      <c r="R306" s="528"/>
      <c r="S306" s="528"/>
      <c r="T306" s="528"/>
      <c r="U306" s="529">
        <f t="shared" si="75"/>
        <v>-1030236.8747564103</v>
      </c>
      <c r="V306" s="525">
        <f t="shared" ref="V306:V369" si="77">(U294+U306+SUM(U295:U305)*2)/24</f>
        <v>-1150535.3747564105</v>
      </c>
      <c r="W306" s="530">
        <f t="shared" ref="W306:W369" si="78">G306+J306+V306</f>
        <v>2136708.7744743619</v>
      </c>
      <c r="X306" s="255">
        <f t="shared" si="71"/>
        <v>1913297.2744743605</v>
      </c>
      <c r="Y306" s="136">
        <f t="shared" si="72"/>
        <v>3287244.1492307726</v>
      </c>
      <c r="Z306" s="548"/>
    </row>
    <row r="307" spans="1:26">
      <c r="A307" s="131"/>
      <c r="B307" s="2" t="s">
        <v>454</v>
      </c>
      <c r="C307" s="131"/>
      <c r="D307" s="528"/>
      <c r="E307" s="528"/>
      <c r="F307" s="113">
        <f t="shared" si="66"/>
        <v>17275998.307692308</v>
      </c>
      <c r="G307" s="525">
        <f t="shared" si="67"/>
        <v>17275998.307692312</v>
      </c>
      <c r="H307" s="113">
        <f t="shared" si="69"/>
        <v>57285</v>
      </c>
      <c r="I307" s="524">
        <f t="shared" si="64"/>
        <v>-14389749.158461537</v>
      </c>
      <c r="J307" s="525">
        <f t="shared" si="68"/>
        <v>-14046039.158461539</v>
      </c>
      <c r="K307" s="526">
        <f t="shared" si="74"/>
        <v>2886249.1492307708</v>
      </c>
      <c r="L307" s="525">
        <f t="shared" si="70"/>
        <v>-1010187.2022307697</v>
      </c>
      <c r="M307" s="525">
        <f t="shared" si="76"/>
        <v>-20049.75</v>
      </c>
      <c r="N307" s="529"/>
      <c r="O307" s="525">
        <f t="shared" si="73"/>
        <v>0</v>
      </c>
      <c r="P307" s="529">
        <f t="shared" si="65"/>
        <v>2886249.1492307708</v>
      </c>
      <c r="Q307" s="528"/>
      <c r="R307" s="528"/>
      <c r="S307" s="528"/>
      <c r="T307" s="528"/>
      <c r="U307" s="529">
        <f t="shared" si="75"/>
        <v>-1010187.1247564103</v>
      </c>
      <c r="V307" s="525">
        <f t="shared" si="77"/>
        <v>-1130485.6247564105</v>
      </c>
      <c r="W307" s="530">
        <f t="shared" si="78"/>
        <v>2099473.5244743619</v>
      </c>
      <c r="X307" s="255">
        <f t="shared" si="71"/>
        <v>1876062.0244743605</v>
      </c>
      <c r="Y307" s="136">
        <f t="shared" si="72"/>
        <v>3229959.1492307726</v>
      </c>
      <c r="Z307" s="548"/>
    </row>
    <row r="308" spans="1:26">
      <c r="A308" s="131"/>
      <c r="B308" s="2" t="s">
        <v>455</v>
      </c>
      <c r="C308" s="131"/>
      <c r="D308" s="528"/>
      <c r="E308" s="528"/>
      <c r="F308" s="113">
        <f t="shared" si="66"/>
        <v>17275998.307692308</v>
      </c>
      <c r="G308" s="525">
        <f t="shared" si="67"/>
        <v>17275998.307692312</v>
      </c>
      <c r="H308" s="113">
        <f t="shared" si="69"/>
        <v>57285</v>
      </c>
      <c r="I308" s="524">
        <f t="shared" si="64"/>
        <v>-14447034.158461537</v>
      </c>
      <c r="J308" s="525">
        <f t="shared" si="68"/>
        <v>-14103324.158461539</v>
      </c>
      <c r="K308" s="526">
        <f t="shared" si="74"/>
        <v>2828964.1492307708</v>
      </c>
      <c r="L308" s="525">
        <f t="shared" si="70"/>
        <v>-990137.45223076968</v>
      </c>
      <c r="M308" s="525">
        <f t="shared" si="76"/>
        <v>-20049.75</v>
      </c>
      <c r="N308" s="529"/>
      <c r="O308" s="525">
        <f t="shared" si="73"/>
        <v>0</v>
      </c>
      <c r="P308" s="529">
        <f t="shared" si="65"/>
        <v>2828964.1492307708</v>
      </c>
      <c r="Q308" s="528"/>
      <c r="R308" s="528"/>
      <c r="S308" s="528"/>
      <c r="T308" s="528"/>
      <c r="U308" s="529">
        <f t="shared" si="75"/>
        <v>-990137.37475641025</v>
      </c>
      <c r="V308" s="525">
        <f t="shared" si="77"/>
        <v>-1110435.8747564105</v>
      </c>
      <c r="W308" s="530">
        <f t="shared" si="78"/>
        <v>2062238.2744743621</v>
      </c>
      <c r="X308" s="255">
        <f t="shared" si="71"/>
        <v>1838826.7744743605</v>
      </c>
      <c r="Y308" s="136">
        <f t="shared" si="72"/>
        <v>3172674.1492307726</v>
      </c>
      <c r="Z308" s="548"/>
    </row>
    <row r="309" spans="1:26">
      <c r="A309" s="131"/>
      <c r="B309" s="2" t="s">
        <v>456</v>
      </c>
      <c r="C309" s="131"/>
      <c r="D309" s="528"/>
      <c r="E309" s="528"/>
      <c r="F309" s="113">
        <f t="shared" si="66"/>
        <v>17275998.307692308</v>
      </c>
      <c r="G309" s="525">
        <f t="shared" si="67"/>
        <v>17275998.307692312</v>
      </c>
      <c r="H309" s="113">
        <f t="shared" si="69"/>
        <v>57285</v>
      </c>
      <c r="I309" s="524">
        <f t="shared" si="64"/>
        <v>-14504319.158461537</v>
      </c>
      <c r="J309" s="525">
        <f t="shared" si="68"/>
        <v>-14160609.158461539</v>
      </c>
      <c r="K309" s="526">
        <f t="shared" si="74"/>
        <v>2771679.1492307708</v>
      </c>
      <c r="L309" s="525">
        <f t="shared" si="70"/>
        <v>-970087.70223076968</v>
      </c>
      <c r="M309" s="525">
        <f t="shared" si="76"/>
        <v>-20049.75</v>
      </c>
      <c r="N309" s="529"/>
      <c r="O309" s="525">
        <f t="shared" si="73"/>
        <v>0</v>
      </c>
      <c r="P309" s="529">
        <f t="shared" si="65"/>
        <v>2771679.1492307708</v>
      </c>
      <c r="Q309" s="528"/>
      <c r="R309" s="528"/>
      <c r="S309" s="528"/>
      <c r="T309" s="528"/>
      <c r="U309" s="529">
        <f t="shared" si="75"/>
        <v>-970087.62475641025</v>
      </c>
      <c r="V309" s="525">
        <f t="shared" si="77"/>
        <v>-1090386.1247564105</v>
      </c>
      <c r="W309" s="530">
        <f t="shared" si="78"/>
        <v>2025003.0244743621</v>
      </c>
      <c r="X309" s="255">
        <f t="shared" si="71"/>
        <v>1801591.5244743605</v>
      </c>
      <c r="Y309" s="136">
        <f t="shared" si="72"/>
        <v>3115389.1492307726</v>
      </c>
      <c r="Z309" s="548"/>
    </row>
    <row r="310" spans="1:26">
      <c r="A310" s="131"/>
      <c r="B310" s="2" t="s">
        <v>457</v>
      </c>
      <c r="C310" s="131"/>
      <c r="D310" s="528"/>
      <c r="E310" s="528"/>
      <c r="F310" s="113">
        <f t="shared" si="66"/>
        <v>17275998.307692308</v>
      </c>
      <c r="G310" s="525">
        <f t="shared" si="67"/>
        <v>17275998.307692312</v>
      </c>
      <c r="H310" s="113">
        <f t="shared" si="69"/>
        <v>57285</v>
      </c>
      <c r="I310" s="524">
        <f t="shared" si="64"/>
        <v>-14561604.158461537</v>
      </c>
      <c r="J310" s="525">
        <f t="shared" si="68"/>
        <v>-14217894.158461539</v>
      </c>
      <c r="K310" s="526">
        <f t="shared" si="74"/>
        <v>2714394.1492307708</v>
      </c>
      <c r="L310" s="525">
        <f t="shared" si="70"/>
        <v>-950037.95223076968</v>
      </c>
      <c r="M310" s="525">
        <f t="shared" si="76"/>
        <v>-20049.75</v>
      </c>
      <c r="N310" s="529"/>
      <c r="O310" s="525">
        <f t="shared" si="73"/>
        <v>0</v>
      </c>
      <c r="P310" s="529">
        <f t="shared" si="65"/>
        <v>2714394.1492307708</v>
      </c>
      <c r="Q310" s="528"/>
      <c r="R310" s="528"/>
      <c r="S310" s="528"/>
      <c r="T310" s="528"/>
      <c r="U310" s="529">
        <f t="shared" si="75"/>
        <v>-950037.87475641025</v>
      </c>
      <c r="V310" s="525">
        <f t="shared" si="77"/>
        <v>-1070336.3747564105</v>
      </c>
      <c r="W310" s="530">
        <f t="shared" si="78"/>
        <v>1987767.7744743621</v>
      </c>
      <c r="X310" s="255">
        <f t="shared" si="71"/>
        <v>1764356.2744743605</v>
      </c>
      <c r="Y310" s="136">
        <f t="shared" si="72"/>
        <v>3058104.1492307726</v>
      </c>
      <c r="Z310" s="548"/>
    </row>
    <row r="311" spans="1:26">
      <c r="A311" s="131"/>
      <c r="B311" s="2" t="s">
        <v>458</v>
      </c>
      <c r="C311" s="131"/>
      <c r="D311" s="528"/>
      <c r="E311" s="528"/>
      <c r="F311" s="113">
        <f t="shared" si="66"/>
        <v>17275998.307692308</v>
      </c>
      <c r="G311" s="525">
        <f t="shared" si="67"/>
        <v>17275998.307692312</v>
      </c>
      <c r="H311" s="113">
        <f t="shared" si="69"/>
        <v>57285</v>
      </c>
      <c r="I311" s="524">
        <f t="shared" ref="I311:I369" si="79">I310-H311</f>
        <v>-14618889.158461537</v>
      </c>
      <c r="J311" s="525">
        <f t="shared" si="68"/>
        <v>-14275179.158461539</v>
      </c>
      <c r="K311" s="526">
        <f t="shared" si="74"/>
        <v>2657109.1492307708</v>
      </c>
      <c r="L311" s="525">
        <f t="shared" si="70"/>
        <v>-929988.20223076968</v>
      </c>
      <c r="M311" s="525">
        <f t="shared" si="76"/>
        <v>-20049.75</v>
      </c>
      <c r="N311" s="529"/>
      <c r="O311" s="525">
        <f t="shared" si="73"/>
        <v>0</v>
      </c>
      <c r="P311" s="529">
        <f t="shared" si="65"/>
        <v>2657109.1492307708</v>
      </c>
      <c r="Q311" s="528"/>
      <c r="R311" s="528"/>
      <c r="S311" s="528"/>
      <c r="T311" s="528"/>
      <c r="U311" s="529">
        <f t="shared" si="75"/>
        <v>-929988.12475641025</v>
      </c>
      <c r="V311" s="525">
        <f t="shared" si="77"/>
        <v>-1050286.6247564105</v>
      </c>
      <c r="W311" s="530">
        <f t="shared" si="78"/>
        <v>1950532.5244743621</v>
      </c>
      <c r="X311" s="255">
        <f t="shared" si="71"/>
        <v>1727121.0244743605</v>
      </c>
      <c r="Y311" s="136">
        <f t="shared" si="72"/>
        <v>3000819.1492307726</v>
      </c>
      <c r="Z311" s="548"/>
    </row>
    <row r="312" spans="1:26">
      <c r="A312" s="131"/>
      <c r="B312" s="2" t="s">
        <v>459</v>
      </c>
      <c r="C312" s="131"/>
      <c r="D312" s="528"/>
      <c r="E312" s="528"/>
      <c r="F312" s="113">
        <f t="shared" si="66"/>
        <v>17275998.307692308</v>
      </c>
      <c r="G312" s="525">
        <f t="shared" si="67"/>
        <v>17275998.307692312</v>
      </c>
      <c r="H312" s="113">
        <f t="shared" si="69"/>
        <v>57285</v>
      </c>
      <c r="I312" s="524">
        <f t="shared" si="79"/>
        <v>-14676174.158461537</v>
      </c>
      <c r="J312" s="525">
        <f t="shared" si="68"/>
        <v>-14332464.158461539</v>
      </c>
      <c r="K312" s="526">
        <f t="shared" si="74"/>
        <v>2599824.1492307708</v>
      </c>
      <c r="L312" s="525">
        <f t="shared" si="70"/>
        <v>-909938.45223076968</v>
      </c>
      <c r="M312" s="525">
        <f t="shared" si="76"/>
        <v>-20049.75</v>
      </c>
      <c r="N312" s="529"/>
      <c r="O312" s="525">
        <f t="shared" si="73"/>
        <v>0</v>
      </c>
      <c r="P312" s="529">
        <f t="shared" si="65"/>
        <v>2599824.1492307708</v>
      </c>
      <c r="Q312" s="528"/>
      <c r="R312" s="528"/>
      <c r="S312" s="528"/>
      <c r="T312" s="528"/>
      <c r="U312" s="529">
        <f t="shared" si="75"/>
        <v>-909938.37475641025</v>
      </c>
      <c r="V312" s="525">
        <f t="shared" si="77"/>
        <v>-1030236.8747564106</v>
      </c>
      <c r="W312" s="530">
        <f t="shared" si="78"/>
        <v>1913297.2744743619</v>
      </c>
      <c r="X312" s="255">
        <f t="shared" si="71"/>
        <v>1689885.7744743605</v>
      </c>
      <c r="Y312" s="136">
        <f t="shared" si="72"/>
        <v>2943534.1492307726</v>
      </c>
      <c r="Z312" s="548"/>
    </row>
    <row r="313" spans="1:26">
      <c r="A313" s="131"/>
      <c r="B313" s="2" t="s">
        <v>460</v>
      </c>
      <c r="C313" s="131"/>
      <c r="D313" s="528"/>
      <c r="E313" s="528"/>
      <c r="F313" s="113">
        <f t="shared" si="66"/>
        <v>17275998.307692308</v>
      </c>
      <c r="G313" s="525">
        <f t="shared" si="67"/>
        <v>17275998.307692312</v>
      </c>
      <c r="H313" s="113">
        <f t="shared" si="69"/>
        <v>57285</v>
      </c>
      <c r="I313" s="524">
        <f t="shared" si="79"/>
        <v>-14733459.158461537</v>
      </c>
      <c r="J313" s="525">
        <f t="shared" si="68"/>
        <v>-14389749.158461539</v>
      </c>
      <c r="K313" s="526">
        <f t="shared" si="74"/>
        <v>2542539.1492307708</v>
      </c>
      <c r="L313" s="525">
        <f t="shared" si="70"/>
        <v>-889888.70223076968</v>
      </c>
      <c r="M313" s="525">
        <f t="shared" si="76"/>
        <v>-20049.75</v>
      </c>
      <c r="N313" s="529"/>
      <c r="O313" s="525">
        <f t="shared" si="73"/>
        <v>0</v>
      </c>
      <c r="P313" s="529">
        <f t="shared" ref="P313:P369" si="80">K313+O313</f>
        <v>2542539.1492307708</v>
      </c>
      <c r="Q313" s="528"/>
      <c r="R313" s="528"/>
      <c r="S313" s="528"/>
      <c r="T313" s="528"/>
      <c r="U313" s="529">
        <f t="shared" si="75"/>
        <v>-889888.62475641025</v>
      </c>
      <c r="V313" s="525">
        <f t="shared" si="77"/>
        <v>-1010187.1247564106</v>
      </c>
      <c r="W313" s="530">
        <f t="shared" si="78"/>
        <v>1876062.0244743619</v>
      </c>
      <c r="X313" s="255">
        <f t="shared" si="71"/>
        <v>1652650.5244743605</v>
      </c>
      <c r="Y313" s="136">
        <f t="shared" si="72"/>
        <v>2886249.1492307726</v>
      </c>
      <c r="Z313" s="548"/>
    </row>
    <row r="314" spans="1:26">
      <c r="A314" s="131"/>
      <c r="B314" s="2" t="s">
        <v>461</v>
      </c>
      <c r="C314" s="131"/>
      <c r="D314" s="528"/>
      <c r="E314" s="528"/>
      <c r="F314" s="113">
        <f t="shared" ref="F314:F370" si="81">F313</f>
        <v>17275998.307692308</v>
      </c>
      <c r="G314" s="525">
        <f t="shared" ref="G314:G369" si="82">(F302+F314+SUM(F303:F313)*2)/24</f>
        <v>17275998.307692312</v>
      </c>
      <c r="H314" s="113">
        <f t="shared" si="69"/>
        <v>57285</v>
      </c>
      <c r="I314" s="524">
        <f t="shared" si="79"/>
        <v>-14790744.158461537</v>
      </c>
      <c r="J314" s="525">
        <f t="shared" si="68"/>
        <v>-14447034.158461539</v>
      </c>
      <c r="K314" s="526">
        <f t="shared" si="74"/>
        <v>2485254.1492307708</v>
      </c>
      <c r="L314" s="525">
        <f t="shared" si="70"/>
        <v>-869838.95223076968</v>
      </c>
      <c r="M314" s="525">
        <f t="shared" si="76"/>
        <v>-20049.75</v>
      </c>
      <c r="N314" s="529"/>
      <c r="O314" s="525">
        <f t="shared" si="73"/>
        <v>0</v>
      </c>
      <c r="P314" s="529">
        <f t="shared" si="80"/>
        <v>2485254.1492307708</v>
      </c>
      <c r="Q314" s="528"/>
      <c r="R314" s="528"/>
      <c r="S314" s="528"/>
      <c r="T314" s="528"/>
      <c r="U314" s="529">
        <f t="shared" si="75"/>
        <v>-869838.87475641025</v>
      </c>
      <c r="V314" s="525">
        <f t="shared" si="77"/>
        <v>-990137.3747564106</v>
      </c>
      <c r="W314" s="530">
        <f t="shared" si="78"/>
        <v>1838826.7744743619</v>
      </c>
      <c r="X314" s="255">
        <f t="shared" si="71"/>
        <v>1615415.2744743605</v>
      </c>
      <c r="Y314" s="136">
        <f t="shared" si="72"/>
        <v>2828964.1492307726</v>
      </c>
      <c r="Z314" s="548"/>
    </row>
    <row r="315" spans="1:26">
      <c r="A315" s="131"/>
      <c r="B315" s="2" t="s">
        <v>462</v>
      </c>
      <c r="C315" s="131"/>
      <c r="D315" s="528"/>
      <c r="E315" s="528"/>
      <c r="F315" s="113">
        <f t="shared" si="81"/>
        <v>17275998.307692308</v>
      </c>
      <c r="G315" s="525">
        <f t="shared" si="82"/>
        <v>17275998.307692312</v>
      </c>
      <c r="H315" s="113">
        <f t="shared" si="69"/>
        <v>57285</v>
      </c>
      <c r="I315" s="524">
        <f t="shared" si="79"/>
        <v>-14848029.158461537</v>
      </c>
      <c r="J315" s="525">
        <f t="shared" ref="J315:J369" si="83">(I303+I315+SUM(I304:I314)*2)/24</f>
        <v>-14504319.158461539</v>
      </c>
      <c r="K315" s="526">
        <f t="shared" si="74"/>
        <v>2427969.1492307708</v>
      </c>
      <c r="L315" s="525">
        <f t="shared" si="70"/>
        <v>-849789.20223076968</v>
      </c>
      <c r="M315" s="525">
        <f t="shared" si="76"/>
        <v>-20049.75</v>
      </c>
      <c r="N315" s="529"/>
      <c r="O315" s="525">
        <f t="shared" si="73"/>
        <v>0</v>
      </c>
      <c r="P315" s="529">
        <f t="shared" si="80"/>
        <v>2427969.1492307708</v>
      </c>
      <c r="Q315" s="528"/>
      <c r="R315" s="528"/>
      <c r="S315" s="528"/>
      <c r="T315" s="528"/>
      <c r="U315" s="529">
        <f t="shared" si="75"/>
        <v>-849789.12475641025</v>
      </c>
      <c r="V315" s="525">
        <f t="shared" si="77"/>
        <v>-970087.6247564106</v>
      </c>
      <c r="W315" s="530">
        <f t="shared" si="78"/>
        <v>1801591.5244743619</v>
      </c>
      <c r="X315" s="255">
        <f t="shared" si="71"/>
        <v>1578180.0244743605</v>
      </c>
      <c r="Y315" s="136">
        <f t="shared" si="72"/>
        <v>2771679.1492307726</v>
      </c>
      <c r="Z315" s="548"/>
    </row>
    <row r="316" spans="1:26">
      <c r="A316" s="131"/>
      <c r="B316" s="2" t="s">
        <v>463</v>
      </c>
      <c r="C316" s="131"/>
      <c r="D316" s="528"/>
      <c r="E316" s="528"/>
      <c r="F316" s="113">
        <f t="shared" si="81"/>
        <v>17275998.307692308</v>
      </c>
      <c r="G316" s="525">
        <f t="shared" si="82"/>
        <v>17275998.307692312</v>
      </c>
      <c r="H316" s="113">
        <f t="shared" si="69"/>
        <v>57285</v>
      </c>
      <c r="I316" s="524">
        <f t="shared" si="79"/>
        <v>-14905314.158461537</v>
      </c>
      <c r="J316" s="525">
        <f t="shared" si="83"/>
        <v>-14561604.158461539</v>
      </c>
      <c r="K316" s="526">
        <f t="shared" si="74"/>
        <v>2370684.1492307708</v>
      </c>
      <c r="L316" s="525">
        <f t="shared" si="70"/>
        <v>-829739.45223076968</v>
      </c>
      <c r="M316" s="525">
        <f t="shared" si="76"/>
        <v>-20049.75</v>
      </c>
      <c r="N316" s="529"/>
      <c r="O316" s="525">
        <f t="shared" si="73"/>
        <v>0</v>
      </c>
      <c r="P316" s="529">
        <f t="shared" si="80"/>
        <v>2370684.1492307708</v>
      </c>
      <c r="Q316" s="528"/>
      <c r="R316" s="528"/>
      <c r="S316" s="528"/>
      <c r="T316" s="528"/>
      <c r="U316" s="529">
        <f t="shared" si="75"/>
        <v>-829739.37475641025</v>
      </c>
      <c r="V316" s="525">
        <f t="shared" si="77"/>
        <v>-950037.8747564106</v>
      </c>
      <c r="W316" s="530">
        <f t="shared" si="78"/>
        <v>1764356.2744743619</v>
      </c>
      <c r="X316" s="255">
        <f t="shared" si="71"/>
        <v>1540944.7744743605</v>
      </c>
      <c r="Y316" s="136">
        <f t="shared" si="72"/>
        <v>2714394.1492307726</v>
      </c>
      <c r="Z316" s="548"/>
    </row>
    <row r="317" spans="1:26">
      <c r="A317" s="131"/>
      <c r="B317" s="2" t="s">
        <v>464</v>
      </c>
      <c r="C317" s="131"/>
      <c r="D317" s="528"/>
      <c r="E317" s="528"/>
      <c r="F317" s="113">
        <f t="shared" si="81"/>
        <v>17275998.307692308</v>
      </c>
      <c r="G317" s="525">
        <f t="shared" si="82"/>
        <v>17275998.307692312</v>
      </c>
      <c r="H317" s="113">
        <f t="shared" si="69"/>
        <v>57285</v>
      </c>
      <c r="I317" s="524">
        <f t="shared" si="79"/>
        <v>-14962599.158461537</v>
      </c>
      <c r="J317" s="525">
        <f t="shared" si="83"/>
        <v>-14618889.158461539</v>
      </c>
      <c r="K317" s="526">
        <f t="shared" si="74"/>
        <v>2313399.1492307708</v>
      </c>
      <c r="L317" s="525">
        <f t="shared" si="70"/>
        <v>-809689.70223076968</v>
      </c>
      <c r="M317" s="525">
        <f t="shared" si="76"/>
        <v>-20049.75</v>
      </c>
      <c r="N317" s="529"/>
      <c r="O317" s="525">
        <f t="shared" si="73"/>
        <v>0</v>
      </c>
      <c r="P317" s="529">
        <f t="shared" si="80"/>
        <v>2313399.1492307708</v>
      </c>
      <c r="Q317" s="528"/>
      <c r="R317" s="528"/>
      <c r="S317" s="528"/>
      <c r="T317" s="528"/>
      <c r="U317" s="529">
        <f t="shared" si="75"/>
        <v>-809689.62475641025</v>
      </c>
      <c r="V317" s="525">
        <f t="shared" si="77"/>
        <v>-929988.1247564106</v>
      </c>
      <c r="W317" s="530">
        <f t="shared" si="78"/>
        <v>1727121.0244743619</v>
      </c>
      <c r="X317" s="255">
        <f t="shared" si="71"/>
        <v>1503709.5244743605</v>
      </c>
      <c r="Y317" s="136">
        <f t="shared" si="72"/>
        <v>2657109.1492307726</v>
      </c>
      <c r="Z317" s="548"/>
    </row>
    <row r="318" spans="1:26">
      <c r="A318" s="131"/>
      <c r="B318" s="2" t="s">
        <v>465</v>
      </c>
      <c r="C318" s="131"/>
      <c r="D318" s="528"/>
      <c r="E318" s="528"/>
      <c r="F318" s="113">
        <f t="shared" si="81"/>
        <v>17275998.307692308</v>
      </c>
      <c r="G318" s="525">
        <f t="shared" si="82"/>
        <v>17275998.307692312</v>
      </c>
      <c r="H318" s="113">
        <f t="shared" si="69"/>
        <v>57285</v>
      </c>
      <c r="I318" s="524">
        <f t="shared" si="79"/>
        <v>-15019884.158461537</v>
      </c>
      <c r="J318" s="525">
        <f t="shared" si="83"/>
        <v>-14676174.158461539</v>
      </c>
      <c r="K318" s="526">
        <f t="shared" si="74"/>
        <v>2256114.1492307708</v>
      </c>
      <c r="L318" s="525">
        <f t="shared" si="70"/>
        <v>-789639.95223076968</v>
      </c>
      <c r="M318" s="525">
        <f t="shared" si="76"/>
        <v>-20049.75</v>
      </c>
      <c r="N318" s="529"/>
      <c r="O318" s="525">
        <f t="shared" si="73"/>
        <v>0</v>
      </c>
      <c r="P318" s="529">
        <f t="shared" si="80"/>
        <v>2256114.1492307708</v>
      </c>
      <c r="Q318" s="528"/>
      <c r="R318" s="528"/>
      <c r="S318" s="528"/>
      <c r="T318" s="528"/>
      <c r="U318" s="529">
        <f t="shared" si="75"/>
        <v>-789639.87475641025</v>
      </c>
      <c r="V318" s="525">
        <f t="shared" si="77"/>
        <v>-909938.3747564106</v>
      </c>
      <c r="W318" s="530">
        <f t="shared" si="78"/>
        <v>1689885.7744743619</v>
      </c>
      <c r="X318" s="255">
        <f t="shared" si="71"/>
        <v>1466474.2744743605</v>
      </c>
      <c r="Y318" s="136">
        <f t="shared" si="72"/>
        <v>2599824.1492307726</v>
      </c>
      <c r="Z318" s="548"/>
    </row>
    <row r="319" spans="1:26">
      <c r="A319" s="131"/>
      <c r="B319" s="2" t="s">
        <v>466</v>
      </c>
      <c r="C319" s="131"/>
      <c r="D319" s="528"/>
      <c r="E319" s="528"/>
      <c r="F319" s="113">
        <f t="shared" si="81"/>
        <v>17275998.307692308</v>
      </c>
      <c r="G319" s="525">
        <f t="shared" si="82"/>
        <v>17275998.307692312</v>
      </c>
      <c r="H319" s="113">
        <f t="shared" si="69"/>
        <v>57285</v>
      </c>
      <c r="I319" s="524">
        <f t="shared" si="79"/>
        <v>-15077169.158461537</v>
      </c>
      <c r="J319" s="525">
        <f t="shared" si="83"/>
        <v>-14733459.158461539</v>
      </c>
      <c r="K319" s="526">
        <f t="shared" si="74"/>
        <v>2198829.1492307708</v>
      </c>
      <c r="L319" s="525">
        <f t="shared" si="70"/>
        <v>-769590.20223076968</v>
      </c>
      <c r="M319" s="525">
        <f t="shared" si="76"/>
        <v>-20049.75</v>
      </c>
      <c r="N319" s="529"/>
      <c r="O319" s="525">
        <f t="shared" si="73"/>
        <v>0</v>
      </c>
      <c r="P319" s="529">
        <f t="shared" si="80"/>
        <v>2198829.1492307708</v>
      </c>
      <c r="Q319" s="528"/>
      <c r="R319" s="528"/>
      <c r="S319" s="528"/>
      <c r="T319" s="528"/>
      <c r="U319" s="529">
        <f t="shared" si="75"/>
        <v>-769590.12475641025</v>
      </c>
      <c r="V319" s="525">
        <f t="shared" si="77"/>
        <v>-889888.6247564106</v>
      </c>
      <c r="W319" s="530">
        <f t="shared" si="78"/>
        <v>1652650.5244743619</v>
      </c>
      <c r="X319" s="255">
        <f t="shared" si="71"/>
        <v>1429239.0244743605</v>
      </c>
      <c r="Y319" s="136">
        <f t="shared" si="72"/>
        <v>2542539.1492307726</v>
      </c>
      <c r="Z319" s="548"/>
    </row>
    <row r="320" spans="1:26">
      <c r="A320" s="131"/>
      <c r="B320" s="2" t="s">
        <v>467</v>
      </c>
      <c r="C320" s="131"/>
      <c r="D320" s="528"/>
      <c r="E320" s="528"/>
      <c r="F320" s="113">
        <f t="shared" si="81"/>
        <v>17275998.307692308</v>
      </c>
      <c r="G320" s="525">
        <f t="shared" si="82"/>
        <v>17275998.307692312</v>
      </c>
      <c r="H320" s="113">
        <f t="shared" si="69"/>
        <v>57285</v>
      </c>
      <c r="I320" s="524">
        <f t="shared" si="79"/>
        <v>-15134454.158461537</v>
      </c>
      <c r="J320" s="525">
        <f t="shared" si="83"/>
        <v>-14790744.158461539</v>
      </c>
      <c r="K320" s="526">
        <f t="shared" si="74"/>
        <v>2141544.1492307708</v>
      </c>
      <c r="L320" s="525">
        <f t="shared" si="70"/>
        <v>-749540.45223076968</v>
      </c>
      <c r="M320" s="525">
        <f t="shared" si="76"/>
        <v>-20049.75</v>
      </c>
      <c r="N320" s="529"/>
      <c r="O320" s="525">
        <f t="shared" si="73"/>
        <v>0</v>
      </c>
      <c r="P320" s="529">
        <f t="shared" si="80"/>
        <v>2141544.1492307708</v>
      </c>
      <c r="Q320" s="528"/>
      <c r="R320" s="528"/>
      <c r="S320" s="528"/>
      <c r="T320" s="528"/>
      <c r="U320" s="529">
        <f t="shared" si="75"/>
        <v>-749540.37475641025</v>
      </c>
      <c r="V320" s="525">
        <f t="shared" si="77"/>
        <v>-869838.8747564106</v>
      </c>
      <c r="W320" s="530">
        <f t="shared" si="78"/>
        <v>1615415.2744743619</v>
      </c>
      <c r="X320" s="255">
        <f t="shared" si="71"/>
        <v>1392003.7744743605</v>
      </c>
      <c r="Y320" s="136">
        <f t="shared" si="72"/>
        <v>2485254.1492307726</v>
      </c>
      <c r="Z320" s="548"/>
    </row>
    <row r="321" spans="1:26">
      <c r="A321" s="131"/>
      <c r="B321" s="2" t="s">
        <v>468</v>
      </c>
      <c r="C321" s="131"/>
      <c r="D321" s="528"/>
      <c r="E321" s="528"/>
      <c r="F321" s="113">
        <f t="shared" si="81"/>
        <v>17275998.307692308</v>
      </c>
      <c r="G321" s="525">
        <f t="shared" si="82"/>
        <v>17275998.307692312</v>
      </c>
      <c r="H321" s="113">
        <f t="shared" si="69"/>
        <v>57285</v>
      </c>
      <c r="I321" s="524">
        <f t="shared" si="79"/>
        <v>-15191739.158461537</v>
      </c>
      <c r="J321" s="525">
        <f t="shared" si="83"/>
        <v>-14848029.158461539</v>
      </c>
      <c r="K321" s="526">
        <f t="shared" si="74"/>
        <v>2084259.1492307708</v>
      </c>
      <c r="L321" s="525">
        <f t="shared" si="70"/>
        <v>-729490.70223076968</v>
      </c>
      <c r="M321" s="525">
        <f t="shared" si="76"/>
        <v>-20049.75</v>
      </c>
      <c r="N321" s="529"/>
      <c r="O321" s="525">
        <f t="shared" si="73"/>
        <v>0</v>
      </c>
      <c r="P321" s="529">
        <f t="shared" si="80"/>
        <v>2084259.1492307708</v>
      </c>
      <c r="Q321" s="528"/>
      <c r="R321" s="528"/>
      <c r="S321" s="528"/>
      <c r="T321" s="528"/>
      <c r="U321" s="529">
        <f t="shared" si="75"/>
        <v>-729490.62475641025</v>
      </c>
      <c r="V321" s="525">
        <f t="shared" si="77"/>
        <v>-849789.1247564106</v>
      </c>
      <c r="W321" s="530">
        <f t="shared" si="78"/>
        <v>1578180.0244743619</v>
      </c>
      <c r="X321" s="255">
        <f t="shared" si="71"/>
        <v>1354768.5244743605</v>
      </c>
      <c r="Y321" s="136">
        <f t="shared" si="72"/>
        <v>2427969.1492307726</v>
      </c>
      <c r="Z321" s="548"/>
    </row>
    <row r="322" spans="1:26">
      <c r="A322" s="131"/>
      <c r="B322" s="2" t="s">
        <v>469</v>
      </c>
      <c r="C322" s="131"/>
      <c r="D322" s="528"/>
      <c r="E322" s="528"/>
      <c r="F322" s="113">
        <f t="shared" si="81"/>
        <v>17275998.307692308</v>
      </c>
      <c r="G322" s="525">
        <f t="shared" si="82"/>
        <v>17275998.307692312</v>
      </c>
      <c r="H322" s="113">
        <f t="shared" si="69"/>
        <v>57285</v>
      </c>
      <c r="I322" s="524">
        <f t="shared" si="79"/>
        <v>-15249024.158461537</v>
      </c>
      <c r="J322" s="525">
        <f t="shared" si="83"/>
        <v>-14905314.158461539</v>
      </c>
      <c r="K322" s="526">
        <f t="shared" si="74"/>
        <v>2026974.1492307708</v>
      </c>
      <c r="L322" s="525">
        <f t="shared" si="70"/>
        <v>-709440.95223076968</v>
      </c>
      <c r="M322" s="525">
        <f t="shared" si="76"/>
        <v>-20049.75</v>
      </c>
      <c r="N322" s="529"/>
      <c r="O322" s="525">
        <f t="shared" si="73"/>
        <v>0</v>
      </c>
      <c r="P322" s="529">
        <f t="shared" si="80"/>
        <v>2026974.1492307708</v>
      </c>
      <c r="Q322" s="528"/>
      <c r="R322" s="528"/>
      <c r="S322" s="528"/>
      <c r="T322" s="528"/>
      <c r="U322" s="529">
        <f t="shared" si="75"/>
        <v>-709440.87475641025</v>
      </c>
      <c r="V322" s="525">
        <f t="shared" si="77"/>
        <v>-829739.3747564106</v>
      </c>
      <c r="W322" s="530">
        <f t="shared" si="78"/>
        <v>1540944.7744743619</v>
      </c>
      <c r="X322" s="255">
        <f t="shared" si="71"/>
        <v>1317533.2744743605</v>
      </c>
      <c r="Y322" s="136">
        <f t="shared" si="72"/>
        <v>2370684.1492307726</v>
      </c>
      <c r="Z322" s="548"/>
    </row>
    <row r="323" spans="1:26">
      <c r="A323" s="131"/>
      <c r="B323" s="2" t="s">
        <v>470</v>
      </c>
      <c r="C323" s="131"/>
      <c r="D323" s="528"/>
      <c r="E323" s="528"/>
      <c r="F323" s="113">
        <f t="shared" si="81"/>
        <v>17275998.307692308</v>
      </c>
      <c r="G323" s="525">
        <f t="shared" si="82"/>
        <v>17275998.307692312</v>
      </c>
      <c r="H323" s="113">
        <f t="shared" si="69"/>
        <v>57285</v>
      </c>
      <c r="I323" s="524">
        <f t="shared" si="79"/>
        <v>-15306309.158461537</v>
      </c>
      <c r="J323" s="525">
        <f t="shared" si="83"/>
        <v>-14962599.158461539</v>
      </c>
      <c r="K323" s="526">
        <f t="shared" si="74"/>
        <v>1969689.1492307708</v>
      </c>
      <c r="L323" s="525">
        <f t="shared" si="70"/>
        <v>-689391.20223076968</v>
      </c>
      <c r="M323" s="525">
        <f t="shared" si="76"/>
        <v>-20049.75</v>
      </c>
      <c r="N323" s="529"/>
      <c r="O323" s="525">
        <f t="shared" si="73"/>
        <v>0</v>
      </c>
      <c r="P323" s="529">
        <f t="shared" si="80"/>
        <v>1969689.1492307708</v>
      </c>
      <c r="Q323" s="528"/>
      <c r="R323" s="528"/>
      <c r="S323" s="528"/>
      <c r="T323" s="528"/>
      <c r="U323" s="529">
        <f t="shared" si="75"/>
        <v>-689391.12475641025</v>
      </c>
      <c r="V323" s="525">
        <f t="shared" si="77"/>
        <v>-809689.6247564106</v>
      </c>
      <c r="W323" s="530">
        <f t="shared" si="78"/>
        <v>1503709.5244743619</v>
      </c>
      <c r="X323" s="255">
        <f t="shared" si="71"/>
        <v>1280298.0244743605</v>
      </c>
      <c r="Y323" s="136">
        <f t="shared" si="72"/>
        <v>2313399.1492307726</v>
      </c>
      <c r="Z323" s="548"/>
    </row>
    <row r="324" spans="1:26">
      <c r="A324" s="131"/>
      <c r="B324" s="2" t="s">
        <v>471</v>
      </c>
      <c r="C324" s="131"/>
      <c r="D324" s="528"/>
      <c r="E324" s="528"/>
      <c r="F324" s="113">
        <f t="shared" si="81"/>
        <v>17275998.307692308</v>
      </c>
      <c r="G324" s="525">
        <f t="shared" si="82"/>
        <v>17275998.307692312</v>
      </c>
      <c r="H324" s="113">
        <f t="shared" si="69"/>
        <v>57285</v>
      </c>
      <c r="I324" s="524">
        <f t="shared" si="79"/>
        <v>-15363594.158461537</v>
      </c>
      <c r="J324" s="525">
        <f t="shared" si="83"/>
        <v>-15019884.158461539</v>
      </c>
      <c r="K324" s="526">
        <f t="shared" si="74"/>
        <v>1912404.1492307708</v>
      </c>
      <c r="L324" s="525">
        <f t="shared" si="70"/>
        <v>-669341.45223076968</v>
      </c>
      <c r="M324" s="525">
        <f t="shared" si="76"/>
        <v>-20049.75</v>
      </c>
      <c r="N324" s="529"/>
      <c r="O324" s="525">
        <f t="shared" si="73"/>
        <v>0</v>
      </c>
      <c r="P324" s="529">
        <f t="shared" si="80"/>
        <v>1912404.1492307708</v>
      </c>
      <c r="Q324" s="528"/>
      <c r="R324" s="528"/>
      <c r="S324" s="528"/>
      <c r="T324" s="528"/>
      <c r="U324" s="529">
        <f t="shared" si="75"/>
        <v>-669341.37475641025</v>
      </c>
      <c r="V324" s="525">
        <f t="shared" si="77"/>
        <v>-789639.8747564106</v>
      </c>
      <c r="W324" s="530">
        <f t="shared" si="78"/>
        <v>1466474.2744743619</v>
      </c>
      <c r="X324" s="255">
        <f t="shared" si="71"/>
        <v>1243062.7744743605</v>
      </c>
      <c r="Y324" s="136">
        <f t="shared" si="72"/>
        <v>2256114.1492307726</v>
      </c>
      <c r="Z324" s="548"/>
    </row>
    <row r="325" spans="1:26">
      <c r="A325" s="131"/>
      <c r="B325" s="2" t="s">
        <v>472</v>
      </c>
      <c r="C325" s="131"/>
      <c r="D325" s="528"/>
      <c r="E325" s="528"/>
      <c r="F325" s="113">
        <f t="shared" si="81"/>
        <v>17275998.307692308</v>
      </c>
      <c r="G325" s="525">
        <f t="shared" si="82"/>
        <v>17275998.307692312</v>
      </c>
      <c r="H325" s="113">
        <f t="shared" si="69"/>
        <v>57285</v>
      </c>
      <c r="I325" s="524">
        <f t="shared" si="79"/>
        <v>-15420879.158461537</v>
      </c>
      <c r="J325" s="525">
        <f t="shared" si="83"/>
        <v>-15077169.158461539</v>
      </c>
      <c r="K325" s="526">
        <f t="shared" si="74"/>
        <v>1855119.1492307708</v>
      </c>
      <c r="L325" s="525">
        <f t="shared" si="70"/>
        <v>-649291.70223076968</v>
      </c>
      <c r="M325" s="525">
        <f t="shared" si="76"/>
        <v>-20049.75</v>
      </c>
      <c r="N325" s="529"/>
      <c r="O325" s="525">
        <f t="shared" si="73"/>
        <v>0</v>
      </c>
      <c r="P325" s="529">
        <f t="shared" si="80"/>
        <v>1855119.1492307708</v>
      </c>
      <c r="Q325" s="528"/>
      <c r="R325" s="528"/>
      <c r="S325" s="528"/>
      <c r="T325" s="528"/>
      <c r="U325" s="529">
        <f t="shared" si="75"/>
        <v>-649291.62475641025</v>
      </c>
      <c r="V325" s="525">
        <f t="shared" si="77"/>
        <v>-769590.12475641037</v>
      </c>
      <c r="W325" s="530">
        <f t="shared" si="78"/>
        <v>1429239.0244743624</v>
      </c>
      <c r="X325" s="255">
        <f t="shared" si="71"/>
        <v>1205827.5244743605</v>
      </c>
      <c r="Y325" s="136">
        <f t="shared" si="72"/>
        <v>2198829.1492307726</v>
      </c>
      <c r="Z325" s="548"/>
    </row>
    <row r="326" spans="1:26">
      <c r="A326" s="131"/>
      <c r="B326" s="2" t="s">
        <v>473</v>
      </c>
      <c r="C326" s="131"/>
      <c r="D326" s="528"/>
      <c r="E326" s="528"/>
      <c r="F326" s="113">
        <f t="shared" si="81"/>
        <v>17275998.307692308</v>
      </c>
      <c r="G326" s="525">
        <f t="shared" si="82"/>
        <v>17275998.307692312</v>
      </c>
      <c r="H326" s="113">
        <f t="shared" si="69"/>
        <v>57285</v>
      </c>
      <c r="I326" s="524">
        <f t="shared" si="79"/>
        <v>-15478164.158461537</v>
      </c>
      <c r="J326" s="525">
        <f t="shared" si="83"/>
        <v>-15134454.158461539</v>
      </c>
      <c r="K326" s="526">
        <f t="shared" si="74"/>
        <v>1797834.1492307708</v>
      </c>
      <c r="L326" s="525">
        <f t="shared" si="70"/>
        <v>-629241.95223076968</v>
      </c>
      <c r="M326" s="525">
        <f t="shared" si="76"/>
        <v>-20049.75</v>
      </c>
      <c r="N326" s="529"/>
      <c r="O326" s="525">
        <f t="shared" si="73"/>
        <v>0</v>
      </c>
      <c r="P326" s="529">
        <f t="shared" si="80"/>
        <v>1797834.1492307708</v>
      </c>
      <c r="Q326" s="528"/>
      <c r="R326" s="528"/>
      <c r="S326" s="528"/>
      <c r="T326" s="528"/>
      <c r="U326" s="529">
        <f t="shared" si="75"/>
        <v>-629241.87475641025</v>
      </c>
      <c r="V326" s="525">
        <f t="shared" si="77"/>
        <v>-749540.37475641037</v>
      </c>
      <c r="W326" s="530">
        <f t="shared" si="78"/>
        <v>1392003.7744743624</v>
      </c>
      <c r="X326" s="255">
        <f t="shared" si="71"/>
        <v>1168592.2744743605</v>
      </c>
      <c r="Y326" s="136">
        <f t="shared" si="72"/>
        <v>2141544.1492307726</v>
      </c>
      <c r="Z326" s="548"/>
    </row>
    <row r="327" spans="1:26">
      <c r="A327" s="131"/>
      <c r="B327" s="2" t="s">
        <v>474</v>
      </c>
      <c r="C327" s="131"/>
      <c r="D327" s="528"/>
      <c r="E327" s="528"/>
      <c r="F327" s="113">
        <f t="shared" si="81"/>
        <v>17275998.307692308</v>
      </c>
      <c r="G327" s="525">
        <f t="shared" si="82"/>
        <v>17275998.307692312</v>
      </c>
      <c r="H327" s="113">
        <f t="shared" si="69"/>
        <v>57285</v>
      </c>
      <c r="I327" s="524">
        <f t="shared" si="79"/>
        <v>-15535449.158461537</v>
      </c>
      <c r="J327" s="525">
        <f t="shared" si="83"/>
        <v>-15191739.158461539</v>
      </c>
      <c r="K327" s="526">
        <f t="shared" si="74"/>
        <v>1740549.1492307708</v>
      </c>
      <c r="L327" s="525">
        <f t="shared" si="70"/>
        <v>-609192.20223076968</v>
      </c>
      <c r="M327" s="525">
        <f t="shared" si="76"/>
        <v>-20049.75</v>
      </c>
      <c r="N327" s="529"/>
      <c r="O327" s="525">
        <f t="shared" si="73"/>
        <v>0</v>
      </c>
      <c r="P327" s="529">
        <f t="shared" si="80"/>
        <v>1740549.1492307708</v>
      </c>
      <c r="Q327" s="528"/>
      <c r="R327" s="528"/>
      <c r="S327" s="528"/>
      <c r="T327" s="528"/>
      <c r="U327" s="529">
        <f t="shared" si="75"/>
        <v>-609192.12475641025</v>
      </c>
      <c r="V327" s="525">
        <f t="shared" si="77"/>
        <v>-729490.62475641037</v>
      </c>
      <c r="W327" s="530">
        <f t="shared" si="78"/>
        <v>1354768.5244743624</v>
      </c>
      <c r="X327" s="255">
        <f t="shared" si="71"/>
        <v>1131357.0244743605</v>
      </c>
      <c r="Y327" s="136">
        <f t="shared" si="72"/>
        <v>2084259.1492307726</v>
      </c>
      <c r="Z327" s="548"/>
    </row>
    <row r="328" spans="1:26">
      <c r="A328" s="131"/>
      <c r="B328" s="2" t="s">
        <v>475</v>
      </c>
      <c r="C328" s="131"/>
      <c r="D328" s="528"/>
      <c r="E328" s="528"/>
      <c r="F328" s="113">
        <f t="shared" si="81"/>
        <v>17275998.307692308</v>
      </c>
      <c r="G328" s="525">
        <f t="shared" si="82"/>
        <v>17275998.307692312</v>
      </c>
      <c r="H328" s="113">
        <f t="shared" si="69"/>
        <v>57285</v>
      </c>
      <c r="I328" s="524">
        <f t="shared" si="79"/>
        <v>-15592734.158461537</v>
      </c>
      <c r="J328" s="525">
        <f t="shared" si="83"/>
        <v>-15249024.158461539</v>
      </c>
      <c r="K328" s="526">
        <f t="shared" si="74"/>
        <v>1683264.1492307708</v>
      </c>
      <c r="L328" s="525">
        <f t="shared" si="70"/>
        <v>-589142.45223076968</v>
      </c>
      <c r="M328" s="525">
        <f t="shared" si="76"/>
        <v>-20049.75</v>
      </c>
      <c r="N328" s="529"/>
      <c r="O328" s="525">
        <f t="shared" si="73"/>
        <v>0</v>
      </c>
      <c r="P328" s="529">
        <f t="shared" si="80"/>
        <v>1683264.1492307708</v>
      </c>
      <c r="Q328" s="528"/>
      <c r="R328" s="528"/>
      <c r="S328" s="528"/>
      <c r="T328" s="528"/>
      <c r="U328" s="529">
        <f t="shared" si="75"/>
        <v>-589142.37475641025</v>
      </c>
      <c r="V328" s="525">
        <f t="shared" si="77"/>
        <v>-709440.87475641037</v>
      </c>
      <c r="W328" s="530">
        <f t="shared" si="78"/>
        <v>1317533.2744743624</v>
      </c>
      <c r="X328" s="255">
        <f t="shared" si="71"/>
        <v>1094121.7744743605</v>
      </c>
      <c r="Y328" s="136">
        <f t="shared" si="72"/>
        <v>2026974.1492307726</v>
      </c>
      <c r="Z328" s="548"/>
    </row>
    <row r="329" spans="1:26">
      <c r="A329" s="131"/>
      <c r="B329" s="2" t="s">
        <v>476</v>
      </c>
      <c r="C329" s="131"/>
      <c r="D329" s="528"/>
      <c r="E329" s="528"/>
      <c r="F329" s="113">
        <f t="shared" si="81"/>
        <v>17275998.307692308</v>
      </c>
      <c r="G329" s="525">
        <f t="shared" si="82"/>
        <v>17275998.307692312</v>
      </c>
      <c r="H329" s="113">
        <f t="shared" si="69"/>
        <v>57285</v>
      </c>
      <c r="I329" s="524">
        <f t="shared" si="79"/>
        <v>-15650019.158461537</v>
      </c>
      <c r="J329" s="525">
        <f t="shared" si="83"/>
        <v>-15306309.158461539</v>
      </c>
      <c r="K329" s="526">
        <f t="shared" si="74"/>
        <v>1625979.1492307708</v>
      </c>
      <c r="L329" s="525">
        <f t="shared" si="70"/>
        <v>-569092.70223076968</v>
      </c>
      <c r="M329" s="525">
        <f t="shared" si="76"/>
        <v>-20049.75</v>
      </c>
      <c r="N329" s="529"/>
      <c r="O329" s="525">
        <f t="shared" si="73"/>
        <v>0</v>
      </c>
      <c r="P329" s="529">
        <f t="shared" si="80"/>
        <v>1625979.1492307708</v>
      </c>
      <c r="Q329" s="528"/>
      <c r="R329" s="528"/>
      <c r="S329" s="528"/>
      <c r="T329" s="528"/>
      <c r="U329" s="529">
        <f t="shared" si="75"/>
        <v>-569092.62475641025</v>
      </c>
      <c r="V329" s="525">
        <f t="shared" si="77"/>
        <v>-689391.12475641037</v>
      </c>
      <c r="W329" s="530">
        <f t="shared" si="78"/>
        <v>1280298.0244743624</v>
      </c>
      <c r="X329" s="255">
        <f t="shared" si="71"/>
        <v>1056886.5244743605</v>
      </c>
      <c r="Y329" s="136">
        <f t="shared" si="72"/>
        <v>1969689.1492307726</v>
      </c>
      <c r="Z329" s="548"/>
    </row>
    <row r="330" spans="1:26">
      <c r="A330" s="131"/>
      <c r="B330" s="2" t="s">
        <v>477</v>
      </c>
      <c r="C330" s="131"/>
      <c r="D330" s="528"/>
      <c r="E330" s="528"/>
      <c r="F330" s="113">
        <f t="shared" si="81"/>
        <v>17275998.307692308</v>
      </c>
      <c r="G330" s="525">
        <f t="shared" si="82"/>
        <v>17275998.307692312</v>
      </c>
      <c r="H330" s="113">
        <f t="shared" si="69"/>
        <v>57285</v>
      </c>
      <c r="I330" s="524">
        <f t="shared" si="79"/>
        <v>-15707304.158461537</v>
      </c>
      <c r="J330" s="525">
        <f t="shared" si="83"/>
        <v>-15363594.158461539</v>
      </c>
      <c r="K330" s="526">
        <f t="shared" si="74"/>
        <v>1568694.1492307708</v>
      </c>
      <c r="L330" s="525">
        <f t="shared" si="70"/>
        <v>-549042.95223076979</v>
      </c>
      <c r="M330" s="525">
        <f t="shared" si="76"/>
        <v>-20049.749999999884</v>
      </c>
      <c r="N330" s="529"/>
      <c r="O330" s="525">
        <f t="shared" si="73"/>
        <v>0</v>
      </c>
      <c r="P330" s="529">
        <f t="shared" si="80"/>
        <v>1568694.1492307708</v>
      </c>
      <c r="Q330" s="528"/>
      <c r="R330" s="528"/>
      <c r="S330" s="528"/>
      <c r="T330" s="528"/>
      <c r="U330" s="529">
        <f t="shared" si="75"/>
        <v>-549042.87475641037</v>
      </c>
      <c r="V330" s="525">
        <f t="shared" si="77"/>
        <v>-669341.37475641037</v>
      </c>
      <c r="W330" s="530">
        <f t="shared" si="78"/>
        <v>1243062.7744743624</v>
      </c>
      <c r="X330" s="255">
        <f t="shared" si="71"/>
        <v>1019651.2744743604</v>
      </c>
      <c r="Y330" s="136">
        <f t="shared" si="72"/>
        <v>1912404.1492307726</v>
      </c>
      <c r="Z330" s="548"/>
    </row>
    <row r="331" spans="1:26">
      <c r="A331" s="131"/>
      <c r="B331" s="2" t="s">
        <v>478</v>
      </c>
      <c r="C331" s="131"/>
      <c r="D331" s="528"/>
      <c r="E331" s="528"/>
      <c r="F331" s="113">
        <f t="shared" si="81"/>
        <v>17275998.307692308</v>
      </c>
      <c r="G331" s="525">
        <f t="shared" si="82"/>
        <v>17275998.307692312</v>
      </c>
      <c r="H331" s="113">
        <f t="shared" si="69"/>
        <v>57285</v>
      </c>
      <c r="I331" s="524">
        <f t="shared" si="79"/>
        <v>-15764589.158461537</v>
      </c>
      <c r="J331" s="525">
        <f t="shared" si="83"/>
        <v>-15420879.158461539</v>
      </c>
      <c r="K331" s="526">
        <f t="shared" si="74"/>
        <v>1511409.1492307708</v>
      </c>
      <c r="L331" s="525">
        <f t="shared" si="70"/>
        <v>-528993.20223076979</v>
      </c>
      <c r="M331" s="525">
        <f t="shared" si="76"/>
        <v>-20049.75</v>
      </c>
      <c r="N331" s="529"/>
      <c r="O331" s="525">
        <f t="shared" si="73"/>
        <v>0</v>
      </c>
      <c r="P331" s="529">
        <f t="shared" si="80"/>
        <v>1511409.1492307708</v>
      </c>
      <c r="Q331" s="528"/>
      <c r="R331" s="528"/>
      <c r="S331" s="528"/>
      <c r="T331" s="528"/>
      <c r="U331" s="529">
        <f t="shared" si="75"/>
        <v>-528993.12475641037</v>
      </c>
      <c r="V331" s="525">
        <f t="shared" si="77"/>
        <v>-649291.62475641037</v>
      </c>
      <c r="W331" s="530">
        <f t="shared" si="78"/>
        <v>1205827.5244743624</v>
      </c>
      <c r="X331" s="255">
        <f t="shared" si="71"/>
        <v>982416.0244743604</v>
      </c>
      <c r="Y331" s="136">
        <f t="shared" si="72"/>
        <v>1855119.1492307726</v>
      </c>
      <c r="Z331" s="548"/>
    </row>
    <row r="332" spans="1:26">
      <c r="A332" s="131"/>
      <c r="B332" s="2" t="s">
        <v>479</v>
      </c>
      <c r="C332" s="131"/>
      <c r="D332" s="528"/>
      <c r="E332" s="528"/>
      <c r="F332" s="113">
        <f t="shared" si="81"/>
        <v>17275998.307692308</v>
      </c>
      <c r="G332" s="525">
        <f t="shared" si="82"/>
        <v>17275998.307692312</v>
      </c>
      <c r="H332" s="113">
        <f t="shared" si="69"/>
        <v>57285</v>
      </c>
      <c r="I332" s="524">
        <f t="shared" si="79"/>
        <v>-15821874.158461537</v>
      </c>
      <c r="J332" s="525">
        <f t="shared" si="83"/>
        <v>-15478164.158461539</v>
      </c>
      <c r="K332" s="526">
        <f t="shared" si="74"/>
        <v>1454124.1492307708</v>
      </c>
      <c r="L332" s="525">
        <f t="shared" si="70"/>
        <v>-508943.45223076973</v>
      </c>
      <c r="M332" s="525">
        <f t="shared" si="76"/>
        <v>-20049.750000000058</v>
      </c>
      <c r="N332" s="529"/>
      <c r="O332" s="525">
        <f t="shared" si="73"/>
        <v>0</v>
      </c>
      <c r="P332" s="529">
        <f t="shared" si="80"/>
        <v>1454124.1492307708</v>
      </c>
      <c r="Q332" s="528"/>
      <c r="R332" s="528"/>
      <c r="S332" s="528"/>
      <c r="T332" s="528"/>
      <c r="U332" s="529">
        <f t="shared" si="75"/>
        <v>-508943.37475641031</v>
      </c>
      <c r="V332" s="525">
        <f t="shared" si="77"/>
        <v>-629241.87475641037</v>
      </c>
      <c r="W332" s="530">
        <f t="shared" si="78"/>
        <v>1168592.2744743624</v>
      </c>
      <c r="X332" s="255">
        <f t="shared" si="71"/>
        <v>945180.77447436051</v>
      </c>
      <c r="Y332" s="136">
        <f t="shared" si="72"/>
        <v>1797834.1492307726</v>
      </c>
      <c r="Z332" s="548"/>
    </row>
    <row r="333" spans="1:26">
      <c r="A333" s="131"/>
      <c r="B333" s="2" t="s">
        <v>480</v>
      </c>
      <c r="C333" s="131"/>
      <c r="D333" s="528"/>
      <c r="E333" s="528"/>
      <c r="F333" s="113">
        <f t="shared" si="81"/>
        <v>17275998.307692308</v>
      </c>
      <c r="G333" s="525">
        <f t="shared" si="82"/>
        <v>17275998.307692312</v>
      </c>
      <c r="H333" s="113">
        <f t="shared" ref="H333:H357" si="84">H332</f>
        <v>57285</v>
      </c>
      <c r="I333" s="524">
        <f t="shared" si="79"/>
        <v>-15879159.158461537</v>
      </c>
      <c r="J333" s="525">
        <f t="shared" si="83"/>
        <v>-15535449.158461539</v>
      </c>
      <c r="K333" s="526">
        <f t="shared" si="74"/>
        <v>1396839.1492307708</v>
      </c>
      <c r="L333" s="525">
        <f t="shared" si="70"/>
        <v>-488893.70223076973</v>
      </c>
      <c r="M333" s="525">
        <f t="shared" si="76"/>
        <v>-20049.75</v>
      </c>
      <c r="N333" s="529"/>
      <c r="O333" s="525">
        <f t="shared" si="73"/>
        <v>0</v>
      </c>
      <c r="P333" s="529">
        <f t="shared" si="80"/>
        <v>1396839.1492307708</v>
      </c>
      <c r="Q333" s="528"/>
      <c r="R333" s="528"/>
      <c r="S333" s="528"/>
      <c r="T333" s="528"/>
      <c r="U333" s="529">
        <f t="shared" si="75"/>
        <v>-488893.62475641031</v>
      </c>
      <c r="V333" s="525">
        <f t="shared" si="77"/>
        <v>-609192.12475641037</v>
      </c>
      <c r="W333" s="530">
        <f t="shared" si="78"/>
        <v>1131357.0244743624</v>
      </c>
      <c r="X333" s="255">
        <f t="shared" si="71"/>
        <v>907945.52447436051</v>
      </c>
      <c r="Y333" s="136">
        <f t="shared" si="72"/>
        <v>1740549.1492307726</v>
      </c>
      <c r="Z333" s="548"/>
    </row>
    <row r="334" spans="1:26">
      <c r="A334" s="131"/>
      <c r="B334" s="2" t="s">
        <v>481</v>
      </c>
      <c r="C334" s="131"/>
      <c r="D334" s="528"/>
      <c r="E334" s="528"/>
      <c r="F334" s="113">
        <f t="shared" si="81"/>
        <v>17275998.307692308</v>
      </c>
      <c r="G334" s="525">
        <f t="shared" si="82"/>
        <v>17275998.307692312</v>
      </c>
      <c r="H334" s="113">
        <f t="shared" si="84"/>
        <v>57285</v>
      </c>
      <c r="I334" s="524">
        <f t="shared" si="79"/>
        <v>-15936444.158461537</v>
      </c>
      <c r="J334" s="525">
        <f t="shared" si="83"/>
        <v>-15592734.158461539</v>
      </c>
      <c r="K334" s="526">
        <f t="shared" si="74"/>
        <v>1339554.1492307708</v>
      </c>
      <c r="L334" s="525">
        <f t="shared" si="70"/>
        <v>-468843.95223076973</v>
      </c>
      <c r="M334" s="525">
        <f t="shared" si="76"/>
        <v>-20049.75</v>
      </c>
      <c r="N334" s="529"/>
      <c r="O334" s="525">
        <f t="shared" si="73"/>
        <v>0</v>
      </c>
      <c r="P334" s="529">
        <f t="shared" si="80"/>
        <v>1339554.1492307708</v>
      </c>
      <c r="Q334" s="528"/>
      <c r="R334" s="528"/>
      <c r="S334" s="528"/>
      <c r="T334" s="528"/>
      <c r="U334" s="529">
        <f t="shared" si="75"/>
        <v>-468843.87475641031</v>
      </c>
      <c r="V334" s="525">
        <f t="shared" si="77"/>
        <v>-589142.37475641037</v>
      </c>
      <c r="W334" s="530">
        <f t="shared" si="78"/>
        <v>1094121.7744743624</v>
      </c>
      <c r="X334" s="255">
        <f t="shared" si="71"/>
        <v>870710.27447436051</v>
      </c>
      <c r="Y334" s="136">
        <f t="shared" si="72"/>
        <v>1683264.1492307726</v>
      </c>
      <c r="Z334" s="548"/>
    </row>
    <row r="335" spans="1:26">
      <c r="A335" s="131"/>
      <c r="B335" s="2" t="s">
        <v>482</v>
      </c>
      <c r="C335" s="131"/>
      <c r="D335" s="528"/>
      <c r="E335" s="528"/>
      <c r="F335" s="113">
        <f t="shared" si="81"/>
        <v>17275998.307692308</v>
      </c>
      <c r="G335" s="525">
        <f t="shared" si="82"/>
        <v>17275998.307692312</v>
      </c>
      <c r="H335" s="113">
        <f t="shared" si="84"/>
        <v>57285</v>
      </c>
      <c r="I335" s="524">
        <f t="shared" si="79"/>
        <v>-15993729.158461537</v>
      </c>
      <c r="J335" s="525">
        <f t="shared" si="83"/>
        <v>-15650019.158461539</v>
      </c>
      <c r="K335" s="526">
        <f t="shared" si="74"/>
        <v>1282269.1492307708</v>
      </c>
      <c r="L335" s="525">
        <f t="shared" si="70"/>
        <v>-448794.20223076973</v>
      </c>
      <c r="M335" s="525">
        <f t="shared" si="76"/>
        <v>-20049.75</v>
      </c>
      <c r="N335" s="529"/>
      <c r="O335" s="525">
        <f t="shared" si="73"/>
        <v>0</v>
      </c>
      <c r="P335" s="529">
        <f t="shared" si="80"/>
        <v>1282269.1492307708</v>
      </c>
      <c r="Q335" s="528"/>
      <c r="R335" s="528"/>
      <c r="S335" s="528"/>
      <c r="T335" s="528"/>
      <c r="U335" s="529">
        <f t="shared" si="75"/>
        <v>-448794.12475641031</v>
      </c>
      <c r="V335" s="525">
        <f t="shared" si="77"/>
        <v>-569092.62475641037</v>
      </c>
      <c r="W335" s="530">
        <f t="shared" si="78"/>
        <v>1056886.5244743624</v>
      </c>
      <c r="X335" s="255">
        <f t="shared" si="71"/>
        <v>833475.02447436051</v>
      </c>
      <c r="Y335" s="136">
        <f t="shared" si="72"/>
        <v>1625979.1492307726</v>
      </c>
      <c r="Z335" s="548"/>
    </row>
    <row r="336" spans="1:26">
      <c r="A336" s="131"/>
      <c r="B336" s="2" t="s">
        <v>483</v>
      </c>
      <c r="C336" s="131"/>
      <c r="D336" s="528"/>
      <c r="E336" s="528"/>
      <c r="F336" s="113">
        <f t="shared" si="81"/>
        <v>17275998.307692308</v>
      </c>
      <c r="G336" s="525">
        <f t="shared" si="82"/>
        <v>17275998.307692312</v>
      </c>
      <c r="H336" s="113">
        <f t="shared" si="84"/>
        <v>57285</v>
      </c>
      <c r="I336" s="524">
        <f t="shared" si="79"/>
        <v>-16051014.158461537</v>
      </c>
      <c r="J336" s="525">
        <f t="shared" si="83"/>
        <v>-15707304.158461539</v>
      </c>
      <c r="K336" s="526">
        <f t="shared" si="74"/>
        <v>1224984.1492307708</v>
      </c>
      <c r="L336" s="525">
        <f t="shared" si="70"/>
        <v>-428744.45223076973</v>
      </c>
      <c r="M336" s="525">
        <f t="shared" si="76"/>
        <v>-20049.75</v>
      </c>
      <c r="N336" s="529"/>
      <c r="O336" s="525">
        <f t="shared" si="73"/>
        <v>0</v>
      </c>
      <c r="P336" s="529">
        <f t="shared" si="80"/>
        <v>1224984.1492307708</v>
      </c>
      <c r="Q336" s="528"/>
      <c r="R336" s="528"/>
      <c r="S336" s="528"/>
      <c r="T336" s="528"/>
      <c r="U336" s="529">
        <f t="shared" si="75"/>
        <v>-428744.37475641031</v>
      </c>
      <c r="V336" s="525">
        <f t="shared" si="77"/>
        <v>-549042.87475641037</v>
      </c>
      <c r="W336" s="530">
        <f t="shared" si="78"/>
        <v>1019651.2744743623</v>
      </c>
      <c r="X336" s="255">
        <f t="shared" si="71"/>
        <v>796239.77447436051</v>
      </c>
      <c r="Y336" s="136">
        <f t="shared" si="72"/>
        <v>1568694.1492307726</v>
      </c>
      <c r="Z336" s="548"/>
    </row>
    <row r="337" spans="1:26">
      <c r="A337" s="131"/>
      <c r="B337" s="2" t="s">
        <v>484</v>
      </c>
      <c r="C337" s="131"/>
      <c r="D337" s="528"/>
      <c r="E337" s="528"/>
      <c r="F337" s="113">
        <f t="shared" si="81"/>
        <v>17275998.307692308</v>
      </c>
      <c r="G337" s="525">
        <f t="shared" si="82"/>
        <v>17275998.307692312</v>
      </c>
      <c r="H337" s="113">
        <f t="shared" si="84"/>
        <v>57285</v>
      </c>
      <c r="I337" s="524">
        <f t="shared" si="79"/>
        <v>-16108299.158461537</v>
      </c>
      <c r="J337" s="525">
        <f t="shared" si="83"/>
        <v>-15764589.158461539</v>
      </c>
      <c r="K337" s="526">
        <f t="shared" si="74"/>
        <v>1167699.1492307708</v>
      </c>
      <c r="L337" s="525">
        <f t="shared" si="70"/>
        <v>-408694.70223076973</v>
      </c>
      <c r="M337" s="525">
        <f t="shared" si="76"/>
        <v>-20049.75</v>
      </c>
      <c r="N337" s="529"/>
      <c r="O337" s="525">
        <f t="shared" si="73"/>
        <v>0</v>
      </c>
      <c r="P337" s="529">
        <f t="shared" si="80"/>
        <v>1167699.1492307708</v>
      </c>
      <c r="Q337" s="528"/>
      <c r="R337" s="528"/>
      <c r="S337" s="528"/>
      <c r="T337" s="528"/>
      <c r="U337" s="529">
        <f t="shared" si="75"/>
        <v>-408694.62475641031</v>
      </c>
      <c r="V337" s="525">
        <f t="shared" si="77"/>
        <v>-528993.12475641037</v>
      </c>
      <c r="W337" s="530">
        <f t="shared" si="78"/>
        <v>982416.02447436226</v>
      </c>
      <c r="X337" s="255">
        <f t="shared" si="71"/>
        <v>759004.52447436051</v>
      </c>
      <c r="Y337" s="136">
        <f t="shared" si="72"/>
        <v>1511409.1492307726</v>
      </c>
      <c r="Z337" s="548"/>
    </row>
    <row r="338" spans="1:26">
      <c r="A338" s="131"/>
      <c r="B338" s="2" t="s">
        <v>485</v>
      </c>
      <c r="C338" s="131"/>
      <c r="D338" s="528"/>
      <c r="E338" s="528"/>
      <c r="F338" s="113">
        <f t="shared" si="81"/>
        <v>17275998.307692308</v>
      </c>
      <c r="G338" s="525">
        <f t="shared" si="82"/>
        <v>17275998.307692312</v>
      </c>
      <c r="H338" s="113">
        <f t="shared" si="84"/>
        <v>57285</v>
      </c>
      <c r="I338" s="524">
        <f t="shared" si="79"/>
        <v>-16165584.158461537</v>
      </c>
      <c r="J338" s="525">
        <f t="shared" si="83"/>
        <v>-15821874.158461539</v>
      </c>
      <c r="K338" s="526">
        <f t="shared" si="74"/>
        <v>1110414.1492307708</v>
      </c>
      <c r="L338" s="525">
        <f t="shared" ref="L338:L369" si="85">-K338*35%</f>
        <v>-388644.95223076973</v>
      </c>
      <c r="M338" s="525">
        <f t="shared" si="76"/>
        <v>-20049.75</v>
      </c>
      <c r="N338" s="529"/>
      <c r="O338" s="525">
        <f t="shared" si="73"/>
        <v>0</v>
      </c>
      <c r="P338" s="529">
        <f t="shared" si="80"/>
        <v>1110414.1492307708</v>
      </c>
      <c r="Q338" s="528"/>
      <c r="R338" s="528"/>
      <c r="S338" s="528"/>
      <c r="T338" s="528"/>
      <c r="U338" s="529">
        <f t="shared" si="75"/>
        <v>-388644.87475641031</v>
      </c>
      <c r="V338" s="525">
        <f t="shared" si="77"/>
        <v>-508943.37475641043</v>
      </c>
      <c r="W338" s="530">
        <f t="shared" si="78"/>
        <v>945180.77447436214</v>
      </c>
      <c r="X338" s="255">
        <f t="shared" si="71"/>
        <v>721769.27447436051</v>
      </c>
      <c r="Y338" s="136">
        <f t="shared" si="72"/>
        <v>1454124.1492307726</v>
      </c>
      <c r="Z338" s="548"/>
    </row>
    <row r="339" spans="1:26">
      <c r="A339" s="131"/>
      <c r="B339" s="2" t="s">
        <v>486</v>
      </c>
      <c r="C339" s="131"/>
      <c r="D339" s="528"/>
      <c r="E339" s="528"/>
      <c r="F339" s="113">
        <f t="shared" si="81"/>
        <v>17275998.307692308</v>
      </c>
      <c r="G339" s="525">
        <f t="shared" si="82"/>
        <v>17275998.307692312</v>
      </c>
      <c r="H339" s="113">
        <f t="shared" si="84"/>
        <v>57285</v>
      </c>
      <c r="I339" s="524">
        <f t="shared" si="79"/>
        <v>-16222869.158461537</v>
      </c>
      <c r="J339" s="525">
        <f t="shared" si="83"/>
        <v>-15879159.158461539</v>
      </c>
      <c r="K339" s="526">
        <f t="shared" si="74"/>
        <v>1053129.1492307708</v>
      </c>
      <c r="L339" s="525">
        <f t="shared" si="85"/>
        <v>-368595.20223076973</v>
      </c>
      <c r="M339" s="525">
        <f t="shared" si="76"/>
        <v>-20049.75</v>
      </c>
      <c r="N339" s="529"/>
      <c r="O339" s="525">
        <f t="shared" si="73"/>
        <v>0</v>
      </c>
      <c r="P339" s="529">
        <f t="shared" si="80"/>
        <v>1053129.1492307708</v>
      </c>
      <c r="Q339" s="528"/>
      <c r="R339" s="528"/>
      <c r="S339" s="528"/>
      <c r="T339" s="528"/>
      <c r="U339" s="529">
        <f t="shared" si="75"/>
        <v>-368595.12475641031</v>
      </c>
      <c r="V339" s="525">
        <f t="shared" si="77"/>
        <v>-488893.62475641043</v>
      </c>
      <c r="W339" s="530">
        <f t="shared" si="78"/>
        <v>907945.52447436214</v>
      </c>
      <c r="X339" s="255">
        <f t="shared" ref="X339:X370" si="86">F339+I339+U339</f>
        <v>684534.02447436051</v>
      </c>
      <c r="Y339" s="136">
        <f t="shared" ref="Y339:Y370" si="87">G339+J339</f>
        <v>1396839.1492307726</v>
      </c>
      <c r="Z339" s="548"/>
    </row>
    <row r="340" spans="1:26">
      <c r="A340" s="131"/>
      <c r="B340" s="2" t="s">
        <v>487</v>
      </c>
      <c r="C340" s="131"/>
      <c r="D340" s="528"/>
      <c r="E340" s="528"/>
      <c r="F340" s="113">
        <f t="shared" si="81"/>
        <v>17275998.307692308</v>
      </c>
      <c r="G340" s="525">
        <f t="shared" si="82"/>
        <v>17275998.307692312</v>
      </c>
      <c r="H340" s="113">
        <f t="shared" si="84"/>
        <v>57285</v>
      </c>
      <c r="I340" s="524">
        <f t="shared" si="79"/>
        <v>-16280154.158461537</v>
      </c>
      <c r="J340" s="525">
        <f t="shared" si="83"/>
        <v>-15936444.158461539</v>
      </c>
      <c r="K340" s="526">
        <f t="shared" si="74"/>
        <v>995844.14923077077</v>
      </c>
      <c r="L340" s="525">
        <f t="shared" si="85"/>
        <v>-348545.45223076973</v>
      </c>
      <c r="M340" s="525">
        <f t="shared" si="76"/>
        <v>-20049.75</v>
      </c>
      <c r="N340" s="529"/>
      <c r="O340" s="525">
        <f t="shared" si="73"/>
        <v>0</v>
      </c>
      <c r="P340" s="529">
        <f t="shared" si="80"/>
        <v>995844.14923077077</v>
      </c>
      <c r="Q340" s="528"/>
      <c r="R340" s="528"/>
      <c r="S340" s="528"/>
      <c r="T340" s="528"/>
      <c r="U340" s="529">
        <f t="shared" si="75"/>
        <v>-348545.37475641031</v>
      </c>
      <c r="V340" s="525">
        <f t="shared" si="77"/>
        <v>-468843.87475641043</v>
      </c>
      <c r="W340" s="530">
        <f t="shared" si="78"/>
        <v>870710.27447436214</v>
      </c>
      <c r="X340" s="255">
        <f t="shared" si="86"/>
        <v>647298.77447436051</v>
      </c>
      <c r="Y340" s="136">
        <f t="shared" si="87"/>
        <v>1339554.1492307726</v>
      </c>
      <c r="Z340" s="548"/>
    </row>
    <row r="341" spans="1:26">
      <c r="A341" s="131"/>
      <c r="B341" s="2" t="s">
        <v>488</v>
      </c>
      <c r="C341" s="131"/>
      <c r="D341" s="528"/>
      <c r="E341" s="528"/>
      <c r="F341" s="113">
        <f t="shared" si="81"/>
        <v>17275998.307692308</v>
      </c>
      <c r="G341" s="525">
        <f t="shared" si="82"/>
        <v>17275998.307692312</v>
      </c>
      <c r="H341" s="113">
        <f t="shared" si="84"/>
        <v>57285</v>
      </c>
      <c r="I341" s="524">
        <f t="shared" si="79"/>
        <v>-16337439.158461537</v>
      </c>
      <c r="J341" s="525">
        <f t="shared" si="83"/>
        <v>-15993729.158461539</v>
      </c>
      <c r="K341" s="526">
        <f t="shared" si="74"/>
        <v>938559.14923077077</v>
      </c>
      <c r="L341" s="525">
        <f t="shared" si="85"/>
        <v>-328495.70223076973</v>
      </c>
      <c r="M341" s="525">
        <f t="shared" si="76"/>
        <v>-20049.75</v>
      </c>
      <c r="N341" s="529"/>
      <c r="O341" s="525">
        <f t="shared" si="73"/>
        <v>0</v>
      </c>
      <c r="P341" s="529">
        <f t="shared" si="80"/>
        <v>938559.14923077077</v>
      </c>
      <c r="Q341" s="528"/>
      <c r="R341" s="528"/>
      <c r="S341" s="528"/>
      <c r="T341" s="528"/>
      <c r="U341" s="529">
        <f t="shared" si="75"/>
        <v>-328495.62475641031</v>
      </c>
      <c r="V341" s="525">
        <f t="shared" si="77"/>
        <v>-448794.12475641043</v>
      </c>
      <c r="W341" s="530">
        <f t="shared" si="78"/>
        <v>833475.02447436214</v>
      </c>
      <c r="X341" s="255">
        <f t="shared" si="86"/>
        <v>610063.52447436051</v>
      </c>
      <c r="Y341" s="136">
        <f t="shared" si="87"/>
        <v>1282269.1492307726</v>
      </c>
      <c r="Z341" s="548"/>
    </row>
    <row r="342" spans="1:26">
      <c r="A342" s="131"/>
      <c r="B342" s="2" t="s">
        <v>489</v>
      </c>
      <c r="C342" s="131"/>
      <c r="D342" s="528"/>
      <c r="E342" s="528"/>
      <c r="F342" s="113">
        <f t="shared" si="81"/>
        <v>17275998.307692308</v>
      </c>
      <c r="G342" s="525">
        <f t="shared" si="82"/>
        <v>17275998.307692312</v>
      </c>
      <c r="H342" s="113">
        <f t="shared" si="84"/>
        <v>57285</v>
      </c>
      <c r="I342" s="524">
        <f t="shared" si="79"/>
        <v>-16394724.158461537</v>
      </c>
      <c r="J342" s="525">
        <f t="shared" si="83"/>
        <v>-16051014.158461539</v>
      </c>
      <c r="K342" s="526">
        <f t="shared" si="74"/>
        <v>881274.14923077077</v>
      </c>
      <c r="L342" s="525">
        <f t="shared" si="85"/>
        <v>-308445.95223076973</v>
      </c>
      <c r="M342" s="525">
        <f t="shared" si="76"/>
        <v>-20049.75</v>
      </c>
      <c r="N342" s="529"/>
      <c r="O342" s="525">
        <f t="shared" si="73"/>
        <v>0</v>
      </c>
      <c r="P342" s="529">
        <f t="shared" si="80"/>
        <v>881274.14923077077</v>
      </c>
      <c r="Q342" s="528"/>
      <c r="R342" s="528"/>
      <c r="S342" s="528"/>
      <c r="T342" s="528"/>
      <c r="U342" s="529">
        <f t="shared" si="75"/>
        <v>-308445.87475641031</v>
      </c>
      <c r="V342" s="525">
        <f t="shared" si="77"/>
        <v>-428744.37475641043</v>
      </c>
      <c r="W342" s="530">
        <f t="shared" si="78"/>
        <v>796239.77447436214</v>
      </c>
      <c r="X342" s="255">
        <f t="shared" si="86"/>
        <v>572828.27447436051</v>
      </c>
      <c r="Y342" s="136">
        <f t="shared" si="87"/>
        <v>1224984.1492307726</v>
      </c>
      <c r="Z342" s="548"/>
    </row>
    <row r="343" spans="1:26">
      <c r="A343" s="131"/>
      <c r="B343" s="2" t="s">
        <v>490</v>
      </c>
      <c r="C343" s="131"/>
      <c r="D343" s="528"/>
      <c r="E343" s="528"/>
      <c r="F343" s="113">
        <f t="shared" si="81"/>
        <v>17275998.307692308</v>
      </c>
      <c r="G343" s="525">
        <f t="shared" si="82"/>
        <v>17275998.307692312</v>
      </c>
      <c r="H343" s="113">
        <f t="shared" si="84"/>
        <v>57285</v>
      </c>
      <c r="I343" s="524">
        <f t="shared" si="79"/>
        <v>-16452009.158461537</v>
      </c>
      <c r="J343" s="525">
        <f t="shared" si="83"/>
        <v>-16108299.158461539</v>
      </c>
      <c r="K343" s="526">
        <f t="shared" si="74"/>
        <v>823989.14923077077</v>
      </c>
      <c r="L343" s="525">
        <f t="shared" si="85"/>
        <v>-288396.20223076973</v>
      </c>
      <c r="M343" s="525">
        <f t="shared" si="76"/>
        <v>-20049.75</v>
      </c>
      <c r="N343" s="529"/>
      <c r="O343" s="525">
        <f t="shared" si="73"/>
        <v>0</v>
      </c>
      <c r="P343" s="529">
        <f t="shared" si="80"/>
        <v>823989.14923077077</v>
      </c>
      <c r="Q343" s="528"/>
      <c r="R343" s="528"/>
      <c r="S343" s="528"/>
      <c r="T343" s="528"/>
      <c r="U343" s="529">
        <f t="shared" si="75"/>
        <v>-288396.12475641031</v>
      </c>
      <c r="V343" s="525">
        <f t="shared" si="77"/>
        <v>-408694.62475641031</v>
      </c>
      <c r="W343" s="530">
        <f t="shared" si="78"/>
        <v>759004.52447436238</v>
      </c>
      <c r="X343" s="255">
        <f t="shared" si="86"/>
        <v>535593.02447436051</v>
      </c>
      <c r="Y343" s="136">
        <f t="shared" si="87"/>
        <v>1167699.1492307726</v>
      </c>
      <c r="Z343" s="548"/>
    </row>
    <row r="344" spans="1:26">
      <c r="A344" s="131"/>
      <c r="B344" s="2" t="s">
        <v>491</v>
      </c>
      <c r="C344" s="131"/>
      <c r="D344" s="528"/>
      <c r="E344" s="528"/>
      <c r="F344" s="113">
        <f t="shared" si="81"/>
        <v>17275998.307692308</v>
      </c>
      <c r="G344" s="525">
        <f t="shared" si="82"/>
        <v>17275998.307692312</v>
      </c>
      <c r="H344" s="113">
        <f t="shared" si="84"/>
        <v>57285</v>
      </c>
      <c r="I344" s="524">
        <f t="shared" si="79"/>
        <v>-16509294.158461537</v>
      </c>
      <c r="J344" s="525">
        <f t="shared" si="83"/>
        <v>-16165584.158461539</v>
      </c>
      <c r="K344" s="526">
        <f t="shared" si="74"/>
        <v>766704.14923077077</v>
      </c>
      <c r="L344" s="525">
        <f t="shared" si="85"/>
        <v>-268346.45223076973</v>
      </c>
      <c r="M344" s="525">
        <f t="shared" si="76"/>
        <v>-20049.75</v>
      </c>
      <c r="N344" s="529"/>
      <c r="O344" s="525">
        <f t="shared" ref="O344:O369" si="88">(N332+N344+SUM(N333:N343)*2)/24</f>
        <v>0</v>
      </c>
      <c r="P344" s="529">
        <f t="shared" si="80"/>
        <v>766704.14923077077</v>
      </c>
      <c r="Q344" s="528"/>
      <c r="R344" s="528"/>
      <c r="S344" s="528"/>
      <c r="T344" s="528"/>
      <c r="U344" s="529">
        <f t="shared" si="75"/>
        <v>-268346.37475641031</v>
      </c>
      <c r="V344" s="525">
        <f t="shared" si="77"/>
        <v>-388644.87475641031</v>
      </c>
      <c r="W344" s="530">
        <f t="shared" si="78"/>
        <v>721769.27447436238</v>
      </c>
      <c r="X344" s="255">
        <f t="shared" si="86"/>
        <v>498357.77447436046</v>
      </c>
      <c r="Y344" s="136">
        <f t="shared" si="87"/>
        <v>1110414.1492307726</v>
      </c>
      <c r="Z344" s="548"/>
    </row>
    <row r="345" spans="1:26">
      <c r="A345" s="131"/>
      <c r="B345" s="2" t="s">
        <v>492</v>
      </c>
      <c r="C345" s="131"/>
      <c r="D345" s="528"/>
      <c r="E345" s="528"/>
      <c r="F345" s="113">
        <f t="shared" si="81"/>
        <v>17275998.307692308</v>
      </c>
      <c r="G345" s="525">
        <f t="shared" si="82"/>
        <v>17275998.307692312</v>
      </c>
      <c r="H345" s="113">
        <f t="shared" si="84"/>
        <v>57285</v>
      </c>
      <c r="I345" s="524">
        <f t="shared" si="79"/>
        <v>-16566579.158461537</v>
      </c>
      <c r="J345" s="525">
        <f t="shared" si="83"/>
        <v>-16222869.158461539</v>
      </c>
      <c r="K345" s="526">
        <f t="shared" si="74"/>
        <v>709419.14923077077</v>
      </c>
      <c r="L345" s="525">
        <f t="shared" si="85"/>
        <v>-248296.70223076976</v>
      </c>
      <c r="M345" s="525">
        <f t="shared" si="76"/>
        <v>-20049.749999999971</v>
      </c>
      <c r="N345" s="529"/>
      <c r="O345" s="525">
        <f t="shared" si="88"/>
        <v>0</v>
      </c>
      <c r="P345" s="529">
        <f t="shared" si="80"/>
        <v>709419.14923077077</v>
      </c>
      <c r="Q345" s="528"/>
      <c r="R345" s="528"/>
      <c r="S345" s="528"/>
      <c r="T345" s="528"/>
      <c r="U345" s="529">
        <f t="shared" si="75"/>
        <v>-248296.62475641034</v>
      </c>
      <c r="V345" s="525">
        <f t="shared" si="77"/>
        <v>-368595.12475641031</v>
      </c>
      <c r="W345" s="530">
        <f t="shared" si="78"/>
        <v>684534.02447436238</v>
      </c>
      <c r="X345" s="255">
        <f t="shared" si="86"/>
        <v>461122.5244743604</v>
      </c>
      <c r="Y345" s="136">
        <f t="shared" si="87"/>
        <v>1053129.1492307726</v>
      </c>
      <c r="Z345" s="548"/>
    </row>
    <row r="346" spans="1:26">
      <c r="A346" s="131"/>
      <c r="B346" s="2" t="s">
        <v>493</v>
      </c>
      <c r="C346" s="131"/>
      <c r="D346" s="528"/>
      <c r="E346" s="528"/>
      <c r="F346" s="113">
        <f t="shared" si="81"/>
        <v>17275998.307692308</v>
      </c>
      <c r="G346" s="525">
        <f t="shared" si="82"/>
        <v>17275998.307692312</v>
      </c>
      <c r="H346" s="113">
        <f t="shared" si="84"/>
        <v>57285</v>
      </c>
      <c r="I346" s="524">
        <f t="shared" si="79"/>
        <v>-16623864.158461537</v>
      </c>
      <c r="J346" s="525">
        <f t="shared" si="83"/>
        <v>-16280154.158461539</v>
      </c>
      <c r="K346" s="526">
        <f t="shared" si="74"/>
        <v>652134.14923077077</v>
      </c>
      <c r="L346" s="525">
        <f t="shared" si="85"/>
        <v>-228246.95223076976</v>
      </c>
      <c r="M346" s="525">
        <f t="shared" si="76"/>
        <v>-20049.75</v>
      </c>
      <c r="N346" s="529"/>
      <c r="O346" s="525">
        <f t="shared" si="88"/>
        <v>0</v>
      </c>
      <c r="P346" s="529">
        <f t="shared" si="80"/>
        <v>652134.14923077077</v>
      </c>
      <c r="Q346" s="528"/>
      <c r="R346" s="528"/>
      <c r="S346" s="528"/>
      <c r="T346" s="528"/>
      <c r="U346" s="529">
        <f t="shared" si="75"/>
        <v>-228246.87475641034</v>
      </c>
      <c r="V346" s="525">
        <f t="shared" si="77"/>
        <v>-348545.37475641031</v>
      </c>
      <c r="W346" s="530">
        <f t="shared" si="78"/>
        <v>647298.77447436238</v>
      </c>
      <c r="X346" s="255">
        <f t="shared" si="86"/>
        <v>423887.2744743604</v>
      </c>
      <c r="Y346" s="136">
        <f t="shared" si="87"/>
        <v>995844.14923077263</v>
      </c>
      <c r="Z346" s="548"/>
    </row>
    <row r="347" spans="1:26">
      <c r="A347" s="131"/>
      <c r="B347" s="2" t="s">
        <v>494</v>
      </c>
      <c r="C347" s="131"/>
      <c r="D347" s="528"/>
      <c r="E347" s="528"/>
      <c r="F347" s="113">
        <f t="shared" si="81"/>
        <v>17275998.307692308</v>
      </c>
      <c r="G347" s="525">
        <f t="shared" si="82"/>
        <v>17275998.307692312</v>
      </c>
      <c r="H347" s="113">
        <f t="shared" si="84"/>
        <v>57285</v>
      </c>
      <c r="I347" s="524">
        <f t="shared" si="79"/>
        <v>-16681149.158461537</v>
      </c>
      <c r="J347" s="525">
        <f t="shared" si="83"/>
        <v>-16337439.158461539</v>
      </c>
      <c r="K347" s="526">
        <f t="shared" si="74"/>
        <v>594849.14923077077</v>
      </c>
      <c r="L347" s="525">
        <f t="shared" si="85"/>
        <v>-208197.20223076976</v>
      </c>
      <c r="M347" s="525">
        <f t="shared" si="76"/>
        <v>-20049.75</v>
      </c>
      <c r="N347" s="529"/>
      <c r="O347" s="525">
        <f t="shared" si="88"/>
        <v>0</v>
      </c>
      <c r="P347" s="529">
        <f t="shared" si="80"/>
        <v>594849.14923077077</v>
      </c>
      <c r="Q347" s="528"/>
      <c r="R347" s="528"/>
      <c r="S347" s="528"/>
      <c r="T347" s="528"/>
      <c r="U347" s="529">
        <f t="shared" si="75"/>
        <v>-208197.12475641034</v>
      </c>
      <c r="V347" s="525">
        <f t="shared" si="77"/>
        <v>-328495.62475641031</v>
      </c>
      <c r="W347" s="530">
        <f t="shared" si="78"/>
        <v>610063.52447436238</v>
      </c>
      <c r="X347" s="255">
        <f t="shared" si="86"/>
        <v>386652.0244743604</v>
      </c>
      <c r="Y347" s="136">
        <f t="shared" si="87"/>
        <v>938559.14923077263</v>
      </c>
      <c r="Z347" s="548"/>
    </row>
    <row r="348" spans="1:26">
      <c r="A348" s="131"/>
      <c r="B348" s="2" t="s">
        <v>495</v>
      </c>
      <c r="C348" s="131"/>
      <c r="D348" s="528"/>
      <c r="E348" s="528"/>
      <c r="F348" s="113">
        <f t="shared" si="81"/>
        <v>17275998.307692308</v>
      </c>
      <c r="G348" s="525">
        <f t="shared" si="82"/>
        <v>17275998.307692312</v>
      </c>
      <c r="H348" s="113">
        <f t="shared" si="84"/>
        <v>57285</v>
      </c>
      <c r="I348" s="524">
        <f t="shared" si="79"/>
        <v>-16738434.158461537</v>
      </c>
      <c r="J348" s="525">
        <f t="shared" si="83"/>
        <v>-16394724.158461539</v>
      </c>
      <c r="K348" s="526">
        <f t="shared" si="74"/>
        <v>537564.14923077077</v>
      </c>
      <c r="L348" s="525">
        <f t="shared" si="85"/>
        <v>-188147.45223076976</v>
      </c>
      <c r="M348" s="525">
        <f t="shared" si="76"/>
        <v>-20049.75</v>
      </c>
      <c r="N348" s="529"/>
      <c r="O348" s="525">
        <f t="shared" si="88"/>
        <v>0</v>
      </c>
      <c r="P348" s="529">
        <f t="shared" si="80"/>
        <v>537564.14923077077</v>
      </c>
      <c r="Q348" s="528"/>
      <c r="R348" s="528"/>
      <c r="S348" s="528"/>
      <c r="T348" s="528"/>
      <c r="U348" s="529">
        <f t="shared" si="75"/>
        <v>-188147.37475641034</v>
      </c>
      <c r="V348" s="525">
        <f t="shared" si="77"/>
        <v>-308445.87475641031</v>
      </c>
      <c r="W348" s="530">
        <f t="shared" si="78"/>
        <v>572828.27447436238</v>
      </c>
      <c r="X348" s="255">
        <f t="shared" si="86"/>
        <v>349416.7744743604</v>
      </c>
      <c r="Y348" s="136">
        <f t="shared" si="87"/>
        <v>881274.14923077263</v>
      </c>
      <c r="Z348" s="548"/>
    </row>
    <row r="349" spans="1:26">
      <c r="A349" s="131"/>
      <c r="B349" s="2" t="s">
        <v>496</v>
      </c>
      <c r="C349" s="131"/>
      <c r="D349" s="528"/>
      <c r="E349" s="528"/>
      <c r="F349" s="113">
        <f t="shared" si="81"/>
        <v>17275998.307692308</v>
      </c>
      <c r="G349" s="525">
        <f t="shared" si="82"/>
        <v>17275998.307692312</v>
      </c>
      <c r="H349" s="113">
        <f t="shared" si="84"/>
        <v>57285</v>
      </c>
      <c r="I349" s="524">
        <f t="shared" si="79"/>
        <v>-16795719.158461537</v>
      </c>
      <c r="J349" s="525">
        <f t="shared" si="83"/>
        <v>-16452009.158461539</v>
      </c>
      <c r="K349" s="526">
        <f t="shared" si="74"/>
        <v>480279.14923077077</v>
      </c>
      <c r="L349" s="525">
        <f t="shared" si="85"/>
        <v>-168097.70223076976</v>
      </c>
      <c r="M349" s="525">
        <f t="shared" si="76"/>
        <v>-20049.75</v>
      </c>
      <c r="N349" s="529"/>
      <c r="O349" s="525">
        <f t="shared" si="88"/>
        <v>0</v>
      </c>
      <c r="P349" s="529">
        <f t="shared" si="80"/>
        <v>480279.14923077077</v>
      </c>
      <c r="Q349" s="528"/>
      <c r="R349" s="528"/>
      <c r="S349" s="528"/>
      <c r="T349" s="528"/>
      <c r="U349" s="529">
        <f t="shared" si="75"/>
        <v>-168097.62475641034</v>
      </c>
      <c r="V349" s="525">
        <f t="shared" si="77"/>
        <v>-288396.12475641031</v>
      </c>
      <c r="W349" s="530">
        <f t="shared" si="78"/>
        <v>535593.02447436238</v>
      </c>
      <c r="X349" s="255">
        <f t="shared" si="86"/>
        <v>312181.5244743604</v>
      </c>
      <c r="Y349" s="136">
        <f t="shared" si="87"/>
        <v>823989.14923077263</v>
      </c>
      <c r="Z349" s="548"/>
    </row>
    <row r="350" spans="1:26">
      <c r="A350" s="131"/>
      <c r="B350" s="2" t="s">
        <v>497</v>
      </c>
      <c r="C350" s="131"/>
      <c r="D350" s="528"/>
      <c r="E350" s="528"/>
      <c r="F350" s="113">
        <f t="shared" si="81"/>
        <v>17275998.307692308</v>
      </c>
      <c r="G350" s="525">
        <f t="shared" si="82"/>
        <v>17275998.307692312</v>
      </c>
      <c r="H350" s="113">
        <f t="shared" si="84"/>
        <v>57285</v>
      </c>
      <c r="I350" s="524">
        <f t="shared" si="79"/>
        <v>-16853004.158461537</v>
      </c>
      <c r="J350" s="525">
        <f t="shared" si="83"/>
        <v>-16509294.158461539</v>
      </c>
      <c r="K350" s="526">
        <f t="shared" si="74"/>
        <v>422994.14923077077</v>
      </c>
      <c r="L350" s="525">
        <f t="shared" si="85"/>
        <v>-148047.95223076976</v>
      </c>
      <c r="M350" s="525">
        <f t="shared" si="76"/>
        <v>-20049.75</v>
      </c>
      <c r="N350" s="529"/>
      <c r="O350" s="525">
        <f t="shared" si="88"/>
        <v>0</v>
      </c>
      <c r="P350" s="529">
        <f t="shared" si="80"/>
        <v>422994.14923077077</v>
      </c>
      <c r="Q350" s="528"/>
      <c r="R350" s="528"/>
      <c r="S350" s="528"/>
      <c r="T350" s="528"/>
      <c r="U350" s="529">
        <f t="shared" si="75"/>
        <v>-148047.87475641034</v>
      </c>
      <c r="V350" s="525">
        <f t="shared" si="77"/>
        <v>-268346.37475641031</v>
      </c>
      <c r="W350" s="530">
        <f t="shared" si="78"/>
        <v>498357.77447436232</v>
      </c>
      <c r="X350" s="255">
        <f t="shared" si="86"/>
        <v>274946.2744743604</v>
      </c>
      <c r="Y350" s="136">
        <f t="shared" si="87"/>
        <v>766704.14923077263</v>
      </c>
      <c r="Z350" s="548"/>
    </row>
    <row r="351" spans="1:26">
      <c r="A351" s="131"/>
      <c r="B351" s="2" t="s">
        <v>498</v>
      </c>
      <c r="C351" s="131"/>
      <c r="D351" s="528"/>
      <c r="E351" s="528"/>
      <c r="F351" s="113">
        <f t="shared" si="81"/>
        <v>17275998.307692308</v>
      </c>
      <c r="G351" s="525">
        <f t="shared" si="82"/>
        <v>17275998.307692312</v>
      </c>
      <c r="H351" s="113">
        <f t="shared" si="84"/>
        <v>57285</v>
      </c>
      <c r="I351" s="524">
        <f t="shared" si="79"/>
        <v>-16910289.158461537</v>
      </c>
      <c r="J351" s="525">
        <f t="shared" si="83"/>
        <v>-16566579.158461539</v>
      </c>
      <c r="K351" s="526">
        <f t="shared" si="74"/>
        <v>365709.14923077077</v>
      </c>
      <c r="L351" s="525">
        <f t="shared" si="85"/>
        <v>-127998.20223076976</v>
      </c>
      <c r="M351" s="525">
        <f t="shared" si="76"/>
        <v>-20049.75</v>
      </c>
      <c r="N351" s="529"/>
      <c r="O351" s="525">
        <f t="shared" si="88"/>
        <v>0</v>
      </c>
      <c r="P351" s="529">
        <f t="shared" si="80"/>
        <v>365709.14923077077</v>
      </c>
      <c r="Q351" s="528"/>
      <c r="R351" s="528"/>
      <c r="S351" s="528"/>
      <c r="T351" s="528"/>
      <c r="U351" s="529">
        <f t="shared" si="75"/>
        <v>-127998.12475641034</v>
      </c>
      <c r="V351" s="525">
        <f t="shared" si="77"/>
        <v>-248296.62475641028</v>
      </c>
      <c r="W351" s="530">
        <f t="shared" si="78"/>
        <v>461122.52447436238</v>
      </c>
      <c r="X351" s="255">
        <f t="shared" si="86"/>
        <v>237711.02447436043</v>
      </c>
      <c r="Y351" s="136">
        <f t="shared" si="87"/>
        <v>709419.14923077263</v>
      </c>
      <c r="Z351" s="548"/>
    </row>
    <row r="352" spans="1:26">
      <c r="A352" s="131"/>
      <c r="B352" s="2" t="s">
        <v>499</v>
      </c>
      <c r="C352" s="131"/>
      <c r="D352" s="528"/>
      <c r="E352" s="528"/>
      <c r="F352" s="113">
        <f t="shared" si="81"/>
        <v>17275998.307692308</v>
      </c>
      <c r="G352" s="525">
        <f t="shared" si="82"/>
        <v>17275998.307692312</v>
      </c>
      <c r="H352" s="113">
        <f t="shared" si="84"/>
        <v>57285</v>
      </c>
      <c r="I352" s="524">
        <f t="shared" si="79"/>
        <v>-16967574.158461537</v>
      </c>
      <c r="J352" s="525">
        <f t="shared" si="83"/>
        <v>-16623864.158461539</v>
      </c>
      <c r="K352" s="526">
        <f t="shared" si="74"/>
        <v>308424.14923077077</v>
      </c>
      <c r="L352" s="525">
        <f t="shared" si="85"/>
        <v>-107948.45223076976</v>
      </c>
      <c r="M352" s="525">
        <f t="shared" si="76"/>
        <v>-20049.75</v>
      </c>
      <c r="N352" s="529"/>
      <c r="O352" s="525">
        <f t="shared" si="88"/>
        <v>0</v>
      </c>
      <c r="P352" s="529">
        <f t="shared" si="80"/>
        <v>308424.14923077077</v>
      </c>
      <c r="Q352" s="528"/>
      <c r="R352" s="528"/>
      <c r="S352" s="528"/>
      <c r="T352" s="528"/>
      <c r="U352" s="529">
        <f t="shared" si="75"/>
        <v>-107948.37475641034</v>
      </c>
      <c r="V352" s="525">
        <f t="shared" si="77"/>
        <v>-228246.87475641028</v>
      </c>
      <c r="W352" s="530">
        <f t="shared" si="78"/>
        <v>423887.27447436238</v>
      </c>
      <c r="X352" s="255">
        <f t="shared" si="86"/>
        <v>200475.77447436043</v>
      </c>
      <c r="Y352" s="136">
        <f t="shared" si="87"/>
        <v>652134.14923077263</v>
      </c>
      <c r="Z352" s="548"/>
    </row>
    <row r="353" spans="1:26">
      <c r="A353" s="131"/>
      <c r="B353" s="2" t="s">
        <v>500</v>
      </c>
      <c r="C353" s="131"/>
      <c r="D353" s="528"/>
      <c r="E353" s="528"/>
      <c r="F353" s="113">
        <f t="shared" si="81"/>
        <v>17275998.307692308</v>
      </c>
      <c r="G353" s="525">
        <f t="shared" si="82"/>
        <v>17275998.307692312</v>
      </c>
      <c r="H353" s="113">
        <f t="shared" si="84"/>
        <v>57285</v>
      </c>
      <c r="I353" s="524">
        <f t="shared" si="79"/>
        <v>-17024859.158461537</v>
      </c>
      <c r="J353" s="525">
        <f t="shared" si="83"/>
        <v>-16681149.158461539</v>
      </c>
      <c r="K353" s="526">
        <f t="shared" si="74"/>
        <v>251139.14923077077</v>
      </c>
      <c r="L353" s="525">
        <f t="shared" si="85"/>
        <v>-87898.702230769763</v>
      </c>
      <c r="M353" s="525">
        <f t="shared" si="76"/>
        <v>-20049.75</v>
      </c>
      <c r="N353" s="529"/>
      <c r="O353" s="525">
        <f t="shared" si="88"/>
        <v>0</v>
      </c>
      <c r="P353" s="529">
        <f t="shared" si="80"/>
        <v>251139.14923077077</v>
      </c>
      <c r="Q353" s="528"/>
      <c r="R353" s="528"/>
      <c r="S353" s="528"/>
      <c r="T353" s="528"/>
      <c r="U353" s="529">
        <f t="shared" si="75"/>
        <v>-87898.62475641034</v>
      </c>
      <c r="V353" s="525">
        <f t="shared" si="77"/>
        <v>-208197.12475641028</v>
      </c>
      <c r="W353" s="530">
        <f t="shared" si="78"/>
        <v>386652.02447436238</v>
      </c>
      <c r="X353" s="255">
        <f t="shared" si="86"/>
        <v>163240.52447436043</v>
      </c>
      <c r="Y353" s="136">
        <f t="shared" si="87"/>
        <v>594849.14923077263</v>
      </c>
      <c r="Z353" s="548"/>
    </row>
    <row r="354" spans="1:26">
      <c r="A354" s="131"/>
      <c r="B354" s="2" t="s">
        <v>501</v>
      </c>
      <c r="C354" s="131"/>
      <c r="D354" s="528"/>
      <c r="E354" s="528"/>
      <c r="F354" s="113">
        <f t="shared" si="81"/>
        <v>17275998.307692308</v>
      </c>
      <c r="G354" s="525">
        <f t="shared" si="82"/>
        <v>17275998.307692312</v>
      </c>
      <c r="H354" s="113">
        <f t="shared" si="84"/>
        <v>57285</v>
      </c>
      <c r="I354" s="524">
        <f t="shared" si="79"/>
        <v>-17082144.158461537</v>
      </c>
      <c r="J354" s="525">
        <f t="shared" si="83"/>
        <v>-16738434.158461539</v>
      </c>
      <c r="K354" s="526">
        <f t="shared" si="74"/>
        <v>193854.14923077077</v>
      </c>
      <c r="L354" s="525">
        <f t="shared" si="85"/>
        <v>-67848.952230769763</v>
      </c>
      <c r="M354" s="525">
        <f t="shared" si="76"/>
        <v>-20049.75</v>
      </c>
      <c r="N354" s="529"/>
      <c r="O354" s="525">
        <f t="shared" si="88"/>
        <v>0</v>
      </c>
      <c r="P354" s="529">
        <f t="shared" si="80"/>
        <v>193854.14923077077</v>
      </c>
      <c r="Q354" s="528"/>
      <c r="R354" s="528"/>
      <c r="S354" s="528"/>
      <c r="T354" s="528"/>
      <c r="U354" s="529">
        <f t="shared" si="75"/>
        <v>-67848.87475641034</v>
      </c>
      <c r="V354" s="525">
        <f t="shared" si="77"/>
        <v>-188147.37475641028</v>
      </c>
      <c r="W354" s="530">
        <f t="shared" si="78"/>
        <v>349416.77447436238</v>
      </c>
      <c r="X354" s="255">
        <f t="shared" si="86"/>
        <v>126005.27447436043</v>
      </c>
      <c r="Y354" s="136">
        <f t="shared" si="87"/>
        <v>537564.14923077263</v>
      </c>
      <c r="Z354" s="548"/>
    </row>
    <row r="355" spans="1:26">
      <c r="A355" s="131"/>
      <c r="B355" s="2" t="s">
        <v>502</v>
      </c>
      <c r="C355" s="131"/>
      <c r="D355" s="528"/>
      <c r="E355" s="528"/>
      <c r="F355" s="113">
        <f t="shared" si="81"/>
        <v>17275998.307692308</v>
      </c>
      <c r="G355" s="525">
        <f t="shared" si="82"/>
        <v>17275998.307692312</v>
      </c>
      <c r="H355" s="113">
        <f t="shared" si="84"/>
        <v>57285</v>
      </c>
      <c r="I355" s="524">
        <f t="shared" si="79"/>
        <v>-17139429.158461537</v>
      </c>
      <c r="J355" s="525">
        <f t="shared" si="83"/>
        <v>-16795719.158461537</v>
      </c>
      <c r="K355" s="526">
        <f t="shared" si="74"/>
        <v>136569.14923077077</v>
      </c>
      <c r="L355" s="525">
        <f t="shared" si="85"/>
        <v>-47799.202230769763</v>
      </c>
      <c r="M355" s="525">
        <f t="shared" si="76"/>
        <v>-20049.75</v>
      </c>
      <c r="N355" s="529"/>
      <c r="O355" s="525">
        <f t="shared" si="88"/>
        <v>0</v>
      </c>
      <c r="P355" s="529">
        <f t="shared" si="80"/>
        <v>136569.14923077077</v>
      </c>
      <c r="Q355" s="528"/>
      <c r="R355" s="528"/>
      <c r="S355" s="528"/>
      <c r="T355" s="528"/>
      <c r="U355" s="529">
        <f t="shared" si="75"/>
        <v>-47799.12475641034</v>
      </c>
      <c r="V355" s="525">
        <f t="shared" si="77"/>
        <v>-168097.62475641028</v>
      </c>
      <c r="W355" s="530">
        <f t="shared" si="78"/>
        <v>312181.52447436424</v>
      </c>
      <c r="X355" s="255">
        <f t="shared" si="86"/>
        <v>88770.024474360427</v>
      </c>
      <c r="Y355" s="136">
        <f t="shared" si="87"/>
        <v>480279.14923077449</v>
      </c>
      <c r="Z355" s="548"/>
    </row>
    <row r="356" spans="1:26">
      <c r="A356" s="131"/>
      <c r="B356" s="2" t="s">
        <v>503</v>
      </c>
      <c r="C356" s="131"/>
      <c r="D356" s="528"/>
      <c r="E356" s="528"/>
      <c r="F356" s="113">
        <f t="shared" si="81"/>
        <v>17275998.307692308</v>
      </c>
      <c r="G356" s="525">
        <f t="shared" si="82"/>
        <v>17275998.307692312</v>
      </c>
      <c r="H356" s="113">
        <f t="shared" si="84"/>
        <v>57285</v>
      </c>
      <c r="I356" s="524">
        <f t="shared" si="79"/>
        <v>-17196714.158461537</v>
      </c>
      <c r="J356" s="525">
        <f t="shared" si="83"/>
        <v>-16853004.158461537</v>
      </c>
      <c r="K356" s="526">
        <f t="shared" si="74"/>
        <v>79284.149230770767</v>
      </c>
      <c r="L356" s="525">
        <f t="shared" si="85"/>
        <v>-27749.452230769766</v>
      </c>
      <c r="M356" s="525">
        <f t="shared" si="76"/>
        <v>-20049.749999999996</v>
      </c>
      <c r="N356" s="529"/>
      <c r="O356" s="525">
        <f t="shared" si="88"/>
        <v>0</v>
      </c>
      <c r="P356" s="529">
        <f t="shared" si="80"/>
        <v>79284.149230770767</v>
      </c>
      <c r="Q356" s="528"/>
      <c r="R356" s="528"/>
      <c r="S356" s="528"/>
      <c r="T356" s="528"/>
      <c r="U356" s="529">
        <f t="shared" si="75"/>
        <v>-27749.374756410343</v>
      </c>
      <c r="V356" s="525">
        <f t="shared" si="77"/>
        <v>-148047.87475641028</v>
      </c>
      <c r="W356" s="530">
        <f t="shared" si="78"/>
        <v>274946.27447436424</v>
      </c>
      <c r="X356" s="255">
        <f t="shared" si="86"/>
        <v>51534.774474360427</v>
      </c>
      <c r="Y356" s="136">
        <f t="shared" si="87"/>
        <v>422994.14923077449</v>
      </c>
      <c r="Z356" s="548"/>
    </row>
    <row r="357" spans="1:26">
      <c r="A357" s="131"/>
      <c r="B357" s="2" t="s">
        <v>504</v>
      </c>
      <c r="C357" s="131"/>
      <c r="D357" s="528"/>
      <c r="E357" s="528"/>
      <c r="F357" s="113">
        <f t="shared" si="81"/>
        <v>17275998.307692308</v>
      </c>
      <c r="G357" s="525">
        <f t="shared" si="82"/>
        <v>17275998.307692312</v>
      </c>
      <c r="H357" s="113">
        <f t="shared" si="84"/>
        <v>57285</v>
      </c>
      <c r="I357" s="524">
        <f>I356-H357</f>
        <v>-17253999.158461537</v>
      </c>
      <c r="J357" s="525">
        <f t="shared" si="83"/>
        <v>-16910289.158461537</v>
      </c>
      <c r="K357" s="526">
        <f t="shared" ref="K357:K369" si="89">F357+I357</f>
        <v>21999.149230770767</v>
      </c>
      <c r="L357" s="525">
        <f t="shared" si="85"/>
        <v>-7699.702230769768</v>
      </c>
      <c r="M357" s="525">
        <f t="shared" si="76"/>
        <v>-20049.75</v>
      </c>
      <c r="N357" s="529"/>
      <c r="O357" s="525">
        <f t="shared" si="88"/>
        <v>0</v>
      </c>
      <c r="P357" s="529">
        <f t="shared" si="80"/>
        <v>21999.149230770767</v>
      </c>
      <c r="Q357" s="528"/>
      <c r="R357" s="528"/>
      <c r="S357" s="528"/>
      <c r="T357" s="528"/>
      <c r="U357" s="529">
        <f t="shared" si="75"/>
        <v>-7699.6247564103433</v>
      </c>
      <c r="V357" s="525">
        <f t="shared" si="77"/>
        <v>-127998.1247564103</v>
      </c>
      <c r="W357" s="530">
        <f t="shared" si="78"/>
        <v>237711.02447436418</v>
      </c>
      <c r="X357" s="255">
        <f t="shared" si="86"/>
        <v>14299.524474360423</v>
      </c>
      <c r="Y357" s="136">
        <f t="shared" si="87"/>
        <v>365709.14923077449</v>
      </c>
      <c r="Z357" s="548"/>
    </row>
    <row r="358" spans="1:26">
      <c r="A358" s="131"/>
      <c r="B358" s="2" t="s">
        <v>505</v>
      </c>
      <c r="C358" s="131"/>
      <c r="D358" s="528"/>
      <c r="E358" s="528"/>
      <c r="F358" s="113">
        <f t="shared" si="81"/>
        <v>17275998.307692308</v>
      </c>
      <c r="G358" s="525">
        <f t="shared" si="82"/>
        <v>17275998.307692312</v>
      </c>
      <c r="H358" s="113">
        <f>G357+I357</f>
        <v>21999.149230774492</v>
      </c>
      <c r="I358" s="524">
        <f t="shared" si="79"/>
        <v>-17275998.307692312</v>
      </c>
      <c r="J358" s="525">
        <f t="shared" si="83"/>
        <v>-16966103.914679486</v>
      </c>
      <c r="K358" s="526">
        <f t="shared" si="89"/>
        <v>0</v>
      </c>
      <c r="L358" s="525">
        <f t="shared" si="85"/>
        <v>0</v>
      </c>
      <c r="M358" s="525">
        <f t="shared" si="76"/>
        <v>-7699.702230769768</v>
      </c>
      <c r="N358" s="529"/>
      <c r="O358" s="525">
        <f t="shared" si="88"/>
        <v>0</v>
      </c>
      <c r="P358" s="529">
        <f t="shared" si="80"/>
        <v>0</v>
      </c>
      <c r="Q358" s="528"/>
      <c r="R358" s="528"/>
      <c r="S358" s="528"/>
      <c r="T358" s="528"/>
      <c r="U358" s="529">
        <f t="shared" si="75"/>
        <v>7.7474359424741124E-2</v>
      </c>
      <c r="V358" s="525">
        <f t="shared" si="77"/>
        <v>-108462.96008012824</v>
      </c>
      <c r="W358" s="530">
        <f>G358+J358+V358</f>
        <v>201431.43293269718</v>
      </c>
      <c r="X358" s="255">
        <f t="shared" si="86"/>
        <v>7.7474355699450825E-2</v>
      </c>
      <c r="Y358" s="136">
        <f t="shared" si="87"/>
        <v>309894.3930128254</v>
      </c>
      <c r="Z358" s="548"/>
    </row>
    <row r="359" spans="1:26">
      <c r="A359" s="131"/>
      <c r="B359" s="2" t="s">
        <v>506</v>
      </c>
      <c r="C359" s="131"/>
      <c r="D359" s="528"/>
      <c r="E359" s="528"/>
      <c r="F359" s="113">
        <f t="shared" si="81"/>
        <v>17275998.307692308</v>
      </c>
      <c r="G359" s="525">
        <f t="shared" si="82"/>
        <v>17275998.307692312</v>
      </c>
      <c r="H359" s="113"/>
      <c r="I359" s="524">
        <f t="shared" si="79"/>
        <v>-17275998.307692312</v>
      </c>
      <c r="J359" s="525">
        <f t="shared" si="83"/>
        <v>-17018061.552115384</v>
      </c>
      <c r="K359" s="526">
        <f t="shared" si="89"/>
        <v>0</v>
      </c>
      <c r="L359" s="525">
        <f t="shared" si="85"/>
        <v>0</v>
      </c>
      <c r="M359" s="525">
        <f t="shared" si="76"/>
        <v>0</v>
      </c>
      <c r="N359" s="529"/>
      <c r="O359" s="525">
        <f t="shared" si="88"/>
        <v>0</v>
      </c>
      <c r="P359" s="529">
        <f t="shared" si="80"/>
        <v>0</v>
      </c>
      <c r="Q359" s="528"/>
      <c r="R359" s="528"/>
      <c r="S359" s="528"/>
      <c r="T359" s="528"/>
      <c r="U359" s="529">
        <f t="shared" ref="U359:U369" si="90">U358-M359</f>
        <v>7.7474359424741124E-2</v>
      </c>
      <c r="V359" s="525">
        <f t="shared" si="77"/>
        <v>-90277.786977564145</v>
      </c>
      <c r="W359" s="530">
        <f t="shared" si="78"/>
        <v>167658.96859936306</v>
      </c>
      <c r="X359" s="255">
        <f t="shared" si="86"/>
        <v>7.7474355699450825E-2</v>
      </c>
      <c r="Y359" s="136">
        <f t="shared" si="87"/>
        <v>257936.75557692721</v>
      </c>
      <c r="Z359" s="548"/>
    </row>
    <row r="360" spans="1:26">
      <c r="A360" s="131"/>
      <c r="B360" s="2" t="s">
        <v>507</v>
      </c>
      <c r="C360" s="131"/>
      <c r="D360" s="528"/>
      <c r="E360" s="528"/>
      <c r="F360" s="113">
        <f t="shared" si="81"/>
        <v>17275998.307692308</v>
      </c>
      <c r="G360" s="525">
        <f t="shared" si="82"/>
        <v>17275998.307692312</v>
      </c>
      <c r="H360" s="113"/>
      <c r="I360" s="524">
        <f t="shared" si="79"/>
        <v>-17275998.307692312</v>
      </c>
      <c r="J360" s="525">
        <f t="shared" si="83"/>
        <v>-17065245.439551283</v>
      </c>
      <c r="K360" s="526">
        <f t="shared" si="89"/>
        <v>0</v>
      </c>
      <c r="L360" s="525">
        <f t="shared" si="85"/>
        <v>0</v>
      </c>
      <c r="M360" s="525">
        <f t="shared" ref="M360:M369" si="91">-L360+L359</f>
        <v>0</v>
      </c>
      <c r="N360" s="529"/>
      <c r="O360" s="525">
        <f t="shared" si="88"/>
        <v>0</v>
      </c>
      <c r="P360" s="529">
        <f t="shared" si="80"/>
        <v>0</v>
      </c>
      <c r="Q360" s="528"/>
      <c r="R360" s="528"/>
      <c r="S360" s="528"/>
      <c r="T360" s="528"/>
      <c r="U360" s="529">
        <f t="shared" si="90"/>
        <v>7.7474359424741124E-2</v>
      </c>
      <c r="V360" s="525">
        <f t="shared" si="77"/>
        <v>-73763.426374999981</v>
      </c>
      <c r="W360" s="530">
        <f t="shared" si="78"/>
        <v>136989.44176602905</v>
      </c>
      <c r="X360" s="255">
        <f t="shared" si="86"/>
        <v>7.7474355699450825E-2</v>
      </c>
      <c r="Y360" s="136">
        <f t="shared" si="87"/>
        <v>210752.86814102903</v>
      </c>
      <c r="Z360" s="548"/>
    </row>
    <row r="361" spans="1:26">
      <c r="A361" s="131"/>
      <c r="B361" s="2" t="s">
        <v>508</v>
      </c>
      <c r="C361" s="131"/>
      <c r="D361" s="528"/>
      <c r="E361" s="528"/>
      <c r="F361" s="113">
        <f t="shared" si="81"/>
        <v>17275998.307692308</v>
      </c>
      <c r="G361" s="525">
        <f t="shared" si="82"/>
        <v>17275998.307692312</v>
      </c>
      <c r="H361" s="113"/>
      <c r="I361" s="524">
        <f t="shared" si="79"/>
        <v>-17275998.307692312</v>
      </c>
      <c r="J361" s="525">
        <f>(I349+I361+SUM(I350:I360)*2)/24</f>
        <v>-17107655.576987181</v>
      </c>
      <c r="K361" s="526">
        <f t="shared" si="89"/>
        <v>0</v>
      </c>
      <c r="L361" s="525">
        <f t="shared" si="85"/>
        <v>0</v>
      </c>
      <c r="M361" s="525">
        <f t="shared" si="91"/>
        <v>0</v>
      </c>
      <c r="N361" s="529"/>
      <c r="O361" s="525">
        <f t="shared" si="88"/>
        <v>0</v>
      </c>
      <c r="P361" s="529">
        <f t="shared" si="80"/>
        <v>0</v>
      </c>
      <c r="Q361" s="528"/>
      <c r="R361" s="528"/>
      <c r="S361" s="528"/>
      <c r="T361" s="528"/>
      <c r="U361" s="529">
        <f t="shared" si="90"/>
        <v>7.7474359424741124E-2</v>
      </c>
      <c r="V361" s="525">
        <f t="shared" si="77"/>
        <v>-58919.878272435832</v>
      </c>
      <c r="W361" s="530">
        <f t="shared" si="78"/>
        <v>109422.85243269501</v>
      </c>
      <c r="X361" s="255">
        <f t="shared" si="86"/>
        <v>7.7474355699450825E-2</v>
      </c>
      <c r="Y361" s="136">
        <f t="shared" si="87"/>
        <v>168342.73070513085</v>
      </c>
      <c r="Z361" s="548"/>
    </row>
    <row r="362" spans="1:26">
      <c r="A362" s="131"/>
      <c r="B362" s="2" t="s">
        <v>509</v>
      </c>
      <c r="C362" s="131"/>
      <c r="D362" s="528"/>
      <c r="E362" s="528"/>
      <c r="F362" s="113">
        <f t="shared" si="81"/>
        <v>17275998.307692308</v>
      </c>
      <c r="G362" s="525">
        <f t="shared" si="82"/>
        <v>17275998.307692312</v>
      </c>
      <c r="H362" s="113"/>
      <c r="I362" s="524">
        <f t="shared" si="79"/>
        <v>-17275998.307692312</v>
      </c>
      <c r="J362" s="525">
        <f t="shared" si="83"/>
        <v>-17145291.964423079</v>
      </c>
      <c r="K362" s="526">
        <f t="shared" si="89"/>
        <v>0</v>
      </c>
      <c r="L362" s="525">
        <f t="shared" si="85"/>
        <v>0</v>
      </c>
      <c r="M362" s="525">
        <f t="shared" si="91"/>
        <v>0</v>
      </c>
      <c r="N362" s="529"/>
      <c r="O362" s="525">
        <f t="shared" si="88"/>
        <v>0</v>
      </c>
      <c r="P362" s="529">
        <f t="shared" si="80"/>
        <v>0</v>
      </c>
      <c r="Q362" s="528"/>
      <c r="R362" s="528"/>
      <c r="S362" s="528"/>
      <c r="T362" s="528"/>
      <c r="U362" s="529">
        <f t="shared" si="90"/>
        <v>7.7474359424741124E-2</v>
      </c>
      <c r="V362" s="525">
        <f t="shared" si="77"/>
        <v>-45747.142669871682</v>
      </c>
      <c r="W362" s="530">
        <f t="shared" si="78"/>
        <v>84959.200599360978</v>
      </c>
      <c r="X362" s="255">
        <f t="shared" si="86"/>
        <v>7.7474355699450825E-2</v>
      </c>
      <c r="Y362" s="136">
        <f t="shared" si="87"/>
        <v>130706.34326923266</v>
      </c>
      <c r="Z362" s="548"/>
    </row>
    <row r="363" spans="1:26">
      <c r="A363" s="131"/>
      <c r="B363" s="2" t="s">
        <v>510</v>
      </c>
      <c r="C363" s="131"/>
      <c r="D363" s="528"/>
      <c r="E363" s="528"/>
      <c r="F363" s="113">
        <f t="shared" si="81"/>
        <v>17275998.307692308</v>
      </c>
      <c r="G363" s="525">
        <f t="shared" si="82"/>
        <v>17275998.307692312</v>
      </c>
      <c r="H363" s="113"/>
      <c r="I363" s="524">
        <f t="shared" si="79"/>
        <v>-17275998.307692312</v>
      </c>
      <c r="J363" s="525">
        <f t="shared" si="83"/>
        <v>-17178154.601858977</v>
      </c>
      <c r="K363" s="526">
        <f t="shared" si="89"/>
        <v>0</v>
      </c>
      <c r="L363" s="525">
        <f t="shared" si="85"/>
        <v>0</v>
      </c>
      <c r="M363" s="525">
        <f t="shared" si="91"/>
        <v>0</v>
      </c>
      <c r="N363" s="529"/>
      <c r="O363" s="525">
        <f t="shared" si="88"/>
        <v>0</v>
      </c>
      <c r="P363" s="529">
        <f t="shared" si="80"/>
        <v>0</v>
      </c>
      <c r="Q363" s="528"/>
      <c r="R363" s="528"/>
      <c r="S363" s="528"/>
      <c r="T363" s="528"/>
      <c r="U363" s="529">
        <f t="shared" si="90"/>
        <v>7.7474359424741124E-2</v>
      </c>
      <c r="V363" s="525">
        <f t="shared" si="77"/>
        <v>-34245.21956730754</v>
      </c>
      <c r="W363" s="530">
        <f t="shared" si="78"/>
        <v>63598.486266026935</v>
      </c>
      <c r="X363" s="255">
        <f t="shared" si="86"/>
        <v>7.7474355699450825E-2</v>
      </c>
      <c r="Y363" s="136">
        <f t="shared" si="87"/>
        <v>97843.705833334476</v>
      </c>
      <c r="Z363" s="548"/>
    </row>
    <row r="364" spans="1:26">
      <c r="A364" s="131"/>
      <c r="B364" s="2" t="s">
        <v>511</v>
      </c>
      <c r="C364" s="131"/>
      <c r="D364" s="528"/>
      <c r="E364" s="528"/>
      <c r="F364" s="113">
        <f t="shared" si="81"/>
        <v>17275998.307692308</v>
      </c>
      <c r="G364" s="525">
        <f t="shared" si="82"/>
        <v>17275998.307692312</v>
      </c>
      <c r="H364" s="113"/>
      <c r="I364" s="524">
        <f t="shared" si="79"/>
        <v>-17275998.307692312</v>
      </c>
      <c r="J364" s="525">
        <f t="shared" si="83"/>
        <v>-17206243.489294875</v>
      </c>
      <c r="K364" s="526">
        <f t="shared" si="89"/>
        <v>0</v>
      </c>
      <c r="L364" s="525">
        <f t="shared" si="85"/>
        <v>0</v>
      </c>
      <c r="M364" s="525">
        <f t="shared" si="91"/>
        <v>0</v>
      </c>
      <c r="N364" s="529"/>
      <c r="O364" s="525">
        <f t="shared" si="88"/>
        <v>0</v>
      </c>
      <c r="P364" s="529">
        <f t="shared" si="80"/>
        <v>0</v>
      </c>
      <c r="Q364" s="528"/>
      <c r="R364" s="528"/>
      <c r="S364" s="528"/>
      <c r="T364" s="528"/>
      <c r="U364" s="529">
        <f t="shared" si="90"/>
        <v>7.7474359424741124E-2</v>
      </c>
      <c r="V364" s="525">
        <f t="shared" si="77"/>
        <v>-24414.108964743384</v>
      </c>
      <c r="W364" s="530">
        <f t="shared" si="78"/>
        <v>45340.709432692907</v>
      </c>
      <c r="X364" s="255">
        <f t="shared" si="86"/>
        <v>7.7474355699450825E-2</v>
      </c>
      <c r="Y364" s="136">
        <f t="shared" si="87"/>
        <v>69754.818397436291</v>
      </c>
      <c r="Z364" s="548"/>
    </row>
    <row r="365" spans="1:26">
      <c r="A365" s="131"/>
      <c r="B365" s="2" t="s">
        <v>512</v>
      </c>
      <c r="C365" s="131"/>
      <c r="D365" s="528"/>
      <c r="E365" s="528"/>
      <c r="F365" s="113">
        <f t="shared" si="81"/>
        <v>17275998.307692308</v>
      </c>
      <c r="G365" s="525">
        <f t="shared" si="82"/>
        <v>17275998.307692312</v>
      </c>
      <c r="H365" s="113"/>
      <c r="I365" s="524">
        <f t="shared" si="79"/>
        <v>-17275998.307692312</v>
      </c>
      <c r="J365" s="525">
        <f t="shared" si="83"/>
        <v>-17229558.626730774</v>
      </c>
      <c r="K365" s="526">
        <f t="shared" si="89"/>
        <v>0</v>
      </c>
      <c r="L365" s="525">
        <f t="shared" si="85"/>
        <v>0</v>
      </c>
      <c r="M365" s="525">
        <f t="shared" si="91"/>
        <v>0</v>
      </c>
      <c r="N365" s="529"/>
      <c r="O365" s="525">
        <f t="shared" si="88"/>
        <v>0</v>
      </c>
      <c r="P365" s="529">
        <f t="shared" si="80"/>
        <v>0</v>
      </c>
      <c r="Q365" s="528"/>
      <c r="R365" s="528"/>
      <c r="S365" s="528"/>
      <c r="T365" s="528"/>
      <c r="U365" s="529">
        <f t="shared" si="90"/>
        <v>7.7474359424741124E-2</v>
      </c>
      <c r="V365" s="525">
        <f t="shared" si="77"/>
        <v>-16253.81086217924</v>
      </c>
      <c r="W365" s="530">
        <f t="shared" si="78"/>
        <v>30185.870099358865</v>
      </c>
      <c r="X365" s="255">
        <f t="shared" si="86"/>
        <v>7.7474355699450825E-2</v>
      </c>
      <c r="Y365" s="136">
        <f t="shared" si="87"/>
        <v>46439.680961538106</v>
      </c>
      <c r="Z365" s="548"/>
    </row>
    <row r="366" spans="1:26">
      <c r="A366" s="131"/>
      <c r="B366" s="2" t="s">
        <v>513</v>
      </c>
      <c r="C366" s="131"/>
      <c r="D366" s="528"/>
      <c r="E366" s="528"/>
      <c r="F366" s="113">
        <f t="shared" si="81"/>
        <v>17275998.307692308</v>
      </c>
      <c r="G366" s="525">
        <f t="shared" si="82"/>
        <v>17275998.307692312</v>
      </c>
      <c r="H366" s="113"/>
      <c r="I366" s="524">
        <f t="shared" si="79"/>
        <v>-17275998.307692312</v>
      </c>
      <c r="J366" s="525">
        <f t="shared" si="83"/>
        <v>-17248100.014166672</v>
      </c>
      <c r="K366" s="526">
        <f t="shared" si="89"/>
        <v>0</v>
      </c>
      <c r="L366" s="525">
        <f t="shared" si="85"/>
        <v>0</v>
      </c>
      <c r="M366" s="525">
        <f t="shared" si="91"/>
        <v>0</v>
      </c>
      <c r="N366" s="529"/>
      <c r="O366" s="525">
        <f t="shared" si="88"/>
        <v>0</v>
      </c>
      <c r="P366" s="529">
        <f t="shared" si="80"/>
        <v>0</v>
      </c>
      <c r="Q366" s="528"/>
      <c r="R366" s="528"/>
      <c r="S366" s="528"/>
      <c r="T366" s="528"/>
      <c r="U366" s="529">
        <f t="shared" si="90"/>
        <v>7.7474359424741124E-2</v>
      </c>
      <c r="V366" s="525">
        <f t="shared" si="77"/>
        <v>-9764.3252596150905</v>
      </c>
      <c r="W366" s="530">
        <f t="shared" si="78"/>
        <v>18133.968266024829</v>
      </c>
      <c r="X366" s="255">
        <f t="shared" si="86"/>
        <v>7.7474355699450825E-2</v>
      </c>
      <c r="Y366" s="136">
        <f t="shared" si="87"/>
        <v>27898.293525639921</v>
      </c>
      <c r="Z366" s="548"/>
    </row>
    <row r="367" spans="1:26">
      <c r="A367" s="131"/>
      <c r="B367" s="2" t="s">
        <v>514</v>
      </c>
      <c r="C367" s="131"/>
      <c r="D367" s="528"/>
      <c r="E367" s="528"/>
      <c r="F367" s="113">
        <f t="shared" si="81"/>
        <v>17275998.307692308</v>
      </c>
      <c r="G367" s="525">
        <f t="shared" si="82"/>
        <v>17275998.307692312</v>
      </c>
      <c r="H367" s="113"/>
      <c r="I367" s="524">
        <f t="shared" si="79"/>
        <v>-17275998.307692312</v>
      </c>
      <c r="J367" s="525">
        <f t="shared" si="83"/>
        <v>-17261867.65160257</v>
      </c>
      <c r="K367" s="526">
        <f t="shared" si="89"/>
        <v>0</v>
      </c>
      <c r="L367" s="525">
        <f t="shared" si="85"/>
        <v>0</v>
      </c>
      <c r="M367" s="525">
        <f t="shared" si="91"/>
        <v>0</v>
      </c>
      <c r="N367" s="529"/>
      <c r="O367" s="525">
        <f>(N355+N367+SUM(N356:N366)*2)/24</f>
        <v>0</v>
      </c>
      <c r="P367" s="529">
        <f t="shared" si="80"/>
        <v>0</v>
      </c>
      <c r="Q367" s="528"/>
      <c r="R367" s="528"/>
      <c r="S367" s="528"/>
      <c r="T367" s="528"/>
      <c r="U367" s="529">
        <f t="shared" si="90"/>
        <v>7.7474359424741124E-2</v>
      </c>
      <c r="V367" s="525">
        <f t="shared" si="77"/>
        <v>-4945.6521570509449</v>
      </c>
      <c r="W367" s="530">
        <f>G367+J367+V367</f>
        <v>9185.0039326907918</v>
      </c>
      <c r="X367" s="255">
        <f t="shared" si="86"/>
        <v>7.7474355699450825E-2</v>
      </c>
      <c r="Y367" s="136">
        <f t="shared" si="87"/>
        <v>14130.656089741737</v>
      </c>
      <c r="Z367" s="548"/>
    </row>
    <row r="368" spans="1:26">
      <c r="A368" s="131"/>
      <c r="B368" s="2" t="s">
        <v>515</v>
      </c>
      <c r="C368" s="131"/>
      <c r="D368" s="528"/>
      <c r="E368" s="528"/>
      <c r="F368" s="113">
        <f t="shared" si="81"/>
        <v>17275998.307692308</v>
      </c>
      <c r="G368" s="525">
        <f t="shared" si="82"/>
        <v>17275998.307692312</v>
      </c>
      <c r="H368" s="113"/>
      <c r="I368" s="524">
        <f t="shared" si="79"/>
        <v>-17275998.307692312</v>
      </c>
      <c r="J368" s="525">
        <f t="shared" si="83"/>
        <v>-17270861.539038468</v>
      </c>
      <c r="K368" s="526">
        <f t="shared" si="89"/>
        <v>0</v>
      </c>
      <c r="L368" s="525">
        <f t="shared" si="85"/>
        <v>0</v>
      </c>
      <c r="M368" s="525">
        <f t="shared" si="91"/>
        <v>0</v>
      </c>
      <c r="N368" s="529"/>
      <c r="O368" s="525">
        <f t="shared" si="88"/>
        <v>0</v>
      </c>
      <c r="P368" s="529">
        <f t="shared" si="80"/>
        <v>0</v>
      </c>
      <c r="Q368" s="528"/>
      <c r="R368" s="528"/>
      <c r="S368" s="528"/>
      <c r="T368" s="528"/>
      <c r="U368" s="529">
        <f t="shared" si="90"/>
        <v>7.7474359424741124E-2</v>
      </c>
      <c r="V368" s="525">
        <f t="shared" si="77"/>
        <v>-1797.7915544867963</v>
      </c>
      <c r="W368" s="530">
        <f>G368+J368+V368</f>
        <v>3338.9770993567554</v>
      </c>
      <c r="X368" s="255">
        <f t="shared" si="86"/>
        <v>7.7474355699450825E-2</v>
      </c>
      <c r="Y368" s="136">
        <f t="shared" si="87"/>
        <v>5136.7686538435519</v>
      </c>
      <c r="Z368" s="548"/>
    </row>
    <row r="369" spans="1:26">
      <c r="A369" s="131"/>
      <c r="B369" s="2" t="s">
        <v>516</v>
      </c>
      <c r="C369" s="131"/>
      <c r="D369" s="528"/>
      <c r="E369" s="528"/>
      <c r="F369" s="113">
        <f t="shared" si="81"/>
        <v>17275998.307692308</v>
      </c>
      <c r="G369" s="525">
        <f t="shared" si="82"/>
        <v>17275998.307692312</v>
      </c>
      <c r="H369" s="113"/>
      <c r="I369" s="524">
        <f t="shared" si="79"/>
        <v>-17275998.307692312</v>
      </c>
      <c r="J369" s="525">
        <f t="shared" si="83"/>
        <v>-17275081.676474366</v>
      </c>
      <c r="K369" s="526">
        <f t="shared" si="89"/>
        <v>0</v>
      </c>
      <c r="L369" s="525">
        <f t="shared" si="85"/>
        <v>0</v>
      </c>
      <c r="M369" s="525">
        <f t="shared" si="91"/>
        <v>0</v>
      </c>
      <c r="N369" s="529"/>
      <c r="O369" s="525">
        <f t="shared" si="88"/>
        <v>0</v>
      </c>
      <c r="P369" s="529">
        <f t="shared" si="80"/>
        <v>0</v>
      </c>
      <c r="Q369" s="528"/>
      <c r="R369" s="528"/>
      <c r="S369" s="528"/>
      <c r="T369" s="528"/>
      <c r="U369" s="529">
        <f t="shared" si="90"/>
        <v>7.7474359424741124E-2</v>
      </c>
      <c r="V369" s="525">
        <f t="shared" si="77"/>
        <v>-320.74345192264894</v>
      </c>
      <c r="W369" s="530">
        <f t="shared" si="78"/>
        <v>595.8877660227181</v>
      </c>
      <c r="X369" s="255">
        <f t="shared" si="86"/>
        <v>7.7474355699450825E-2</v>
      </c>
      <c r="Y369" s="136">
        <f t="shared" si="87"/>
        <v>916.6312179453671</v>
      </c>
      <c r="Z369" s="548"/>
    </row>
    <row r="370" spans="1:26">
      <c r="A370" s="131"/>
      <c r="B370" s="2" t="s">
        <v>726</v>
      </c>
      <c r="C370" s="131"/>
      <c r="D370" s="528"/>
      <c r="E370" s="528"/>
      <c r="F370" s="113">
        <f t="shared" si="81"/>
        <v>17275998.307692308</v>
      </c>
      <c r="G370" s="525">
        <f t="shared" ref="G370" si="92">(F358+F370+SUM(F359:F369)*2)/24</f>
        <v>17275998.307692312</v>
      </c>
      <c r="H370" s="113"/>
      <c r="I370" s="524">
        <f t="shared" ref="I370" si="93">I369-H370</f>
        <v>-17275998.307692312</v>
      </c>
      <c r="J370" s="525">
        <f t="shared" ref="J370" si="94">(I358+I370+SUM(I359:I369)*2)/24</f>
        <v>-17275998.307692315</v>
      </c>
      <c r="K370" s="526">
        <f t="shared" ref="K370" si="95">F370+I370</f>
        <v>0</v>
      </c>
      <c r="L370" s="525">
        <f t="shared" ref="L370" si="96">-K370*35%</f>
        <v>0</v>
      </c>
      <c r="M370" s="525">
        <f t="shared" ref="M370" si="97">-L370+L369</f>
        <v>0</v>
      </c>
      <c r="N370" s="529"/>
      <c r="O370" s="525">
        <f t="shared" ref="O370" si="98">(N358+N370+SUM(N359:N369)*2)/24</f>
        <v>0</v>
      </c>
      <c r="P370" s="529">
        <f t="shared" ref="P370" si="99">K370+O370</f>
        <v>0</v>
      </c>
      <c r="Q370" s="528"/>
      <c r="R370" s="528"/>
      <c r="S370" s="528"/>
      <c r="T370" s="528"/>
      <c r="U370" s="529">
        <f t="shared" ref="U370" si="100">U369-M370</f>
        <v>7.7474359424741124E-2</v>
      </c>
      <c r="V370" s="525">
        <f t="shared" ref="V370" si="101">(U358+U370+SUM(U359:U369)*2)/24</f>
        <v>7.7474359424741124E-2</v>
      </c>
      <c r="W370" s="530">
        <f>G370+J370+V370</f>
        <v>7.7474355699450825E-2</v>
      </c>
      <c r="X370" s="255">
        <f t="shared" si="86"/>
        <v>7.7474355699450825E-2</v>
      </c>
      <c r="Y370" s="136">
        <f t="shared" si="87"/>
        <v>0</v>
      </c>
      <c r="Z370" s="548"/>
    </row>
    <row r="371" spans="1:26">
      <c r="A371" s="130"/>
      <c r="B371" s="533"/>
      <c r="C371" s="130"/>
      <c r="D371" s="534"/>
      <c r="E371" s="534"/>
      <c r="F371" s="535"/>
      <c r="G371" s="536"/>
      <c r="H371" s="535"/>
      <c r="I371" s="537"/>
      <c r="J371" s="536"/>
      <c r="K371" s="538"/>
      <c r="L371" s="536"/>
      <c r="M371" s="536"/>
      <c r="N371" s="546"/>
      <c r="O371" s="536"/>
      <c r="P371" s="546"/>
      <c r="Q371" s="534"/>
      <c r="R371" s="534"/>
      <c r="S371" s="534"/>
      <c r="T371" s="534"/>
      <c r="U371" s="546"/>
      <c r="V371" s="536"/>
      <c r="W371" s="547"/>
      <c r="Z371" s="548"/>
    </row>
    <row r="372" spans="1:26">
      <c r="A372" s="131"/>
      <c r="B372" s="549"/>
      <c r="H372" s="104"/>
      <c r="I372" s="133"/>
      <c r="J372" s="70"/>
      <c r="L372" s="72"/>
      <c r="M372" s="72"/>
      <c r="U372" s="270"/>
      <c r="W372" s="136"/>
    </row>
    <row r="373" spans="1:26">
      <c r="A373" s="131"/>
      <c r="B373" s="549" t="s">
        <v>799</v>
      </c>
      <c r="H373" s="104">
        <f>SUM(H125:H136)</f>
        <v>687420</v>
      </c>
      <c r="I373" s="133"/>
      <c r="J373" s="70"/>
      <c r="L373" s="72"/>
      <c r="M373" s="72"/>
      <c r="U373" s="270"/>
      <c r="W373" s="136"/>
    </row>
    <row r="374" spans="1:26">
      <c r="A374" s="131"/>
      <c r="B374" s="549" t="s">
        <v>800</v>
      </c>
      <c r="H374" s="104">
        <f>SUM(H153:H164)</f>
        <v>687420</v>
      </c>
      <c r="I374" s="133"/>
      <c r="J374" s="70"/>
      <c r="L374" s="72"/>
      <c r="M374" s="72"/>
      <c r="U374" s="270"/>
      <c r="W374" s="136"/>
    </row>
    <row r="375" spans="1:26">
      <c r="A375" s="131"/>
      <c r="B375" s="549"/>
      <c r="H375" s="104"/>
      <c r="I375" s="133"/>
      <c r="J375" s="70"/>
      <c r="L375" s="72"/>
      <c r="M375" s="72"/>
      <c r="U375" s="270"/>
      <c r="W375" s="136"/>
    </row>
    <row r="376" spans="1:26">
      <c r="A376" s="131"/>
      <c r="B376" s="549"/>
      <c r="I376" s="133"/>
      <c r="J376" s="70"/>
      <c r="L376" s="72"/>
      <c r="M376" s="72"/>
      <c r="U376" s="270"/>
      <c r="W376" s="136"/>
    </row>
    <row r="377" spans="1:26">
      <c r="A377" s="131"/>
      <c r="B377" s="2"/>
      <c r="C377" s="131"/>
      <c r="D377" s="113"/>
      <c r="E377" s="113"/>
      <c r="F377" s="113"/>
      <c r="G377" s="525"/>
      <c r="H377" s="113"/>
      <c r="I377" s="524"/>
      <c r="J377" s="525"/>
      <c r="K377" s="526"/>
      <c r="L377" s="525"/>
      <c r="M377" s="525"/>
      <c r="N377" s="529"/>
      <c r="O377" s="525"/>
      <c r="P377" s="529"/>
      <c r="Q377" s="528"/>
      <c r="R377" s="528"/>
      <c r="S377" s="528"/>
      <c r="T377" s="528"/>
      <c r="U377" s="529"/>
      <c r="V377" s="525"/>
      <c r="W377" s="530"/>
    </row>
    <row r="378" spans="1:26">
      <c r="A378" s="131"/>
      <c r="B378" s="549"/>
      <c r="F378" s="647"/>
      <c r="G378" s="647"/>
      <c r="H378" s="647"/>
      <c r="I378" s="647"/>
      <c r="J378" s="647"/>
      <c r="K378" s="647"/>
      <c r="L378" s="647"/>
      <c r="M378" s="647"/>
      <c r="N378" s="647"/>
      <c r="O378" s="647"/>
      <c r="P378" s="647"/>
      <c r="Q378" s="647"/>
      <c r="R378" s="647"/>
      <c r="S378" s="647"/>
      <c r="T378" s="647"/>
      <c r="U378" s="647"/>
      <c r="V378" s="647"/>
      <c r="W378" s="647"/>
    </row>
    <row r="379" spans="1:26">
      <c r="A379" s="131"/>
      <c r="B379" s="549"/>
      <c r="I379" s="133"/>
      <c r="J379" s="70"/>
      <c r="L379" s="72"/>
      <c r="M379" s="72"/>
      <c r="U379" s="270"/>
      <c r="W379" s="136"/>
    </row>
    <row r="380" spans="1:26">
      <c r="A380" s="131"/>
      <c r="B380" s="549"/>
      <c r="I380" s="133"/>
      <c r="J380" s="70"/>
      <c r="L380" s="72"/>
      <c r="M380" s="72"/>
      <c r="U380" s="270"/>
      <c r="W380" s="136"/>
    </row>
    <row r="381" spans="1:26">
      <c r="I381" s="133"/>
      <c r="J381" s="70"/>
      <c r="L381" s="72"/>
      <c r="M381" s="72"/>
      <c r="U381" s="270"/>
      <c r="W381" s="136"/>
    </row>
    <row r="382" spans="1:26">
      <c r="I382" s="133"/>
      <c r="J382" s="70"/>
      <c r="L382" s="72"/>
      <c r="M382" s="72"/>
      <c r="U382" s="270"/>
      <c r="W382" s="136"/>
    </row>
    <row r="383" spans="1:26">
      <c r="I383" s="133"/>
      <c r="J383" s="70"/>
      <c r="L383" s="72"/>
      <c r="M383" s="72"/>
      <c r="U383" s="270"/>
      <c r="W383" s="136"/>
    </row>
    <row r="384" spans="1:26">
      <c r="I384" s="133"/>
      <c r="J384" s="70"/>
      <c r="L384" s="72"/>
      <c r="M384" s="72"/>
      <c r="U384" s="270"/>
      <c r="W384" s="136"/>
    </row>
    <row r="385" spans="9:23">
      <c r="I385" s="133"/>
      <c r="J385" s="70"/>
      <c r="L385" s="72"/>
      <c r="M385" s="72"/>
      <c r="U385" s="270"/>
      <c r="W385" s="136"/>
    </row>
    <row r="386" spans="9:23">
      <c r="I386" s="133"/>
      <c r="J386" s="70"/>
      <c r="L386" s="72"/>
      <c r="M386" s="72"/>
      <c r="U386" s="270"/>
      <c r="W386" s="136"/>
    </row>
    <row r="387" spans="9:23">
      <c r="I387" s="133"/>
      <c r="J387" s="70"/>
      <c r="L387" s="72"/>
      <c r="M387" s="72"/>
      <c r="U387" s="270"/>
      <c r="W387" s="136"/>
    </row>
    <row r="388" spans="9:23">
      <c r="I388" s="133"/>
      <c r="J388" s="70"/>
      <c r="L388" s="72"/>
      <c r="M388" s="72"/>
      <c r="U388" s="270"/>
      <c r="W388" s="136"/>
    </row>
    <row r="389" spans="9:23">
      <c r="I389" s="133"/>
      <c r="J389" s="70"/>
      <c r="L389" s="72"/>
      <c r="M389" s="72"/>
      <c r="U389" s="270"/>
      <c r="W389" s="136"/>
    </row>
    <row r="390" spans="9:23">
      <c r="I390" s="133"/>
      <c r="J390" s="70"/>
      <c r="L390" s="72"/>
      <c r="M390" s="72"/>
      <c r="U390" s="270"/>
      <c r="W390" s="136"/>
    </row>
    <row r="391" spans="9:23">
      <c r="I391" s="133"/>
      <c r="J391" s="70"/>
      <c r="L391" s="72"/>
      <c r="M391" s="72"/>
      <c r="U391" s="270"/>
      <c r="W391" s="136"/>
    </row>
    <row r="392" spans="9:23">
      <c r="I392" s="133"/>
      <c r="J392" s="70"/>
      <c r="L392" s="72"/>
      <c r="M392" s="72"/>
      <c r="U392" s="270"/>
      <c r="W392" s="136"/>
    </row>
    <row r="393" spans="9:23">
      <c r="I393" s="133"/>
      <c r="J393" s="70"/>
      <c r="L393" s="72"/>
      <c r="M393" s="72"/>
      <c r="U393" s="270"/>
      <c r="W393" s="136"/>
    </row>
    <row r="394" spans="9:23">
      <c r="I394" s="133"/>
      <c r="J394" s="70"/>
      <c r="L394" s="72"/>
      <c r="M394" s="72"/>
      <c r="U394" s="270"/>
      <c r="W394" s="136"/>
    </row>
    <row r="395" spans="9:23">
      <c r="I395" s="133"/>
      <c r="J395" s="70"/>
      <c r="L395" s="72"/>
      <c r="M395" s="72"/>
      <c r="U395" s="270"/>
      <c r="W395" s="136"/>
    </row>
    <row r="396" spans="9:23">
      <c r="I396" s="133"/>
      <c r="J396" s="70"/>
      <c r="L396" s="72"/>
      <c r="M396" s="72"/>
      <c r="U396" s="270"/>
    </row>
    <row r="397" spans="9:23">
      <c r="I397" s="133"/>
      <c r="J397" s="70"/>
      <c r="L397" s="72"/>
      <c r="M397" s="72"/>
      <c r="U397" s="270"/>
    </row>
    <row r="398" spans="9:23">
      <c r="I398" s="133"/>
      <c r="J398" s="70"/>
      <c r="L398" s="72"/>
      <c r="M398" s="72"/>
      <c r="U398" s="270"/>
    </row>
    <row r="399" spans="9:23">
      <c r="I399" s="133"/>
      <c r="J399" s="70"/>
      <c r="L399" s="72"/>
      <c r="M399" s="72"/>
      <c r="U399" s="270"/>
    </row>
    <row r="400" spans="9:23">
      <c r="I400" s="133"/>
      <c r="J400" s="70"/>
      <c r="L400" s="72"/>
      <c r="M400" s="72"/>
      <c r="U400" s="270"/>
    </row>
    <row r="401" spans="9:21">
      <c r="I401" s="133"/>
      <c r="J401" s="133"/>
      <c r="L401" s="72"/>
      <c r="M401" s="72"/>
      <c r="U401" s="270"/>
    </row>
    <row r="402" spans="9:21">
      <c r="I402" s="133"/>
      <c r="J402" s="133"/>
      <c r="L402" s="72"/>
      <c r="M402" s="72"/>
      <c r="U402" s="270"/>
    </row>
    <row r="403" spans="9:21">
      <c r="I403" s="133"/>
      <c r="J403" s="133"/>
      <c r="U403" s="270"/>
    </row>
    <row r="404" spans="9:21">
      <c r="I404" s="133"/>
      <c r="J404" s="133"/>
      <c r="U404" s="270"/>
    </row>
    <row r="405" spans="9:21">
      <c r="I405" s="133"/>
      <c r="J405" s="133"/>
      <c r="U405" s="270"/>
    </row>
    <row r="406" spans="9:21">
      <c r="I406" s="133"/>
      <c r="J406" s="133"/>
      <c r="U406" s="270"/>
    </row>
    <row r="407" spans="9:21">
      <c r="I407" s="133"/>
      <c r="J407" s="133"/>
      <c r="U407" s="270"/>
    </row>
    <row r="408" spans="9:21">
      <c r="I408" s="133"/>
      <c r="J408" s="133"/>
      <c r="U408" s="270"/>
    </row>
    <row r="409" spans="9:21">
      <c r="I409" s="133"/>
      <c r="J409" s="133"/>
      <c r="U409" s="270"/>
    </row>
    <row r="410" spans="9:21">
      <c r="I410" s="133"/>
      <c r="J410" s="133"/>
      <c r="U410" s="270"/>
    </row>
    <row r="411" spans="9:21">
      <c r="I411" s="133"/>
      <c r="J411" s="133"/>
      <c r="U411" s="270"/>
    </row>
    <row r="412" spans="9:21">
      <c r="I412" s="133"/>
      <c r="J412" s="133"/>
      <c r="U412" s="270"/>
    </row>
    <row r="413" spans="9:21">
      <c r="I413" s="133"/>
      <c r="J413" s="133"/>
      <c r="U413" s="270"/>
    </row>
    <row r="414" spans="9:21">
      <c r="I414" s="133"/>
      <c r="J414" s="133"/>
      <c r="U414" s="270"/>
    </row>
    <row r="415" spans="9:21">
      <c r="I415" s="133"/>
      <c r="J415" s="133"/>
      <c r="U415" s="270"/>
    </row>
    <row r="416" spans="9:21">
      <c r="I416" s="133"/>
      <c r="J416" s="133"/>
      <c r="U416" s="270"/>
    </row>
    <row r="417" spans="9:21">
      <c r="I417" s="133"/>
      <c r="J417" s="133"/>
      <c r="U417" s="270"/>
    </row>
    <row r="418" spans="9:21">
      <c r="I418" s="133"/>
      <c r="J418" s="133"/>
      <c r="U418" s="270"/>
    </row>
    <row r="419" spans="9:21">
      <c r="I419" s="133"/>
      <c r="J419" s="133"/>
      <c r="U419" s="270"/>
    </row>
    <row r="420" spans="9:21">
      <c r="I420" s="133"/>
      <c r="J420" s="133"/>
      <c r="U420" s="270"/>
    </row>
    <row r="421" spans="9:21">
      <c r="I421" s="133"/>
      <c r="J421" s="133"/>
      <c r="U421" s="270"/>
    </row>
    <row r="422" spans="9:21">
      <c r="I422" s="133"/>
      <c r="J422" s="133"/>
      <c r="U422" s="270"/>
    </row>
    <row r="423" spans="9:21">
      <c r="I423" s="133"/>
      <c r="J423" s="133"/>
      <c r="U423" s="270"/>
    </row>
    <row r="424" spans="9:21">
      <c r="I424" s="133"/>
      <c r="J424" s="133"/>
      <c r="U424" s="270"/>
    </row>
    <row r="425" spans="9:21">
      <c r="I425" s="133"/>
      <c r="J425" s="133"/>
      <c r="U425" s="270"/>
    </row>
    <row r="426" spans="9:21">
      <c r="I426" s="133"/>
      <c r="J426" s="133"/>
      <c r="U426" s="270"/>
    </row>
    <row r="427" spans="9:21">
      <c r="I427" s="133"/>
      <c r="J427" s="133"/>
      <c r="U427" s="270"/>
    </row>
    <row r="428" spans="9:21">
      <c r="I428" s="133"/>
      <c r="J428" s="133"/>
      <c r="U428" s="270"/>
    </row>
    <row r="429" spans="9:21">
      <c r="I429" s="133"/>
      <c r="J429" s="133"/>
      <c r="U429" s="270"/>
    </row>
    <row r="430" spans="9:21">
      <c r="I430" s="133"/>
      <c r="J430" s="133"/>
      <c r="U430" s="270"/>
    </row>
    <row r="431" spans="9:21">
      <c r="I431" s="133"/>
      <c r="J431" s="133"/>
      <c r="U431" s="270"/>
    </row>
    <row r="432" spans="9:21">
      <c r="I432" s="133"/>
      <c r="J432" s="133"/>
      <c r="U432" s="270"/>
    </row>
    <row r="433" spans="9:21">
      <c r="I433" s="133"/>
      <c r="J433" s="133"/>
      <c r="U433" s="270"/>
    </row>
    <row r="434" spans="9:21">
      <c r="I434" s="133"/>
      <c r="J434" s="133"/>
      <c r="U434" s="270"/>
    </row>
    <row r="435" spans="9:21">
      <c r="I435" s="133"/>
      <c r="J435" s="133"/>
      <c r="U435" s="270"/>
    </row>
    <row r="436" spans="9:21">
      <c r="I436" s="133"/>
      <c r="J436" s="133"/>
      <c r="U436" s="270"/>
    </row>
    <row r="437" spans="9:21">
      <c r="I437" s="133"/>
      <c r="J437" s="133"/>
      <c r="U437" s="270"/>
    </row>
    <row r="438" spans="9:21">
      <c r="I438" s="133"/>
      <c r="J438" s="133"/>
      <c r="U438" s="270"/>
    </row>
    <row r="439" spans="9:21">
      <c r="I439" s="133"/>
      <c r="J439" s="133"/>
      <c r="U439" s="270"/>
    </row>
    <row r="440" spans="9:21">
      <c r="I440" s="133"/>
      <c r="J440" s="133"/>
      <c r="U440" s="270"/>
    </row>
    <row r="441" spans="9:21">
      <c r="U441" s="270"/>
    </row>
    <row r="442" spans="9:21">
      <c r="U442" s="270"/>
    </row>
    <row r="443" spans="9:21">
      <c r="U443" s="270"/>
    </row>
    <row r="444" spans="9:21">
      <c r="U444" s="270"/>
    </row>
    <row r="445" spans="9:21">
      <c r="U445" s="270"/>
    </row>
    <row r="446" spans="9:21">
      <c r="U446" s="270"/>
    </row>
    <row r="447" spans="9:21">
      <c r="U447" s="270"/>
    </row>
  </sheetData>
  <pageMargins left="0.45" right="0.45" top="0.75" bottom="0.75" header="0.3" footer="0.3"/>
  <pageSetup scale="1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168"/>
  <sheetViews>
    <sheetView zoomScaleNormal="100" workbookViewId="0">
      <pane xSplit="3" ySplit="9" topLeftCell="K10" activePane="bottomRight" state="frozen"/>
      <selection activeCell="E87" sqref="E87:E98"/>
      <selection pane="topRight" activeCell="E87" sqref="E87:E98"/>
      <selection pane="bottomLeft" activeCell="E87" sqref="E87:E98"/>
      <selection pane="bottomRight" activeCell="M76" sqref="M76"/>
    </sheetView>
  </sheetViews>
  <sheetFormatPr defaultColWidth="9.1640625" defaultRowHeight="10.5" outlineLevelRow="1"/>
  <cols>
    <col min="1" max="1" width="3.6640625" style="344" customWidth="1"/>
    <col min="2" max="2" width="11.83203125" style="344" bestFit="1" customWidth="1"/>
    <col min="3" max="3" width="9.6640625" style="344" customWidth="1"/>
    <col min="4" max="4" width="14.6640625" style="344" bestFit="1" customWidth="1"/>
    <col min="5" max="6" width="16.1640625" style="344" bestFit="1" customWidth="1"/>
    <col min="7" max="7" width="22.33203125" style="344" bestFit="1" customWidth="1"/>
    <col min="8" max="9" width="18.33203125" style="344" bestFit="1" customWidth="1"/>
    <col min="10" max="10" width="17.6640625" style="344" bestFit="1" customWidth="1"/>
    <col min="11" max="11" width="22.6640625" style="344" bestFit="1" customWidth="1"/>
    <col min="12" max="12" width="19.5" style="344" bestFit="1" customWidth="1"/>
    <col min="13" max="14" width="17.5" style="344" bestFit="1" customWidth="1"/>
    <col min="15" max="15" width="17" style="344" bestFit="1" customWidth="1"/>
    <col min="16" max="16" width="10" customWidth="1"/>
  </cols>
  <sheetData>
    <row r="1" spans="1:15" ht="12.75">
      <c r="A1" s="298" t="s">
        <v>8</v>
      </c>
      <c r="C1" s="297"/>
      <c r="D1" s="297"/>
      <c r="E1" s="297"/>
      <c r="F1" s="297"/>
      <c r="G1" s="297"/>
      <c r="H1" s="299"/>
      <c r="I1" s="299"/>
      <c r="J1" s="299"/>
      <c r="K1" s="300"/>
      <c r="L1" s="300"/>
      <c r="M1" s="300"/>
      <c r="N1" s="300"/>
    </row>
    <row r="2" spans="1:15" ht="12.75">
      <c r="A2" s="672" t="s">
        <v>785</v>
      </c>
      <c r="C2" s="297"/>
      <c r="D2" s="297"/>
      <c r="E2" s="297"/>
      <c r="F2" s="297"/>
      <c r="G2" s="297"/>
      <c r="H2" s="299"/>
      <c r="I2" s="299"/>
      <c r="J2" s="299"/>
      <c r="K2" s="300"/>
      <c r="L2" s="300"/>
      <c r="M2" s="300"/>
      <c r="N2" s="300"/>
    </row>
    <row r="3" spans="1:15" ht="12.75">
      <c r="A3" s="298" t="s">
        <v>719</v>
      </c>
      <c r="C3" s="297"/>
      <c r="D3" s="297"/>
      <c r="E3" s="297"/>
      <c r="F3" s="297"/>
      <c r="G3" s="297"/>
      <c r="H3" s="299"/>
      <c r="I3" s="299"/>
      <c r="J3" s="299"/>
      <c r="K3" s="300"/>
      <c r="L3" s="300"/>
      <c r="M3" s="300"/>
      <c r="N3" s="300"/>
    </row>
    <row r="4" spans="1:15" ht="12.75">
      <c r="A4" s="297"/>
      <c r="B4" s="297"/>
      <c r="C4" s="297"/>
      <c r="D4" s="673"/>
      <c r="E4" s="674"/>
      <c r="F4" s="675"/>
      <c r="G4" s="676" t="s">
        <v>636</v>
      </c>
      <c r="H4" s="302"/>
      <c r="I4" s="302"/>
      <c r="J4" s="302"/>
      <c r="K4" s="303"/>
      <c r="L4" s="735"/>
      <c r="M4" s="303"/>
      <c r="N4" s="303"/>
    </row>
    <row r="5" spans="1:15" ht="12.75">
      <c r="A5" s="300"/>
      <c r="B5" s="300"/>
      <c r="C5" s="300"/>
      <c r="D5" s="677" t="s">
        <v>639</v>
      </c>
      <c r="E5" s="678"/>
      <c r="F5" s="679"/>
      <c r="G5" s="680" t="s">
        <v>635</v>
      </c>
      <c r="H5" s="306"/>
      <c r="I5" s="306"/>
      <c r="J5" s="306"/>
      <c r="K5" s="682" t="s">
        <v>704</v>
      </c>
      <c r="L5" s="306"/>
      <c r="M5" s="306"/>
      <c r="N5" s="306"/>
    </row>
    <row r="6" spans="1:15" ht="15">
      <c r="A6" s="421"/>
      <c r="B6" s="422"/>
      <c r="C6" s="422"/>
      <c r="D6" s="423" t="s">
        <v>79</v>
      </c>
      <c r="E6" s="423" t="s">
        <v>2</v>
      </c>
      <c r="F6" s="424" t="s">
        <v>101</v>
      </c>
      <c r="G6" s="423" t="s">
        <v>12</v>
      </c>
      <c r="H6" s="423" t="s">
        <v>13</v>
      </c>
      <c r="I6" s="423" t="s">
        <v>102</v>
      </c>
      <c r="J6" s="423" t="s">
        <v>11</v>
      </c>
      <c r="K6" s="423" t="s">
        <v>12</v>
      </c>
      <c r="L6" s="423" t="s">
        <v>13</v>
      </c>
      <c r="M6" s="424" t="s">
        <v>103</v>
      </c>
      <c r="N6" s="425" t="s">
        <v>104</v>
      </c>
      <c r="O6" s="426" t="s">
        <v>2</v>
      </c>
    </row>
    <row r="7" spans="1:15" ht="15">
      <c r="A7" s="427"/>
      <c r="B7" s="428" t="s">
        <v>626</v>
      </c>
      <c r="C7" s="429"/>
      <c r="D7" s="428" t="s">
        <v>20</v>
      </c>
      <c r="E7" s="428"/>
      <c r="F7" s="430" t="s">
        <v>2</v>
      </c>
      <c r="G7" s="428" t="s">
        <v>3</v>
      </c>
      <c r="H7" s="428" t="s">
        <v>3</v>
      </c>
      <c r="I7" s="428" t="s">
        <v>620</v>
      </c>
      <c r="J7" s="428" t="s">
        <v>9</v>
      </c>
      <c r="K7" s="428" t="s">
        <v>17</v>
      </c>
      <c r="L7" s="430" t="s">
        <v>17</v>
      </c>
      <c r="M7" s="428" t="s">
        <v>11</v>
      </c>
      <c r="N7" s="431" t="s">
        <v>103</v>
      </c>
      <c r="O7" s="432" t="s">
        <v>29</v>
      </c>
    </row>
    <row r="8" spans="1:15" ht="15">
      <c r="A8" s="427"/>
      <c r="B8" s="428" t="s">
        <v>6</v>
      </c>
      <c r="C8" s="429"/>
      <c r="D8" s="428" t="s">
        <v>105</v>
      </c>
      <c r="E8" s="428" t="s">
        <v>23</v>
      </c>
      <c r="F8" s="430" t="s">
        <v>24</v>
      </c>
      <c r="G8" s="428" t="s">
        <v>106</v>
      </c>
      <c r="H8" s="430" t="s">
        <v>627</v>
      </c>
      <c r="I8" s="428" t="s">
        <v>25</v>
      </c>
      <c r="J8" s="428" t="s">
        <v>108</v>
      </c>
      <c r="K8" s="428" t="s">
        <v>628</v>
      </c>
      <c r="L8" s="430" t="s">
        <v>629</v>
      </c>
      <c r="M8" s="428" t="s">
        <v>80</v>
      </c>
      <c r="N8" s="431" t="s">
        <v>111</v>
      </c>
      <c r="O8" s="432" t="s">
        <v>27</v>
      </c>
    </row>
    <row r="9" spans="1:15" ht="15">
      <c r="A9" s="433"/>
      <c r="B9" s="434"/>
      <c r="C9" s="434"/>
      <c r="D9" s="435"/>
      <c r="E9" s="435"/>
      <c r="F9" s="436"/>
      <c r="G9" s="681" t="s">
        <v>783</v>
      </c>
      <c r="H9" s="436" t="s">
        <v>630</v>
      </c>
      <c r="I9" s="435"/>
      <c r="J9" s="435"/>
      <c r="K9" s="435" t="s">
        <v>631</v>
      </c>
      <c r="L9" s="437" t="s">
        <v>632</v>
      </c>
      <c r="M9" s="435"/>
      <c r="N9" s="438"/>
      <c r="O9" s="439"/>
    </row>
    <row r="10" spans="1:15" ht="15" hidden="1" outlineLevel="1">
      <c r="A10" s="427"/>
      <c r="B10" s="440"/>
      <c r="C10" s="441"/>
      <c r="D10" s="428"/>
      <c r="E10" s="442"/>
      <c r="F10" s="443"/>
      <c r="G10" s="428"/>
      <c r="H10" s="428"/>
      <c r="I10" s="442"/>
      <c r="J10" s="442"/>
      <c r="K10" s="444"/>
      <c r="L10" s="444"/>
      <c r="M10" s="444"/>
      <c r="N10" s="445"/>
      <c r="O10" s="446"/>
    </row>
    <row r="11" spans="1:15" ht="15" hidden="1" outlineLevel="1">
      <c r="A11" s="427"/>
      <c r="B11" s="447" t="s">
        <v>5</v>
      </c>
      <c r="C11" s="447"/>
      <c r="D11" s="448"/>
      <c r="E11" s="442">
        <f>E10+D11</f>
        <v>0</v>
      </c>
      <c r="F11" s="450"/>
      <c r="G11" s="442"/>
      <c r="H11" s="442"/>
      <c r="I11" s="442"/>
      <c r="J11" s="442"/>
      <c r="K11" s="450">
        <f>(-D11*0.35)+(G11*0.35)</f>
        <v>0</v>
      </c>
      <c r="L11" s="450">
        <f t="shared" ref="L11:L74" si="0">L10+K11</f>
        <v>0</v>
      </c>
      <c r="M11" s="450"/>
      <c r="N11" s="445"/>
      <c r="O11" s="451">
        <f>+E11+H11+L11</f>
        <v>0</v>
      </c>
    </row>
    <row r="12" spans="1:15" ht="15" hidden="1" outlineLevel="1">
      <c r="A12" s="427"/>
      <c r="B12" s="447">
        <v>41394</v>
      </c>
      <c r="C12" s="447"/>
      <c r="D12" s="417">
        <v>771004.6448886086</v>
      </c>
      <c r="E12" s="417">
        <f>E11+D12</f>
        <v>771004.6448886086</v>
      </c>
      <c r="F12" s="450">
        <f>($E$12+E12+SUM($E11:E$13)*2)/24</f>
        <v>331469.5190470994</v>
      </c>
      <c r="G12" s="442"/>
      <c r="H12" s="442"/>
      <c r="I12" s="442"/>
      <c r="J12" s="450">
        <f>($E$12+I12+SUM($E11:I$13)*2)/24</f>
        <v>360369.17692729668</v>
      </c>
      <c r="K12" s="450">
        <f t="shared" ref="K12:K67" si="1">(-D12*0.35)+(G12*0.35)</f>
        <v>-269851.62571101298</v>
      </c>
      <c r="L12" s="450">
        <f t="shared" si="0"/>
        <v>-269851.62571101298</v>
      </c>
      <c r="M12" s="450">
        <f>($E$12+L12+SUM($E11:L$13)*2)/24</f>
        <v>244621.13177200439</v>
      </c>
      <c r="N12" s="452">
        <f t="shared" ref="N12:N18" si="2">M12+J12</f>
        <v>604990.30869930109</v>
      </c>
      <c r="O12" s="451">
        <f>+E12+H12+L12</f>
        <v>501153.01917759562</v>
      </c>
    </row>
    <row r="13" spans="1:15" ht="15" hidden="1" outlineLevel="1">
      <c r="A13" s="427"/>
      <c r="B13" s="447">
        <v>41425</v>
      </c>
      <c r="C13" s="447"/>
      <c r="D13" s="417">
        <v>1664620.2938993666</v>
      </c>
      <c r="E13" s="417">
        <f>E12+D13</f>
        <v>2435624.9387879753</v>
      </c>
      <c r="F13" s="450">
        <f>($E$12+E13+SUM($E12:E$13)*2)/24</f>
        <v>400828.69795957301</v>
      </c>
      <c r="G13" s="442"/>
      <c r="H13" s="442"/>
      <c r="I13" s="442"/>
      <c r="J13" s="450">
        <f>($E$12+I13+SUM($E12:I$13)*2)/24</f>
        <v>360369.17692729668</v>
      </c>
      <c r="K13" s="450">
        <f t="shared" si="1"/>
        <v>-582617.10286477825</v>
      </c>
      <c r="L13" s="450">
        <f t="shared" si="0"/>
        <v>-852468.72857579123</v>
      </c>
      <c r="M13" s="450">
        <f>($E$12+L13+SUM($E12:L$13)*2)/24</f>
        <v>220345.41915263861</v>
      </c>
      <c r="N13" s="452">
        <f t="shared" si="2"/>
        <v>580714.59607993532</v>
      </c>
      <c r="O13" s="451">
        <f t="shared" ref="O13:O76" si="3">+E13+H13+L13</f>
        <v>1583156.2102121841</v>
      </c>
    </row>
    <row r="14" spans="1:15" ht="15" hidden="1" outlineLevel="1">
      <c r="A14" s="427"/>
      <c r="B14" s="447">
        <v>41455</v>
      </c>
      <c r="C14" s="447"/>
      <c r="D14" s="417">
        <v>1721683.5112911761</v>
      </c>
      <c r="E14" s="417">
        <f t="shared" ref="E14:E77" si="4">E13+D14</f>
        <v>4157308.4500791514</v>
      </c>
      <c r="F14" s="450">
        <f>($E$12+E14+SUM($E$13:E13)*2)/24</f>
        <v>408315.12385598797</v>
      </c>
      <c r="G14" s="417"/>
      <c r="H14" s="450"/>
      <c r="I14" s="442"/>
      <c r="J14" s="450">
        <f>($E$12+I14+SUM($E$13:I13)*2)/24</f>
        <v>268496.32993265439</v>
      </c>
      <c r="K14" s="450">
        <f t="shared" si="1"/>
        <v>-602589.22895191156</v>
      </c>
      <c r="L14" s="450">
        <f t="shared" si="0"/>
        <v>-1455057.9575277027</v>
      </c>
      <c r="M14" s="450">
        <f>($E$12+L14+SUM($E$13:L13)*2)/24</f>
        <v>118309.19382622738</v>
      </c>
      <c r="N14" s="452">
        <f t="shared" si="2"/>
        <v>386805.52375888178</v>
      </c>
      <c r="O14" s="451">
        <f t="shared" si="3"/>
        <v>2702250.4925514488</v>
      </c>
    </row>
    <row r="15" spans="1:15" ht="15" hidden="1" outlineLevel="1">
      <c r="A15" s="427"/>
      <c r="B15" s="447">
        <v>41486</v>
      </c>
      <c r="C15" s="453"/>
      <c r="D15" s="417">
        <v>822367.28247177368</v>
      </c>
      <c r="E15" s="417">
        <f t="shared" si="4"/>
        <v>4979675.7325509246</v>
      </c>
      <c r="F15" s="450">
        <f>($E$12+E15+SUM($E$13:E14)*2)/24</f>
        <v>789022.79813224112</v>
      </c>
      <c r="G15" s="417"/>
      <c r="H15" s="450"/>
      <c r="I15" s="442"/>
      <c r="J15" s="450">
        <f>($E$12+I15+SUM($E$13:I14)*2)/24</f>
        <v>648964.96109391598</v>
      </c>
      <c r="K15" s="450">
        <f t="shared" si="1"/>
        <v>-287828.54886512074</v>
      </c>
      <c r="L15" s="450">
        <f t="shared" si="0"/>
        <v>-1742886.5063928235</v>
      </c>
      <c r="M15" s="450">
        <f>($E$12+L15+SUM($E$13:L14)*2)/24</f>
        <v>337689.06407252897</v>
      </c>
      <c r="N15" s="452">
        <f t="shared" si="2"/>
        <v>986654.02516644495</v>
      </c>
      <c r="O15" s="451">
        <f t="shared" si="3"/>
        <v>3236789.2261581011</v>
      </c>
    </row>
    <row r="16" spans="1:15" ht="15" hidden="1" outlineLevel="1">
      <c r="A16" s="427"/>
      <c r="B16" s="447">
        <v>41517</v>
      </c>
      <c r="C16" s="447"/>
      <c r="D16" s="417">
        <v>1668009.3420199833</v>
      </c>
      <c r="E16" s="417">
        <f t="shared" si="4"/>
        <v>6647685.0745709082</v>
      </c>
      <c r="F16" s="450">
        <f>($E$12+E16+SUM($E$13:E15)*2)/24</f>
        <v>1273496.1650956508</v>
      </c>
      <c r="G16" s="417"/>
      <c r="H16" s="450"/>
      <c r="I16" s="450"/>
      <c r="J16" s="450">
        <f>($E$12+I16+SUM($E$13:I15)*2)/24</f>
        <v>1129689.8386508466</v>
      </c>
      <c r="K16" s="450">
        <f>(-D16*0.35)+(G16*0.35)</f>
        <v>-583803.26970699418</v>
      </c>
      <c r="L16" s="450">
        <f t="shared" si="0"/>
        <v>-2326689.7760998178</v>
      </c>
      <c r="M16" s="450">
        <f>($E$12+L16+SUM($E$13:L15)*2)/24</f>
        <v>678942.96421133215</v>
      </c>
      <c r="N16" s="452">
        <f t="shared" si="2"/>
        <v>1808632.8028621788</v>
      </c>
      <c r="O16" s="451">
        <f t="shared" si="3"/>
        <v>4320995.2984710904</v>
      </c>
    </row>
    <row r="17" spans="1:15" ht="15" hidden="1" outlineLevel="1">
      <c r="A17" s="427"/>
      <c r="B17" s="447">
        <v>41547</v>
      </c>
      <c r="C17" s="447"/>
      <c r="D17" s="417">
        <v>2778035.3910547914</v>
      </c>
      <c r="E17" s="417">
        <f t="shared" si="4"/>
        <v>9425720.4656256996</v>
      </c>
      <c r="F17" s="450">
        <f>($E$12+E17+SUM($E$13:E16)*2)/24</f>
        <v>1943221.3959371762</v>
      </c>
      <c r="G17" s="417"/>
      <c r="H17" s="450"/>
      <c r="I17" s="450"/>
      <c r="J17" s="450">
        <f>($E$12+I17+SUM($E$13:I16)*2)/24</f>
        <v>1789788.2752897264</v>
      </c>
      <c r="K17" s="450">
        <f t="shared" si="1"/>
        <v>-972312.38686917687</v>
      </c>
      <c r="L17" s="450">
        <f t="shared" si="0"/>
        <v>-3299002.1629689946</v>
      </c>
      <c r="M17" s="450">
        <f>($E$12+L17+SUM($E$13:L16)*2)/24</f>
        <v>1150128.1174676658</v>
      </c>
      <c r="N17" s="452">
        <f t="shared" si="2"/>
        <v>2939916.3927573925</v>
      </c>
      <c r="O17" s="451">
        <f t="shared" si="3"/>
        <v>6126718.3026567046</v>
      </c>
    </row>
    <row r="18" spans="1:15" ht="15" hidden="1" outlineLevel="1">
      <c r="A18" s="427"/>
      <c r="B18" s="447">
        <v>41578</v>
      </c>
      <c r="C18" s="447"/>
      <c r="D18" s="417">
        <v>3010586.4047993221</v>
      </c>
      <c r="E18" s="417">
        <f t="shared" si="4"/>
        <v>12436306.870425021</v>
      </c>
      <c r="F18" s="450">
        <f>($E$12+E18+SUM($E$13:E17)*2)/24</f>
        <v>2854139.2016059565</v>
      </c>
      <c r="G18" s="417"/>
      <c r="H18" s="450"/>
      <c r="I18" s="450"/>
      <c r="J18" s="450">
        <f>($E$12+I18+SUM($E$13:I17)*2)/24</f>
        <v>2737200.0970866326</v>
      </c>
      <c r="K18" s="450">
        <f t="shared" si="1"/>
        <v>-1053705.2416797627</v>
      </c>
      <c r="L18" s="450">
        <f t="shared" si="0"/>
        <v>-4352707.4046487575</v>
      </c>
      <c r="M18" s="450">
        <f>($E$12+L18+SUM($E$13:L17)*2)/24</f>
        <v>1846841.6979822114</v>
      </c>
      <c r="N18" s="452">
        <f t="shared" si="2"/>
        <v>4584041.7950688442</v>
      </c>
      <c r="O18" s="451">
        <f t="shared" si="3"/>
        <v>8083599.4657762637</v>
      </c>
    </row>
    <row r="19" spans="1:15" ht="15" hidden="1" outlineLevel="1">
      <c r="A19" s="427"/>
      <c r="B19" s="447">
        <v>41608</v>
      </c>
      <c r="C19" s="447"/>
      <c r="D19" s="417"/>
      <c r="E19" s="417">
        <f t="shared" si="4"/>
        <v>12436306.870425021</v>
      </c>
      <c r="F19" s="450">
        <f>($E$12+E19+SUM($E$13:E18)*2)/24</f>
        <v>3890498.1074747075</v>
      </c>
      <c r="G19" s="417">
        <v>172726.47</v>
      </c>
      <c r="H19" s="417">
        <f>H18-G19</f>
        <v>-172726.47</v>
      </c>
      <c r="I19" s="417">
        <f>(H10+H19+SUM(H11:H18)*2)/24</f>
        <v>-7196.9362499999997</v>
      </c>
      <c r="J19" s="417">
        <f>F19+I19</f>
        <v>3883301.1712247077</v>
      </c>
      <c r="K19" s="417">
        <f t="shared" si="1"/>
        <v>60454.264499999997</v>
      </c>
      <c r="L19" s="450">
        <f>L18+K19</f>
        <v>-4292253.140148758</v>
      </c>
      <c r="M19" s="450">
        <f>(L12+L19+SUM(L13:L18)*2)/24</f>
        <v>-1359155.4099286476</v>
      </c>
      <c r="N19" s="452">
        <f>M19+J19</f>
        <v>2524145.7612960599</v>
      </c>
      <c r="O19" s="451">
        <f>+E19+H19+L19</f>
        <v>7971327.2602762626</v>
      </c>
    </row>
    <row r="20" spans="1:15" ht="15" hidden="1" outlineLevel="1">
      <c r="A20" s="427"/>
      <c r="B20" s="447">
        <v>41639</v>
      </c>
      <c r="C20" s="447"/>
      <c r="D20" s="417"/>
      <c r="E20" s="417">
        <f t="shared" si="4"/>
        <v>12436306.870425021</v>
      </c>
      <c r="F20" s="450">
        <f>(E10+E20+SUM(E11:E19)*2)/24</f>
        <v>4958982.2068804847</v>
      </c>
      <c r="G20" s="417">
        <v>149590</v>
      </c>
      <c r="H20" s="417">
        <f t="shared" ref="H20:H82" si="5">H19-G20</f>
        <v>-322316.46999999997</v>
      </c>
      <c r="I20" s="417">
        <f>(H10+H20+SUM(H11:H19)*2)/24</f>
        <v>-27823.725416666664</v>
      </c>
      <c r="J20" s="417">
        <f>F20+I20</f>
        <v>4931158.4814638179</v>
      </c>
      <c r="K20" s="417">
        <f t="shared" si="1"/>
        <v>52356.5</v>
      </c>
      <c r="L20" s="450">
        <f t="shared" si="0"/>
        <v>-4239896.640148758</v>
      </c>
      <c r="M20" s="450">
        <f>(L10+L20+SUM(L11:L19)*2)/24</f>
        <v>-1725905.4685123367</v>
      </c>
      <c r="N20" s="452">
        <f>M20+J20</f>
        <v>3205253.0129514812</v>
      </c>
      <c r="O20" s="451">
        <f t="shared" si="3"/>
        <v>7874093.7602762626</v>
      </c>
    </row>
    <row r="21" spans="1:15" ht="15" hidden="1" outlineLevel="1">
      <c r="A21" s="427"/>
      <c r="B21" s="447">
        <v>41670</v>
      </c>
      <c r="C21" s="447"/>
      <c r="D21" s="417"/>
      <c r="E21" s="417">
        <f t="shared" si="4"/>
        <v>12436306.870425021</v>
      </c>
      <c r="F21" s="450">
        <f>(E9+E21+SUM(E10:E20)*2)/24</f>
        <v>5995341.1127492376</v>
      </c>
      <c r="G21" s="417">
        <f>160011.952852139-2291</f>
        <v>157720.95285213899</v>
      </c>
      <c r="H21" s="417">
        <f t="shared" si="5"/>
        <v>-480037.42285213899</v>
      </c>
      <c r="I21" s="417">
        <f>(H10+H21+SUM(H11:H20)*2)/24</f>
        <v>-61255.137618839122</v>
      </c>
      <c r="J21" s="417">
        <f>F21+I21</f>
        <v>5934085.9751303988</v>
      </c>
      <c r="K21" s="417">
        <f t="shared" si="1"/>
        <v>55202.333498248641</v>
      </c>
      <c r="L21" s="450">
        <f t="shared" si="0"/>
        <v>-4184694.3066505091</v>
      </c>
      <c r="M21" s="450">
        <f>(L12+L21+SUM(L13:L20)*2)/24</f>
        <v>-2065686.2735576804</v>
      </c>
      <c r="N21" s="452">
        <f>M21+J21</f>
        <v>3868399.7015727181</v>
      </c>
      <c r="O21" s="451">
        <f t="shared" si="3"/>
        <v>7771575.1409223741</v>
      </c>
    </row>
    <row r="22" spans="1:15" ht="15" hidden="1" outlineLevel="1">
      <c r="A22" s="427"/>
      <c r="B22" s="447">
        <v>41698</v>
      </c>
      <c r="C22" s="447"/>
      <c r="D22" s="417"/>
      <c r="E22" s="417">
        <f t="shared" si="4"/>
        <v>12436306.870425021</v>
      </c>
      <c r="F22" s="450">
        <f>(E10+E22+SUM(E11:E21)*2)/24</f>
        <v>7031700.0186179886</v>
      </c>
      <c r="G22" s="417">
        <v>160011.95285213852</v>
      </c>
      <c r="H22" s="417">
        <f>H21-G22</f>
        <v>-640049.37570427754</v>
      </c>
      <c r="I22" s="417">
        <f>(H10+H22+SUM(H11:H21)*2)/24</f>
        <v>-107925.42089202313</v>
      </c>
      <c r="J22" s="417">
        <f>F22+I22</f>
        <v>6923774.5977259651</v>
      </c>
      <c r="K22" s="417">
        <f t="shared" si="1"/>
        <v>56004.18349824848</v>
      </c>
      <c r="L22" s="450">
        <f t="shared" si="0"/>
        <v>-4128690.1231522607</v>
      </c>
      <c r="M22" s="450">
        <f>(L10+L22+SUM(L11:L21)*2)/24</f>
        <v>-2423321.1092040883</v>
      </c>
      <c r="N22" s="452">
        <f>M22+J22</f>
        <v>4500453.4885218767</v>
      </c>
      <c r="O22" s="451">
        <f t="shared" si="3"/>
        <v>7667567.3715684833</v>
      </c>
    </row>
    <row r="23" spans="1:15" ht="15" hidden="1" outlineLevel="1">
      <c r="A23" s="427"/>
      <c r="B23" s="447">
        <v>41729</v>
      </c>
      <c r="C23" s="447"/>
      <c r="D23" s="417"/>
      <c r="E23" s="417">
        <f t="shared" si="4"/>
        <v>12436306.870425021</v>
      </c>
      <c r="F23" s="450">
        <f>(E11+E23+SUM(E12:E22)*2)/24</f>
        <v>8068058.9244867405</v>
      </c>
      <c r="G23" s="417">
        <v>160011.95285213852</v>
      </c>
      <c r="H23" s="417">
        <f t="shared" si="5"/>
        <v>-800061.32855641609</v>
      </c>
      <c r="I23" s="417">
        <f t="shared" ref="I23:I28" si="6">(H11+H23+SUM(H12:H22)*2)/24</f>
        <v>-167930.03356955203</v>
      </c>
      <c r="J23" s="417">
        <f t="shared" ref="J23:J84" si="7">F23+I23</f>
        <v>7900128.8909171885</v>
      </c>
      <c r="K23" s="417">
        <f t="shared" si="1"/>
        <v>56004.18349824848</v>
      </c>
      <c r="L23" s="450">
        <f t="shared" si="0"/>
        <v>-4072685.9396540122</v>
      </c>
      <c r="M23" s="450">
        <f t="shared" ref="M23:M36" si="8">(L11+L23+SUM(L12:L22)*2)/24</f>
        <v>-2765045.1118210163</v>
      </c>
      <c r="N23" s="452">
        <f t="shared" ref="N23:N36" si="9">M23+J23</f>
        <v>5135083.7790961722</v>
      </c>
      <c r="O23" s="451">
        <f t="shared" si="3"/>
        <v>7563559.6022145925</v>
      </c>
    </row>
    <row r="24" spans="1:15" ht="15" hidden="1" outlineLevel="1">
      <c r="A24" s="427"/>
      <c r="B24" s="447">
        <v>41759</v>
      </c>
      <c r="C24" s="447"/>
      <c r="D24" s="417"/>
      <c r="E24" s="417">
        <f t="shared" si="4"/>
        <v>12436306.870425021</v>
      </c>
      <c r="F24" s="450">
        <f>(E12+E24+SUM(E13:E23)*2)/24</f>
        <v>9072292.6368184667</v>
      </c>
      <c r="G24" s="417">
        <v>160011.95285213852</v>
      </c>
      <c r="H24" s="417">
        <f t="shared" si="5"/>
        <v>-960073.28140855464</v>
      </c>
      <c r="I24" s="417">
        <f t="shared" si="6"/>
        <v>-241268.9756514258</v>
      </c>
      <c r="J24" s="417">
        <f t="shared" si="7"/>
        <v>8831023.6611670405</v>
      </c>
      <c r="K24" s="417">
        <f t="shared" si="1"/>
        <v>56004.18349824848</v>
      </c>
      <c r="L24" s="450">
        <f t="shared" si="0"/>
        <v>-4016681.7561557638</v>
      </c>
      <c r="M24" s="450">
        <f t="shared" si="8"/>
        <v>-3090858.2814084645</v>
      </c>
      <c r="N24" s="452">
        <f t="shared" si="9"/>
        <v>5740165.3797585759</v>
      </c>
      <c r="O24" s="451">
        <f t="shared" si="3"/>
        <v>7459551.8328607036</v>
      </c>
    </row>
    <row r="25" spans="1:15" ht="15" hidden="1" outlineLevel="1">
      <c r="A25" s="427"/>
      <c r="B25" s="447">
        <v>41790</v>
      </c>
      <c r="C25" s="447"/>
      <c r="D25" s="417"/>
      <c r="E25" s="417">
        <f t="shared" si="4"/>
        <v>12436306.870425021</v>
      </c>
      <c r="F25" s="450">
        <f>(E13+E25+SUM(E14:E24)*2)/24</f>
        <v>9975041.9767006934</v>
      </c>
      <c r="G25" s="417">
        <v>160011.95285213852</v>
      </c>
      <c r="H25" s="417">
        <f t="shared" si="5"/>
        <v>-1120085.2342606932</v>
      </c>
      <c r="I25" s="417">
        <f t="shared" si="6"/>
        <v>-327942.2471376445</v>
      </c>
      <c r="J25" s="417">
        <f t="shared" si="7"/>
        <v>9647099.7295630481</v>
      </c>
      <c r="K25" s="417">
        <f t="shared" si="1"/>
        <v>56004.18349824848</v>
      </c>
      <c r="L25" s="450">
        <f t="shared" si="0"/>
        <v>-3960677.5726575153</v>
      </c>
      <c r="M25" s="450">
        <f t="shared" si="8"/>
        <v>-3376484.9053470679</v>
      </c>
      <c r="N25" s="452">
        <f t="shared" si="9"/>
        <v>6270614.8242159802</v>
      </c>
      <c r="O25" s="474">
        <f t="shared" si="3"/>
        <v>7355544.0635068128</v>
      </c>
    </row>
    <row r="26" spans="1:15" ht="15" hidden="1" outlineLevel="1">
      <c r="A26" s="427"/>
      <c r="B26" s="447">
        <v>41820</v>
      </c>
      <c r="C26" s="447"/>
      <c r="D26" s="417"/>
      <c r="E26" s="417">
        <f>E25+D26</f>
        <v>12436306.870425021</v>
      </c>
      <c r="F26" s="450">
        <f t="shared" ref="F26:F36" si="10">(E14+E26+SUM(E15:E25)*2)/24</f>
        <v>10736695.324699981</v>
      </c>
      <c r="G26" s="417">
        <v>160011.95285213852</v>
      </c>
      <c r="H26" s="417">
        <f t="shared" si="5"/>
        <v>-1280097.1871128317</v>
      </c>
      <c r="I26" s="417">
        <f t="shared" si="6"/>
        <v>-427949.84802820807</v>
      </c>
      <c r="J26" s="417">
        <f t="shared" si="7"/>
        <v>10308745.476671774</v>
      </c>
      <c r="K26" s="417">
        <f>(-D26*0.35)+(G26*0.35)</f>
        <v>56004.18349824848</v>
      </c>
      <c r="L26" s="450">
        <f t="shared" si="0"/>
        <v>-3904673.3891592668</v>
      </c>
      <c r="M26" s="450">
        <f t="shared" si="8"/>
        <v>-3608060.9168351218</v>
      </c>
      <c r="N26" s="452">
        <f t="shared" si="9"/>
        <v>6700684.5598366521</v>
      </c>
      <c r="O26" s="451">
        <f t="shared" si="3"/>
        <v>7251536.294152922</v>
      </c>
    </row>
    <row r="27" spans="1:15" ht="15" hidden="1" outlineLevel="1">
      <c r="A27" s="427"/>
      <c r="B27" s="447">
        <v>41851</v>
      </c>
      <c r="C27" s="447"/>
      <c r="D27" s="417"/>
      <c r="E27" s="417">
        <f t="shared" si="4"/>
        <v>12436306.870425021</v>
      </c>
      <c r="F27" s="450">
        <f>(E15+E27+SUM(E16:E26)*2)/24</f>
        <v>11392346.55629248</v>
      </c>
      <c r="G27" s="417">
        <v>160011.95285213852</v>
      </c>
      <c r="H27" s="417">
        <f t="shared" si="5"/>
        <v>-1440109.1399649703</v>
      </c>
      <c r="I27" s="417">
        <f t="shared" si="6"/>
        <v>-541291.77832311636</v>
      </c>
      <c r="J27" s="417">
        <f t="shared" si="7"/>
        <v>10851054.777969364</v>
      </c>
      <c r="K27" s="417">
        <f>(-D27*0.35)+(G27*0.35)</f>
        <v>56004.18349824848</v>
      </c>
      <c r="L27" s="450">
        <f t="shared" si="0"/>
        <v>-3848669.2056610184</v>
      </c>
      <c r="M27" s="450">
        <f>(L15+L27+SUM(L16:L26)*2)/24</f>
        <v>-3797869.1722892784</v>
      </c>
      <c r="N27" s="452">
        <f>M27+J27</f>
        <v>7053185.6056800857</v>
      </c>
      <c r="O27" s="451">
        <f t="shared" si="3"/>
        <v>7147528.5247990331</v>
      </c>
    </row>
    <row r="28" spans="1:15" ht="15" hidden="1" outlineLevel="1">
      <c r="A28" s="427"/>
      <c r="B28" s="447">
        <v>41882</v>
      </c>
      <c r="C28" s="447"/>
      <c r="D28" s="417"/>
      <c r="E28" s="417">
        <f t="shared" si="4"/>
        <v>12436306.870425021</v>
      </c>
      <c r="F28" s="450">
        <f>(E16+E28+SUM(E17:E27)*2)/24</f>
        <v>11944232.095197821</v>
      </c>
      <c r="G28" s="450">
        <v>160011.95285213852</v>
      </c>
      <c r="H28" s="417">
        <f t="shared" si="5"/>
        <v>-1600121.0928171088</v>
      </c>
      <c r="I28" s="417">
        <f t="shared" si="6"/>
        <v>-667968.03802236973</v>
      </c>
      <c r="J28" s="417">
        <f t="shared" si="7"/>
        <v>11276264.057175452</v>
      </c>
      <c r="K28" s="417">
        <f>(-D28*0.35)+(G28*0.35)</f>
        <v>56004.18349824848</v>
      </c>
      <c r="L28" s="450">
        <f t="shared" si="0"/>
        <v>-3792665.0221627699</v>
      </c>
      <c r="M28" s="450">
        <f t="shared" si="8"/>
        <v>-3946692.4200114091</v>
      </c>
      <c r="N28" s="452">
        <f t="shared" si="9"/>
        <v>7329571.6371640433</v>
      </c>
      <c r="O28" s="451">
        <f t="shared" si="3"/>
        <v>7043520.7554451423</v>
      </c>
    </row>
    <row r="29" spans="1:15" ht="15" hidden="1" outlineLevel="1">
      <c r="A29" s="427"/>
      <c r="B29" s="447">
        <v>41912</v>
      </c>
      <c r="C29" s="447"/>
      <c r="D29" s="417"/>
      <c r="E29" s="417">
        <f t="shared" si="4"/>
        <v>12436306.870425021</v>
      </c>
      <c r="F29" s="450">
        <f t="shared" si="10"/>
        <v>12310865.770225048</v>
      </c>
      <c r="G29" s="417">
        <v>160011.95285213852</v>
      </c>
      <c r="H29" s="417">
        <f t="shared" si="5"/>
        <v>-1760133.0456692474</v>
      </c>
      <c r="I29" s="417">
        <f t="shared" ref="I29:I36" si="11">(H17+H29+SUM(H18:H28)*2)/24</f>
        <v>-807978.62712596788</v>
      </c>
      <c r="J29" s="417">
        <f t="shared" si="7"/>
        <v>11502887.143099081</v>
      </c>
      <c r="K29" s="417">
        <f t="shared" si="1"/>
        <v>56004.18349824848</v>
      </c>
      <c r="L29" s="450">
        <f t="shared" si="0"/>
        <v>-3736660.8386645215</v>
      </c>
      <c r="M29" s="450">
        <f t="shared" si="8"/>
        <v>-4026010.5000846791</v>
      </c>
      <c r="N29" s="452">
        <f t="shared" si="9"/>
        <v>7476876.6430144012</v>
      </c>
      <c r="O29" s="474">
        <f t="shared" si="3"/>
        <v>6939512.9860912515</v>
      </c>
    </row>
    <row r="30" spans="1:15" ht="15" hidden="1" outlineLevel="1">
      <c r="A30" s="427"/>
      <c r="B30" s="447">
        <v>41943</v>
      </c>
      <c r="C30" s="447"/>
      <c r="D30" s="417"/>
      <c r="E30" s="417">
        <f t="shared" si="4"/>
        <v>12436306.870425021</v>
      </c>
      <c r="F30" s="450">
        <f t="shared" si="10"/>
        <v>12436306.870425018</v>
      </c>
      <c r="G30" s="417">
        <v>160011.95285213852</v>
      </c>
      <c r="H30" s="417">
        <f t="shared" si="5"/>
        <v>-1920144.9985213859</v>
      </c>
      <c r="I30" s="417">
        <f t="shared" si="11"/>
        <v>-961323.54563391116</v>
      </c>
      <c r="J30" s="417">
        <f t="shared" si="7"/>
        <v>11474983.324791107</v>
      </c>
      <c r="K30" s="417">
        <f t="shared" si="1"/>
        <v>56004.18349824848</v>
      </c>
      <c r="L30" s="450">
        <f t="shared" si="0"/>
        <v>-3680656.655166273</v>
      </c>
      <c r="M30" s="450">
        <f t="shared" si="8"/>
        <v>-4016244.1636768896</v>
      </c>
      <c r="N30" s="452">
        <f t="shared" si="9"/>
        <v>7458739.1611142177</v>
      </c>
      <c r="O30" s="474">
        <f t="shared" si="3"/>
        <v>6835505.2167373626</v>
      </c>
    </row>
    <row r="31" spans="1:15" ht="15" hidden="1" outlineLevel="1">
      <c r="A31" s="427"/>
      <c r="B31" s="447">
        <v>41973</v>
      </c>
      <c r="C31" s="447"/>
      <c r="D31" s="417"/>
      <c r="E31" s="417">
        <f t="shared" si="4"/>
        <v>12436306.870425021</v>
      </c>
      <c r="F31" s="450">
        <f t="shared" si="10"/>
        <v>12436306.870425018</v>
      </c>
      <c r="G31" s="417">
        <v>160011.95285213852</v>
      </c>
      <c r="H31" s="450">
        <f t="shared" si="5"/>
        <v>-2080156.9513735245</v>
      </c>
      <c r="I31" s="450">
        <f t="shared" si="11"/>
        <v>-1120805.8572961988</v>
      </c>
      <c r="J31" s="450">
        <f t="shared" si="7"/>
        <v>11315501.013128819</v>
      </c>
      <c r="K31" s="450">
        <f t="shared" si="1"/>
        <v>56004.18349824848</v>
      </c>
      <c r="L31" s="450">
        <f t="shared" si="0"/>
        <v>-3624652.4716680245</v>
      </c>
      <c r="M31" s="450">
        <f t="shared" si="8"/>
        <v>-3960425.3545950879</v>
      </c>
      <c r="N31" s="452">
        <f t="shared" si="9"/>
        <v>7355075.6585337315</v>
      </c>
      <c r="O31" s="474">
        <f t="shared" si="3"/>
        <v>6731497.4473834718</v>
      </c>
    </row>
    <row r="32" spans="1:15" ht="15" hidden="1" outlineLevel="1">
      <c r="A32" s="427"/>
      <c r="B32" s="447">
        <v>42004</v>
      </c>
      <c r="C32" s="447"/>
      <c r="D32" s="417"/>
      <c r="E32" s="417">
        <f t="shared" si="4"/>
        <v>12436306.870425021</v>
      </c>
      <c r="F32" s="450">
        <f t="shared" si="10"/>
        <v>12436306.870425018</v>
      </c>
      <c r="G32" s="417">
        <f>(E31+H31)/47</f>
        <v>220343.61529896801</v>
      </c>
      <c r="H32" s="450">
        <f t="shared" si="5"/>
        <v>-2300500.5666724923</v>
      </c>
      <c r="I32" s="450">
        <f>(H20+H32+SUM(H21:H31)*2)/24</f>
        <v>-1282706.464714783</v>
      </c>
      <c r="J32" s="450">
        <f t="shared" si="7"/>
        <v>11153600.405710235</v>
      </c>
      <c r="K32" s="450">
        <f t="shared" si="1"/>
        <v>77120.265354638803</v>
      </c>
      <c r="L32" s="450">
        <f t="shared" si="0"/>
        <v>-3547532.2063133856</v>
      </c>
      <c r="M32" s="450">
        <f t="shared" si="8"/>
        <v>-3903760.1419985839</v>
      </c>
      <c r="N32" s="452">
        <f t="shared" si="9"/>
        <v>7249840.2637116518</v>
      </c>
      <c r="O32" s="474">
        <f t="shared" si="3"/>
        <v>6588274.0974391429</v>
      </c>
    </row>
    <row r="33" spans="1:15" ht="15" hidden="1" outlineLevel="1">
      <c r="A33" s="427"/>
      <c r="B33" s="447">
        <v>42035</v>
      </c>
      <c r="C33" s="447"/>
      <c r="D33" s="417"/>
      <c r="E33" s="417">
        <f t="shared" si="4"/>
        <v>12436306.870425021</v>
      </c>
      <c r="F33" s="450">
        <f t="shared" si="10"/>
        <v>12436306.870425018</v>
      </c>
      <c r="G33" s="417">
        <f t="shared" ref="G33:G77" si="12">G32</f>
        <v>220343.61529896801</v>
      </c>
      <c r="H33" s="450">
        <f t="shared" si="5"/>
        <v>-2520844.1819714601</v>
      </c>
      <c r="I33" s="450">
        <f t="shared" si="11"/>
        <v>-1450164.4170394419</v>
      </c>
      <c r="J33" s="450">
        <f t="shared" si="7"/>
        <v>10986142.453385577</v>
      </c>
      <c r="K33" s="450">
        <f t="shared" si="1"/>
        <v>77120.265354638803</v>
      </c>
      <c r="L33" s="450">
        <f t="shared" si="0"/>
        <v>-3470411.9409587467</v>
      </c>
      <c r="M33" s="450">
        <f t="shared" si="8"/>
        <v>-3845149.8586849533</v>
      </c>
      <c r="N33" s="452">
        <f t="shared" si="9"/>
        <v>7140992.5947006233</v>
      </c>
      <c r="O33" s="451">
        <f t="shared" si="3"/>
        <v>6445050.747494814</v>
      </c>
    </row>
    <row r="34" spans="1:15" ht="15" hidden="1" outlineLevel="1">
      <c r="A34" s="427"/>
      <c r="B34" s="447">
        <v>42063</v>
      </c>
      <c r="C34" s="447"/>
      <c r="D34" s="417"/>
      <c r="E34" s="417">
        <f t="shared" si="4"/>
        <v>12436306.870425021</v>
      </c>
      <c r="F34" s="450">
        <f t="shared" si="10"/>
        <v>12436306.870425018</v>
      </c>
      <c r="G34" s="417">
        <f t="shared" si="12"/>
        <v>220343.61529896801</v>
      </c>
      <c r="H34" s="450">
        <f t="shared" si="5"/>
        <v>-2741187.7972704279</v>
      </c>
      <c r="I34" s="450">
        <f t="shared" si="11"/>
        <v>-1622745.4662346698</v>
      </c>
      <c r="J34" s="450">
        <f t="shared" si="7"/>
        <v>10813561.404190348</v>
      </c>
      <c r="K34" s="450">
        <f t="shared" si="1"/>
        <v>77120.265354638803</v>
      </c>
      <c r="L34" s="450">
        <f t="shared" si="0"/>
        <v>-3393291.6756041078</v>
      </c>
      <c r="M34" s="450">
        <f t="shared" si="8"/>
        <v>-3784746.4914666228</v>
      </c>
      <c r="N34" s="452">
        <f t="shared" si="9"/>
        <v>7028814.9127237257</v>
      </c>
      <c r="O34" s="474">
        <f t="shared" si="3"/>
        <v>6301827.3975504851</v>
      </c>
    </row>
    <row r="35" spans="1:15" ht="15" hidden="1" outlineLevel="1">
      <c r="A35" s="427"/>
      <c r="B35" s="447">
        <v>42094</v>
      </c>
      <c r="C35" s="447"/>
      <c r="D35" s="417"/>
      <c r="E35" s="417">
        <f t="shared" si="4"/>
        <v>12436306.870425021</v>
      </c>
      <c r="F35" s="450">
        <f t="shared" si="10"/>
        <v>12436306.870425018</v>
      </c>
      <c r="G35" s="417">
        <f t="shared" si="12"/>
        <v>220343.61529896801</v>
      </c>
      <c r="H35" s="450">
        <f t="shared" si="5"/>
        <v>-2961531.4125693957</v>
      </c>
      <c r="I35" s="450">
        <f t="shared" si="11"/>
        <v>-1800354.1539671337</v>
      </c>
      <c r="J35" s="450">
        <f t="shared" si="7"/>
        <v>10635952.716457885</v>
      </c>
      <c r="K35" s="450">
        <f t="shared" si="1"/>
        <v>77120.265354638803</v>
      </c>
      <c r="L35" s="450">
        <f t="shared" si="0"/>
        <v>-3316171.4102494689</v>
      </c>
      <c r="M35" s="450">
        <f t="shared" si="8"/>
        <v>-3722583.4507602602</v>
      </c>
      <c r="N35" s="452">
        <f t="shared" si="9"/>
        <v>6913369.2656976245</v>
      </c>
      <c r="O35" s="451">
        <f t="shared" si="3"/>
        <v>6158604.0476061562</v>
      </c>
    </row>
    <row r="36" spans="1:15" ht="15" hidden="1" outlineLevel="1">
      <c r="A36" s="427"/>
      <c r="B36" s="447">
        <v>42124</v>
      </c>
      <c r="C36" s="447"/>
      <c r="D36" s="417"/>
      <c r="E36" s="417">
        <f t="shared" si="4"/>
        <v>12436306.870425021</v>
      </c>
      <c r="F36" s="450">
        <f t="shared" si="10"/>
        <v>12436306.870425018</v>
      </c>
      <c r="G36" s="417">
        <f t="shared" si="12"/>
        <v>220343.61529896801</v>
      </c>
      <c r="H36" s="450">
        <f t="shared" si="5"/>
        <v>-3181875.0278683635</v>
      </c>
      <c r="I36" s="450">
        <f t="shared" si="11"/>
        <v>-1982990.480236833</v>
      </c>
      <c r="J36" s="450">
        <f t="shared" si="7"/>
        <v>10453316.390188184</v>
      </c>
      <c r="K36" s="450">
        <f t="shared" si="1"/>
        <v>77120.265354638803</v>
      </c>
      <c r="L36" s="450">
        <f t="shared" si="0"/>
        <v>-3239051.14489483</v>
      </c>
      <c r="M36" s="450">
        <f t="shared" si="8"/>
        <v>-3658660.736565866</v>
      </c>
      <c r="N36" s="452">
        <f t="shared" si="9"/>
        <v>6794655.6536223181</v>
      </c>
      <c r="O36" s="474">
        <f t="shared" si="3"/>
        <v>6015380.6976618273</v>
      </c>
    </row>
    <row r="37" spans="1:15" ht="15" hidden="1" outlineLevel="1">
      <c r="A37" s="427"/>
      <c r="B37" s="447">
        <v>42155</v>
      </c>
      <c r="C37" s="447"/>
      <c r="D37" s="450"/>
      <c r="E37" s="450">
        <f t="shared" si="4"/>
        <v>12436306.870425021</v>
      </c>
      <c r="F37" s="450">
        <f>(E25+E37+SUM(E26:E36)*2)/24</f>
        <v>12436306.870425018</v>
      </c>
      <c r="G37" s="417">
        <f t="shared" si="12"/>
        <v>220343.61529896801</v>
      </c>
      <c r="H37" s="450">
        <f t="shared" si="5"/>
        <v>-3402218.6431673313</v>
      </c>
      <c r="I37" s="450">
        <f>(H25+H37+SUM(H26:H36)*2)/24</f>
        <v>-2170654.4450437683</v>
      </c>
      <c r="J37" s="450">
        <f t="shared" si="7"/>
        <v>10265652.425381249</v>
      </c>
      <c r="K37" s="450">
        <f t="shared" si="1"/>
        <v>77120.265354638803</v>
      </c>
      <c r="L37" s="450">
        <f t="shared" si="0"/>
        <v>-3161930.879540191</v>
      </c>
      <c r="M37" s="450">
        <f>(L25+L37+SUM(L26:L36)*2)/24</f>
        <v>-3592978.3488834389</v>
      </c>
      <c r="N37" s="452">
        <f>M37+J37</f>
        <v>6672674.07649781</v>
      </c>
      <c r="O37" s="451">
        <f t="shared" si="3"/>
        <v>5872157.3477174984</v>
      </c>
    </row>
    <row r="38" spans="1:15" ht="15" hidden="1" outlineLevel="1">
      <c r="A38" s="427"/>
      <c r="B38" s="447">
        <v>42185</v>
      </c>
      <c r="C38" s="447"/>
      <c r="D38" s="450"/>
      <c r="E38" s="450">
        <f t="shared" si="4"/>
        <v>12436306.870425021</v>
      </c>
      <c r="F38" s="450">
        <f t="shared" ref="F38:F101" si="13">(E26+E38+SUM(E27:E37)*2)/24</f>
        <v>12436306.870425018</v>
      </c>
      <c r="G38" s="417">
        <f t="shared" si="12"/>
        <v>220343.61529896801</v>
      </c>
      <c r="H38" s="450">
        <f t="shared" si="5"/>
        <v>-3622562.2584662992</v>
      </c>
      <c r="I38" s="450">
        <f t="shared" ref="I38:I101" si="14">(H26+H38+SUM(H27:H37)*2)/24</f>
        <v>-2363346.0483879396</v>
      </c>
      <c r="J38" s="450">
        <f t="shared" si="7"/>
        <v>10072960.822037078</v>
      </c>
      <c r="K38" s="450">
        <f t="shared" si="1"/>
        <v>77120.265354638803</v>
      </c>
      <c r="L38" s="450">
        <f t="shared" si="0"/>
        <v>-3084810.6141855521</v>
      </c>
      <c r="M38" s="450">
        <f t="shared" ref="M38:M101" si="15">(L26+L38+SUM(L27:L37)*2)/24</f>
        <v>-3525536.2877129787</v>
      </c>
      <c r="N38" s="452">
        <f t="shared" ref="N38:N101" si="16">M38+J38</f>
        <v>6547424.5343241002</v>
      </c>
      <c r="O38" s="451">
        <f t="shared" si="3"/>
        <v>5728933.9977731695</v>
      </c>
    </row>
    <row r="39" spans="1:15" ht="15" hidden="1" outlineLevel="1">
      <c r="A39" s="427"/>
      <c r="B39" s="447">
        <v>42216</v>
      </c>
      <c r="C39" s="447"/>
      <c r="D39" s="450"/>
      <c r="E39" s="450">
        <f t="shared" si="4"/>
        <v>12436306.870425021</v>
      </c>
      <c r="F39" s="450">
        <f t="shared" si="13"/>
        <v>12436306.870425018</v>
      </c>
      <c r="G39" s="417">
        <f t="shared" si="12"/>
        <v>220343.61529896801</v>
      </c>
      <c r="H39" s="450">
        <f t="shared" si="5"/>
        <v>-3842905.873765267</v>
      </c>
      <c r="I39" s="450">
        <f t="shared" si="14"/>
        <v>-2561065.2902693464</v>
      </c>
      <c r="J39" s="450">
        <f t="shared" si="7"/>
        <v>9875241.5801556706</v>
      </c>
      <c r="K39" s="450">
        <f t="shared" si="1"/>
        <v>77120.265354638803</v>
      </c>
      <c r="L39" s="450">
        <f t="shared" si="0"/>
        <v>-3007690.3488309132</v>
      </c>
      <c r="M39" s="450">
        <f t="shared" si="15"/>
        <v>-3456334.5530544869</v>
      </c>
      <c r="N39" s="452">
        <f t="shared" si="16"/>
        <v>6418907.0271011833</v>
      </c>
      <c r="O39" s="474">
        <f t="shared" si="3"/>
        <v>5585710.6478288407</v>
      </c>
    </row>
    <row r="40" spans="1:15" ht="15" hidden="1" outlineLevel="1">
      <c r="A40" s="427"/>
      <c r="B40" s="447">
        <v>42247</v>
      </c>
      <c r="C40" s="447"/>
      <c r="D40" s="450"/>
      <c r="E40" s="450">
        <f t="shared" si="4"/>
        <v>12436306.870425021</v>
      </c>
      <c r="F40" s="450">
        <f t="shared" si="13"/>
        <v>12436306.870425018</v>
      </c>
      <c r="G40" s="417">
        <f t="shared" si="12"/>
        <v>220343.61529896801</v>
      </c>
      <c r="H40" s="450">
        <f t="shared" si="5"/>
        <v>-4063249.4890642348</v>
      </c>
      <c r="I40" s="450">
        <f t="shared" si="14"/>
        <v>-2763812.1706879889</v>
      </c>
      <c r="J40" s="450">
        <f t="shared" si="7"/>
        <v>9672494.6997370292</v>
      </c>
      <c r="K40" s="450">
        <f t="shared" si="1"/>
        <v>77120.265354638803</v>
      </c>
      <c r="L40" s="454">
        <f t="shared" si="0"/>
        <v>-2930570.0834762743</v>
      </c>
      <c r="M40" s="450">
        <f t="shared" si="15"/>
        <v>-3385373.1449079611</v>
      </c>
      <c r="N40" s="452">
        <f t="shared" si="16"/>
        <v>6287121.5548290685</v>
      </c>
      <c r="O40" s="474">
        <f t="shared" si="3"/>
        <v>5442487.2978845118</v>
      </c>
    </row>
    <row r="41" spans="1:15" ht="15" hidden="1" outlineLevel="1">
      <c r="A41" s="427"/>
      <c r="B41" s="447">
        <v>42277</v>
      </c>
      <c r="C41" s="447"/>
      <c r="D41" s="450"/>
      <c r="E41" s="450">
        <f t="shared" si="4"/>
        <v>12436306.870425021</v>
      </c>
      <c r="F41" s="450">
        <f t="shared" si="13"/>
        <v>12436306.870425018</v>
      </c>
      <c r="G41" s="417">
        <f t="shared" si="12"/>
        <v>220343.61529896801</v>
      </c>
      <c r="H41" s="450">
        <f t="shared" si="5"/>
        <v>-4283593.104363203</v>
      </c>
      <c r="I41" s="450">
        <f t="shared" si="14"/>
        <v>-2971586.6896438673</v>
      </c>
      <c r="J41" s="450">
        <f t="shared" si="7"/>
        <v>9464720.1807811502</v>
      </c>
      <c r="K41" s="450">
        <f t="shared" si="1"/>
        <v>77120.265354638803</v>
      </c>
      <c r="L41" s="454">
        <f t="shared" si="0"/>
        <v>-2853449.8181216354</v>
      </c>
      <c r="M41" s="450">
        <f t="shared" si="15"/>
        <v>-3312652.0632734038</v>
      </c>
      <c r="N41" s="452">
        <f t="shared" si="16"/>
        <v>6152068.1175077464</v>
      </c>
      <c r="O41" s="474">
        <f t="shared" si="3"/>
        <v>5299263.9479401829</v>
      </c>
    </row>
    <row r="42" spans="1:15" ht="15" hidden="1" outlineLevel="1">
      <c r="A42" s="427"/>
      <c r="B42" s="447">
        <v>42308</v>
      </c>
      <c r="C42" s="447"/>
      <c r="D42" s="450"/>
      <c r="E42" s="450">
        <f t="shared" si="4"/>
        <v>12436306.870425021</v>
      </c>
      <c r="F42" s="450">
        <f t="shared" si="13"/>
        <v>12436306.870425018</v>
      </c>
      <c r="G42" s="417">
        <f t="shared" si="12"/>
        <v>220343.61529896801</v>
      </c>
      <c r="H42" s="450">
        <f t="shared" si="5"/>
        <v>-4503936.7196621709</v>
      </c>
      <c r="I42" s="450">
        <f t="shared" si="14"/>
        <v>-3184388.8471369818</v>
      </c>
      <c r="J42" s="450">
        <f t="shared" si="7"/>
        <v>9251918.0232880358</v>
      </c>
      <c r="K42" s="450">
        <f t="shared" si="1"/>
        <v>77120.265354638803</v>
      </c>
      <c r="L42" s="454">
        <f t="shared" si="0"/>
        <v>-2776329.5527669964</v>
      </c>
      <c r="M42" s="450">
        <f t="shared" si="15"/>
        <v>-3238171.3081508144</v>
      </c>
      <c r="N42" s="452">
        <f t="shared" si="16"/>
        <v>6013746.7151372209</v>
      </c>
      <c r="O42" s="451">
        <f t="shared" si="3"/>
        <v>5156040.597995854</v>
      </c>
    </row>
    <row r="43" spans="1:15" ht="15" hidden="1" outlineLevel="1">
      <c r="A43" s="427"/>
      <c r="B43" s="447">
        <v>42338</v>
      </c>
      <c r="C43" s="447"/>
      <c r="D43" s="450"/>
      <c r="E43" s="450">
        <f t="shared" si="4"/>
        <v>12436306.870425021</v>
      </c>
      <c r="F43" s="450">
        <f t="shared" si="13"/>
        <v>12436306.870425018</v>
      </c>
      <c r="G43" s="417">
        <f t="shared" si="12"/>
        <v>220343.61529896801</v>
      </c>
      <c r="H43" s="450">
        <f t="shared" si="5"/>
        <v>-4724280.3349611387</v>
      </c>
      <c r="I43" s="450">
        <f t="shared" si="14"/>
        <v>-3402218.6431673318</v>
      </c>
      <c r="J43" s="450">
        <f t="shared" si="7"/>
        <v>9034088.2272576857</v>
      </c>
      <c r="K43" s="450">
        <f t="shared" si="1"/>
        <v>77120.265354638803</v>
      </c>
      <c r="L43" s="454">
        <f t="shared" si="0"/>
        <v>-2699209.2874123575</v>
      </c>
      <c r="M43" s="450">
        <f t="shared" si="15"/>
        <v>-3161930.8795401906</v>
      </c>
      <c r="N43" s="452">
        <f t="shared" si="16"/>
        <v>5872157.3477174956</v>
      </c>
      <c r="O43" s="474">
        <f t="shared" si="3"/>
        <v>5012817.2480515251</v>
      </c>
    </row>
    <row r="44" spans="1:15" ht="15" hidden="1" outlineLevel="1">
      <c r="A44" s="427"/>
      <c r="B44" s="447">
        <v>42369</v>
      </c>
      <c r="C44" s="447"/>
      <c r="D44" s="417"/>
      <c r="E44" s="450">
        <f t="shared" si="4"/>
        <v>12436306.870425021</v>
      </c>
      <c r="F44" s="450">
        <f t="shared" si="13"/>
        <v>12436306.870425018</v>
      </c>
      <c r="G44" s="417">
        <f t="shared" si="12"/>
        <v>220343.61529896801</v>
      </c>
      <c r="H44" s="450">
        <f t="shared" si="5"/>
        <v>-4944623.9502601065</v>
      </c>
      <c r="I44" s="450">
        <f t="shared" si="14"/>
        <v>-3622562.2584662996</v>
      </c>
      <c r="J44" s="450">
        <f t="shared" si="7"/>
        <v>8813744.6119587179</v>
      </c>
      <c r="K44" s="450">
        <f t="shared" si="1"/>
        <v>77120.265354638803</v>
      </c>
      <c r="L44" s="454">
        <f t="shared" si="0"/>
        <v>-2622089.0220577186</v>
      </c>
      <c r="M44" s="450">
        <f t="shared" si="15"/>
        <v>-3084810.6141855516</v>
      </c>
      <c r="N44" s="452">
        <f t="shared" si="16"/>
        <v>5728933.9977731667</v>
      </c>
      <c r="O44" s="474">
        <f t="shared" si="3"/>
        <v>4869593.8981071962</v>
      </c>
    </row>
    <row r="45" spans="1:15" ht="15" hidden="1" outlineLevel="1">
      <c r="A45" s="427"/>
      <c r="B45" s="447">
        <v>42400</v>
      </c>
      <c r="C45" s="447"/>
      <c r="D45" s="417"/>
      <c r="E45" s="450">
        <f t="shared" si="4"/>
        <v>12436306.870425021</v>
      </c>
      <c r="F45" s="450">
        <f t="shared" si="13"/>
        <v>12436306.870425018</v>
      </c>
      <c r="G45" s="417">
        <f t="shared" si="12"/>
        <v>220343.61529896801</v>
      </c>
      <c r="H45" s="450">
        <f t="shared" si="5"/>
        <v>-5164967.5655590743</v>
      </c>
      <c r="I45" s="450">
        <f t="shared" si="14"/>
        <v>-3842905.873765267</v>
      </c>
      <c r="J45" s="450">
        <f t="shared" si="7"/>
        <v>8593400.9966597501</v>
      </c>
      <c r="K45" s="450">
        <f t="shared" si="1"/>
        <v>77120.265354638803</v>
      </c>
      <c r="L45" s="454">
        <f t="shared" si="0"/>
        <v>-2544968.7567030797</v>
      </c>
      <c r="M45" s="450">
        <f t="shared" si="15"/>
        <v>-3007690.3488309137</v>
      </c>
      <c r="N45" s="452">
        <f t="shared" si="16"/>
        <v>5585710.647828836</v>
      </c>
      <c r="O45" s="474">
        <f t="shared" si="3"/>
        <v>4726370.5481628673</v>
      </c>
    </row>
    <row r="46" spans="1:15" ht="15" hidden="1" outlineLevel="1">
      <c r="A46" s="427"/>
      <c r="B46" s="447">
        <v>42428</v>
      </c>
      <c r="C46" s="447"/>
      <c r="D46" s="417"/>
      <c r="E46" s="450">
        <f t="shared" si="4"/>
        <v>12436306.870425021</v>
      </c>
      <c r="F46" s="450">
        <f t="shared" si="13"/>
        <v>12436306.870425018</v>
      </c>
      <c r="G46" s="417">
        <f t="shared" si="12"/>
        <v>220343.61529896801</v>
      </c>
      <c r="H46" s="450">
        <f t="shared" si="5"/>
        <v>-5385311.1808580421</v>
      </c>
      <c r="I46" s="450">
        <f t="shared" si="14"/>
        <v>-4063249.4890642338</v>
      </c>
      <c r="J46" s="450">
        <f t="shared" si="7"/>
        <v>8373057.3813607842</v>
      </c>
      <c r="K46" s="450">
        <f t="shared" si="1"/>
        <v>77120.265354638803</v>
      </c>
      <c r="L46" s="454">
        <f t="shared" si="0"/>
        <v>-2467848.4913484408</v>
      </c>
      <c r="M46" s="450">
        <f t="shared" si="15"/>
        <v>-2930570.0834762738</v>
      </c>
      <c r="N46" s="452">
        <f t="shared" si="16"/>
        <v>5442487.2978845108</v>
      </c>
      <c r="O46" s="474">
        <f t="shared" si="3"/>
        <v>4583147.1982185384</v>
      </c>
    </row>
    <row r="47" spans="1:15" ht="15" hidden="1" outlineLevel="1">
      <c r="A47" s="427"/>
      <c r="B47" s="447">
        <v>42460</v>
      </c>
      <c r="C47" s="447"/>
      <c r="D47" s="417"/>
      <c r="E47" s="450">
        <f t="shared" si="4"/>
        <v>12436306.870425021</v>
      </c>
      <c r="F47" s="450">
        <f t="shared" si="13"/>
        <v>12436306.870425018</v>
      </c>
      <c r="G47" s="417">
        <f t="shared" si="12"/>
        <v>220343.61529896801</v>
      </c>
      <c r="H47" s="450">
        <f t="shared" si="5"/>
        <v>-5605654.7961570099</v>
      </c>
      <c r="I47" s="450">
        <f t="shared" si="14"/>
        <v>-4283593.104363203</v>
      </c>
      <c r="J47" s="450">
        <f t="shared" si="7"/>
        <v>8152713.7660618145</v>
      </c>
      <c r="K47" s="450">
        <f t="shared" si="1"/>
        <v>77120.265354638803</v>
      </c>
      <c r="L47" s="454">
        <f t="shared" si="0"/>
        <v>-2390728.2259938018</v>
      </c>
      <c r="M47" s="450">
        <f t="shared" si="15"/>
        <v>-2853449.8181216358</v>
      </c>
      <c r="N47" s="452">
        <f t="shared" si="16"/>
        <v>5299263.9479401782</v>
      </c>
      <c r="O47" s="474">
        <f t="shared" si="3"/>
        <v>4439923.8482742095</v>
      </c>
    </row>
    <row r="48" spans="1:15" ht="15" hidden="1" outlineLevel="1">
      <c r="A48" s="427"/>
      <c r="B48" s="447">
        <v>42490</v>
      </c>
      <c r="C48" s="447"/>
      <c r="D48" s="417"/>
      <c r="E48" s="450">
        <f t="shared" si="4"/>
        <v>12436306.870425021</v>
      </c>
      <c r="F48" s="450">
        <f t="shared" si="13"/>
        <v>12436306.870425018</v>
      </c>
      <c r="G48" s="417">
        <f t="shared" si="12"/>
        <v>220343.61529896801</v>
      </c>
      <c r="H48" s="450">
        <f t="shared" si="5"/>
        <v>-5825998.4114559777</v>
      </c>
      <c r="I48" s="450">
        <f t="shared" si="14"/>
        <v>-4503936.7196621709</v>
      </c>
      <c r="J48" s="450">
        <f t="shared" si="7"/>
        <v>7932370.1507628467</v>
      </c>
      <c r="K48" s="450">
        <f t="shared" si="1"/>
        <v>77120.265354638803</v>
      </c>
      <c r="L48" s="454">
        <f t="shared" si="0"/>
        <v>-2313607.9606391629</v>
      </c>
      <c r="M48" s="450">
        <f t="shared" si="15"/>
        <v>-2776329.5527669964</v>
      </c>
      <c r="N48" s="452">
        <f t="shared" si="16"/>
        <v>5156040.5979958503</v>
      </c>
      <c r="O48" s="451">
        <f t="shared" si="3"/>
        <v>4296700.4983298806</v>
      </c>
    </row>
    <row r="49" spans="1:15" ht="15" hidden="1" outlineLevel="1">
      <c r="A49" s="427"/>
      <c r="B49" s="447">
        <v>42521</v>
      </c>
      <c r="C49" s="447"/>
      <c r="D49" s="417"/>
      <c r="E49" s="450">
        <f t="shared" si="4"/>
        <v>12436306.870425021</v>
      </c>
      <c r="F49" s="450">
        <f t="shared" si="13"/>
        <v>12436306.870425018</v>
      </c>
      <c r="G49" s="417">
        <f t="shared" si="12"/>
        <v>220343.61529896801</v>
      </c>
      <c r="H49" s="450">
        <f t="shared" si="5"/>
        <v>-6046342.0267549455</v>
      </c>
      <c r="I49" s="450">
        <f t="shared" si="14"/>
        <v>-4724280.3349611396</v>
      </c>
      <c r="J49" s="450">
        <f t="shared" si="7"/>
        <v>7712026.535463878</v>
      </c>
      <c r="K49" s="450">
        <f t="shared" si="1"/>
        <v>77120.265354638803</v>
      </c>
      <c r="L49" s="454">
        <f t="shared" si="0"/>
        <v>-2236487.695284524</v>
      </c>
      <c r="M49" s="450">
        <f t="shared" si="15"/>
        <v>-2699209.2874123575</v>
      </c>
      <c r="N49" s="452">
        <f t="shared" si="16"/>
        <v>5012817.2480515204</v>
      </c>
      <c r="O49" s="474">
        <f t="shared" si="3"/>
        <v>4153477.1483855518</v>
      </c>
    </row>
    <row r="50" spans="1:15" ht="15" hidden="1" outlineLevel="1">
      <c r="A50" s="427"/>
      <c r="B50" s="447">
        <v>42551</v>
      </c>
      <c r="C50" s="447"/>
      <c r="D50" s="417"/>
      <c r="E50" s="450">
        <f t="shared" si="4"/>
        <v>12436306.870425021</v>
      </c>
      <c r="F50" s="450">
        <f t="shared" si="13"/>
        <v>12436306.870425018</v>
      </c>
      <c r="G50" s="417">
        <f t="shared" si="12"/>
        <v>220343.61529896801</v>
      </c>
      <c r="H50" s="450">
        <f t="shared" si="5"/>
        <v>-6266685.6420539133</v>
      </c>
      <c r="I50" s="450">
        <f t="shared" si="14"/>
        <v>-4944623.9502601065</v>
      </c>
      <c r="J50" s="450">
        <f t="shared" si="7"/>
        <v>7491682.9201649111</v>
      </c>
      <c r="K50" s="450">
        <f t="shared" si="1"/>
        <v>77120.265354638803</v>
      </c>
      <c r="L50" s="454">
        <f t="shared" si="0"/>
        <v>-2159367.4299298851</v>
      </c>
      <c r="M50" s="450">
        <f t="shared" si="15"/>
        <v>-2622089.0220577186</v>
      </c>
      <c r="N50" s="452">
        <f t="shared" si="16"/>
        <v>4869593.8981071925</v>
      </c>
      <c r="O50" s="474">
        <f t="shared" si="3"/>
        <v>4010253.7984412229</v>
      </c>
    </row>
    <row r="51" spans="1:15" ht="15" hidden="1" outlineLevel="1">
      <c r="A51" s="427"/>
      <c r="B51" s="447">
        <v>42582</v>
      </c>
      <c r="C51" s="447"/>
      <c r="D51" s="417"/>
      <c r="E51" s="450">
        <f t="shared" si="4"/>
        <v>12436306.870425021</v>
      </c>
      <c r="F51" s="450">
        <f t="shared" si="13"/>
        <v>12436306.870425018</v>
      </c>
      <c r="G51" s="417">
        <f t="shared" si="12"/>
        <v>220343.61529896801</v>
      </c>
      <c r="H51" s="450">
        <f t="shared" si="5"/>
        <v>-6487029.2573528811</v>
      </c>
      <c r="I51" s="450">
        <f t="shared" si="14"/>
        <v>-5164967.5655590743</v>
      </c>
      <c r="J51" s="450">
        <f t="shared" si="7"/>
        <v>7271339.3048659433</v>
      </c>
      <c r="K51" s="450">
        <f t="shared" si="1"/>
        <v>77120.265354638803</v>
      </c>
      <c r="L51" s="454">
        <f t="shared" si="0"/>
        <v>-2082247.1645752462</v>
      </c>
      <c r="M51" s="450">
        <f t="shared" si="15"/>
        <v>-2544968.7567030797</v>
      </c>
      <c r="N51" s="452">
        <f t="shared" si="16"/>
        <v>4726370.5481628636</v>
      </c>
      <c r="O51" s="451">
        <f t="shared" si="3"/>
        <v>3867030.448496894</v>
      </c>
    </row>
    <row r="52" spans="1:15" ht="15" hidden="1" outlineLevel="1">
      <c r="A52" s="427"/>
      <c r="B52" s="447">
        <v>42613</v>
      </c>
      <c r="C52" s="447"/>
      <c r="D52" s="417"/>
      <c r="E52" s="450">
        <f t="shared" si="4"/>
        <v>12436306.870425021</v>
      </c>
      <c r="F52" s="450">
        <f t="shared" si="13"/>
        <v>12436306.870425018</v>
      </c>
      <c r="G52" s="417">
        <f t="shared" si="12"/>
        <v>220343.61529896801</v>
      </c>
      <c r="H52" s="450">
        <f t="shared" si="5"/>
        <v>-6707372.8726518489</v>
      </c>
      <c r="I52" s="450">
        <f t="shared" si="14"/>
        <v>-5385311.1808580421</v>
      </c>
      <c r="J52" s="450">
        <f t="shared" si="7"/>
        <v>7050995.6895669755</v>
      </c>
      <c r="K52" s="450">
        <f t="shared" si="1"/>
        <v>77120.265354638803</v>
      </c>
      <c r="L52" s="454">
        <f t="shared" si="0"/>
        <v>-2005126.8992206072</v>
      </c>
      <c r="M52" s="450">
        <f t="shared" si="15"/>
        <v>-2467848.4913484408</v>
      </c>
      <c r="N52" s="452">
        <f t="shared" si="16"/>
        <v>4583147.1982185347</v>
      </c>
      <c r="O52" s="474">
        <f t="shared" si="3"/>
        <v>3723807.0985525651</v>
      </c>
    </row>
    <row r="53" spans="1:15" ht="15" hidden="1" outlineLevel="1">
      <c r="A53" s="427"/>
      <c r="B53" s="447">
        <v>42643</v>
      </c>
      <c r="C53" s="447"/>
      <c r="D53" s="417"/>
      <c r="E53" s="450">
        <f t="shared" si="4"/>
        <v>12436306.870425021</v>
      </c>
      <c r="F53" s="450">
        <f t="shared" si="13"/>
        <v>12436306.870425018</v>
      </c>
      <c r="G53" s="417">
        <f t="shared" si="12"/>
        <v>220343.61529896801</v>
      </c>
      <c r="H53" s="450">
        <f t="shared" si="5"/>
        <v>-6927716.4879508168</v>
      </c>
      <c r="I53" s="450">
        <f t="shared" si="14"/>
        <v>-5605654.7961570099</v>
      </c>
      <c r="J53" s="450">
        <f t="shared" si="7"/>
        <v>6830652.0742680077</v>
      </c>
      <c r="K53" s="450">
        <f t="shared" si="1"/>
        <v>77120.265354638803</v>
      </c>
      <c r="L53" s="454">
        <f t="shared" si="0"/>
        <v>-1928006.6338659683</v>
      </c>
      <c r="M53" s="450">
        <f t="shared" si="15"/>
        <v>-2390728.2259938018</v>
      </c>
      <c r="N53" s="452">
        <f t="shared" si="16"/>
        <v>4439923.8482742058</v>
      </c>
      <c r="O53" s="474">
        <f t="shared" si="3"/>
        <v>3580583.7486082362</v>
      </c>
    </row>
    <row r="54" spans="1:15" ht="15" hidden="1" outlineLevel="1">
      <c r="A54" s="427"/>
      <c r="B54" s="447">
        <v>42674</v>
      </c>
      <c r="C54" s="447"/>
      <c r="D54" s="417"/>
      <c r="E54" s="450">
        <f t="shared" si="4"/>
        <v>12436306.870425021</v>
      </c>
      <c r="F54" s="450">
        <f t="shared" si="13"/>
        <v>12436306.870425018</v>
      </c>
      <c r="G54" s="417">
        <f t="shared" si="12"/>
        <v>220343.61529896801</v>
      </c>
      <c r="H54" s="450">
        <f t="shared" si="5"/>
        <v>-7148060.1032497846</v>
      </c>
      <c r="I54" s="450">
        <f t="shared" si="14"/>
        <v>-5825998.4114559777</v>
      </c>
      <c r="J54" s="450">
        <f t="shared" si="7"/>
        <v>6610308.4589690398</v>
      </c>
      <c r="K54" s="450">
        <f t="shared" si="1"/>
        <v>77120.265354638803</v>
      </c>
      <c r="L54" s="454">
        <f t="shared" si="0"/>
        <v>-1850886.3685113294</v>
      </c>
      <c r="M54" s="450">
        <f t="shared" si="15"/>
        <v>-2313607.9606391629</v>
      </c>
      <c r="N54" s="452">
        <f t="shared" si="16"/>
        <v>4296700.4983298769</v>
      </c>
      <c r="O54" s="474">
        <f t="shared" si="3"/>
        <v>3437360.3986639073</v>
      </c>
    </row>
    <row r="55" spans="1:15" ht="15" hidden="1" outlineLevel="1">
      <c r="A55" s="427"/>
      <c r="B55" s="447">
        <v>42704</v>
      </c>
      <c r="C55" s="447"/>
      <c r="D55" s="417"/>
      <c r="E55" s="450">
        <f t="shared" si="4"/>
        <v>12436306.870425021</v>
      </c>
      <c r="F55" s="450">
        <f t="shared" si="13"/>
        <v>12436306.870425018</v>
      </c>
      <c r="G55" s="417">
        <f t="shared" si="12"/>
        <v>220343.61529896801</v>
      </c>
      <c r="H55" s="450">
        <f t="shared" si="5"/>
        <v>-7368403.7185487524</v>
      </c>
      <c r="I55" s="450">
        <f t="shared" si="14"/>
        <v>-6046342.0267549455</v>
      </c>
      <c r="J55" s="450">
        <f t="shared" si="7"/>
        <v>6389964.843670072</v>
      </c>
      <c r="K55" s="450">
        <f t="shared" si="1"/>
        <v>77120.265354638803</v>
      </c>
      <c r="L55" s="454">
        <f t="shared" si="0"/>
        <v>-1773766.1031566905</v>
      </c>
      <c r="M55" s="450">
        <f t="shared" si="15"/>
        <v>-2236487.695284524</v>
      </c>
      <c r="N55" s="452">
        <f t="shared" si="16"/>
        <v>4153477.148385548</v>
      </c>
      <c r="O55" s="474">
        <f t="shared" si="3"/>
        <v>3294137.0487195784</v>
      </c>
    </row>
    <row r="56" spans="1:15" ht="15" hidden="1" outlineLevel="1">
      <c r="A56" s="455"/>
      <c r="B56" s="447">
        <v>42735</v>
      </c>
      <c r="C56" s="683"/>
      <c r="D56" s="683"/>
      <c r="E56" s="450">
        <f t="shared" si="4"/>
        <v>12436306.870425021</v>
      </c>
      <c r="F56" s="450">
        <f t="shared" si="13"/>
        <v>12436306.870425018</v>
      </c>
      <c r="G56" s="417">
        <f t="shared" si="12"/>
        <v>220343.61529896801</v>
      </c>
      <c r="H56" s="450">
        <f t="shared" si="5"/>
        <v>-7588747.3338477202</v>
      </c>
      <c r="I56" s="450">
        <f t="shared" si="14"/>
        <v>-6266685.6420539133</v>
      </c>
      <c r="J56" s="450">
        <f t="shared" si="7"/>
        <v>6169621.2283711042</v>
      </c>
      <c r="K56" s="450">
        <f t="shared" si="1"/>
        <v>77120.265354638803</v>
      </c>
      <c r="L56" s="454">
        <f t="shared" si="0"/>
        <v>-1696645.8378020516</v>
      </c>
      <c r="M56" s="450">
        <f t="shared" si="15"/>
        <v>-2159367.4299298851</v>
      </c>
      <c r="N56" s="452">
        <f t="shared" si="16"/>
        <v>4010253.7984412191</v>
      </c>
      <c r="O56" s="474">
        <f t="shared" si="3"/>
        <v>3150913.6987752495</v>
      </c>
    </row>
    <row r="57" spans="1:15" ht="15" hidden="1" outlineLevel="1">
      <c r="A57" s="455"/>
      <c r="B57" s="447">
        <v>42766</v>
      </c>
      <c r="C57" s="683"/>
      <c r="D57" s="683"/>
      <c r="E57" s="450">
        <f t="shared" si="4"/>
        <v>12436306.870425021</v>
      </c>
      <c r="F57" s="450">
        <f t="shared" si="13"/>
        <v>12436306.870425018</v>
      </c>
      <c r="G57" s="417">
        <f t="shared" si="12"/>
        <v>220343.61529896801</v>
      </c>
      <c r="H57" s="450">
        <f t="shared" si="5"/>
        <v>-7809090.949146688</v>
      </c>
      <c r="I57" s="450">
        <f t="shared" si="14"/>
        <v>-6487029.2573528811</v>
      </c>
      <c r="J57" s="450">
        <f t="shared" si="7"/>
        <v>5949277.6130721364</v>
      </c>
      <c r="K57" s="450">
        <f t="shared" si="1"/>
        <v>77120.265354638803</v>
      </c>
      <c r="L57" s="454">
        <f t="shared" si="0"/>
        <v>-1619525.5724474126</v>
      </c>
      <c r="M57" s="450">
        <f t="shared" si="15"/>
        <v>-2082247.1645752462</v>
      </c>
      <c r="N57" s="452">
        <f t="shared" si="16"/>
        <v>3867030.4484968903</v>
      </c>
      <c r="O57" s="474">
        <f t="shared" si="3"/>
        <v>3007690.3488309206</v>
      </c>
    </row>
    <row r="58" spans="1:15" ht="15" hidden="1" outlineLevel="1">
      <c r="A58" s="455"/>
      <c r="B58" s="447">
        <v>42794</v>
      </c>
      <c r="C58" s="683"/>
      <c r="D58" s="683"/>
      <c r="E58" s="450">
        <f t="shared" si="4"/>
        <v>12436306.870425021</v>
      </c>
      <c r="F58" s="450">
        <f t="shared" si="13"/>
        <v>12436306.870425018</v>
      </c>
      <c r="G58" s="417">
        <f t="shared" si="12"/>
        <v>220343.61529896801</v>
      </c>
      <c r="H58" s="450">
        <f t="shared" si="5"/>
        <v>-8029434.5644456558</v>
      </c>
      <c r="I58" s="450">
        <f t="shared" si="14"/>
        <v>-6707372.8726518489</v>
      </c>
      <c r="J58" s="450">
        <f t="shared" si="7"/>
        <v>5728933.9977731686</v>
      </c>
      <c r="K58" s="450">
        <f t="shared" si="1"/>
        <v>77120.265354638803</v>
      </c>
      <c r="L58" s="454">
        <f t="shared" si="0"/>
        <v>-1542405.3070927737</v>
      </c>
      <c r="M58" s="450">
        <f t="shared" si="15"/>
        <v>-2005126.8992206072</v>
      </c>
      <c r="N58" s="452">
        <f t="shared" si="16"/>
        <v>3723807.0985525614</v>
      </c>
      <c r="O58" s="474">
        <f t="shared" si="3"/>
        <v>2864466.9988865918</v>
      </c>
    </row>
    <row r="59" spans="1:15" ht="15" hidden="1" outlineLevel="1">
      <c r="A59" s="455"/>
      <c r="B59" s="447">
        <v>42825</v>
      </c>
      <c r="C59" s="456"/>
      <c r="D59" s="456"/>
      <c r="E59" s="450">
        <f t="shared" si="4"/>
        <v>12436306.870425021</v>
      </c>
      <c r="F59" s="450">
        <f t="shared" si="13"/>
        <v>12436306.870425018</v>
      </c>
      <c r="G59" s="417">
        <f t="shared" si="12"/>
        <v>220343.61529896801</v>
      </c>
      <c r="H59" s="450">
        <f t="shared" si="5"/>
        <v>-8249778.1797446236</v>
      </c>
      <c r="I59" s="450">
        <f t="shared" si="14"/>
        <v>-6927716.4879508177</v>
      </c>
      <c r="J59" s="450">
        <f t="shared" si="7"/>
        <v>5508590.3824741999</v>
      </c>
      <c r="K59" s="450">
        <f t="shared" si="1"/>
        <v>77120.265354638803</v>
      </c>
      <c r="L59" s="454">
        <f t="shared" si="0"/>
        <v>-1465285.0417381348</v>
      </c>
      <c r="M59" s="450">
        <f t="shared" si="15"/>
        <v>-1928006.6338659683</v>
      </c>
      <c r="N59" s="452">
        <f t="shared" si="16"/>
        <v>3580583.7486082315</v>
      </c>
      <c r="O59" s="451">
        <f t="shared" si="3"/>
        <v>2721243.6489422629</v>
      </c>
    </row>
    <row r="60" spans="1:15" ht="15" hidden="1" outlineLevel="1">
      <c r="A60" s="455"/>
      <c r="B60" s="447">
        <v>42855</v>
      </c>
      <c r="C60" s="456"/>
      <c r="D60" s="456"/>
      <c r="E60" s="450">
        <f t="shared" si="4"/>
        <v>12436306.870425021</v>
      </c>
      <c r="F60" s="450">
        <f t="shared" si="13"/>
        <v>12436306.870425018</v>
      </c>
      <c r="G60" s="417">
        <f t="shared" si="12"/>
        <v>220343.61529896801</v>
      </c>
      <c r="H60" s="450">
        <f t="shared" si="5"/>
        <v>-8470121.7950435914</v>
      </c>
      <c r="I60" s="450">
        <f t="shared" si="14"/>
        <v>-7148060.1032497855</v>
      </c>
      <c r="J60" s="450">
        <f t="shared" si="7"/>
        <v>5288246.7671752321</v>
      </c>
      <c r="K60" s="450">
        <f t="shared" si="1"/>
        <v>77120.265354638803</v>
      </c>
      <c r="L60" s="454">
        <f t="shared" si="0"/>
        <v>-1388164.7763834959</v>
      </c>
      <c r="M60" s="450">
        <f t="shared" si="15"/>
        <v>-1850886.3685113294</v>
      </c>
      <c r="N60" s="452">
        <f t="shared" si="16"/>
        <v>3437360.3986639027</v>
      </c>
      <c r="O60" s="451">
        <f t="shared" si="3"/>
        <v>2578020.298997934</v>
      </c>
    </row>
    <row r="61" spans="1:15" ht="15" hidden="1" outlineLevel="1">
      <c r="A61" s="455"/>
      <c r="B61" s="447">
        <v>42886</v>
      </c>
      <c r="C61" s="456"/>
      <c r="D61" s="456"/>
      <c r="E61" s="450">
        <f t="shared" si="4"/>
        <v>12436306.870425021</v>
      </c>
      <c r="F61" s="450">
        <f t="shared" si="13"/>
        <v>12436306.870425018</v>
      </c>
      <c r="G61" s="417">
        <f t="shared" si="12"/>
        <v>220343.61529896801</v>
      </c>
      <c r="H61" s="450">
        <f t="shared" si="5"/>
        <v>-8690465.4103425592</v>
      </c>
      <c r="I61" s="450">
        <f t="shared" si="14"/>
        <v>-7368403.7185487524</v>
      </c>
      <c r="J61" s="450">
        <f t="shared" si="7"/>
        <v>5067903.1518762652</v>
      </c>
      <c r="K61" s="450">
        <f t="shared" si="1"/>
        <v>77120.265354638803</v>
      </c>
      <c r="L61" s="454">
        <f t="shared" si="0"/>
        <v>-1311044.511028857</v>
      </c>
      <c r="M61" s="450">
        <f t="shared" si="15"/>
        <v>-1773766.1031566905</v>
      </c>
      <c r="N61" s="452">
        <f t="shared" si="16"/>
        <v>3294137.0487195747</v>
      </c>
      <c r="O61" s="451">
        <f t="shared" si="3"/>
        <v>2434796.9490536051</v>
      </c>
    </row>
    <row r="62" spans="1:15" ht="15" hidden="1" outlineLevel="1">
      <c r="A62" s="455"/>
      <c r="B62" s="447">
        <v>42916</v>
      </c>
      <c r="C62" s="456"/>
      <c r="D62" s="456"/>
      <c r="E62" s="450">
        <f t="shared" si="4"/>
        <v>12436306.870425021</v>
      </c>
      <c r="F62" s="450">
        <f t="shared" si="13"/>
        <v>12436306.870425018</v>
      </c>
      <c r="G62" s="417">
        <f t="shared" si="12"/>
        <v>220343.61529896801</v>
      </c>
      <c r="H62" s="450">
        <f t="shared" si="5"/>
        <v>-8910809.025641527</v>
      </c>
      <c r="I62" s="450">
        <f t="shared" si="14"/>
        <v>-7588747.3338477202</v>
      </c>
      <c r="J62" s="450">
        <f t="shared" si="7"/>
        <v>4847559.5365772974</v>
      </c>
      <c r="K62" s="450">
        <f t="shared" si="1"/>
        <v>77120.265354638803</v>
      </c>
      <c r="L62" s="454">
        <f t="shared" si="0"/>
        <v>-1233924.2456742181</v>
      </c>
      <c r="M62" s="450">
        <f t="shared" si="15"/>
        <v>-1696645.8378020516</v>
      </c>
      <c r="N62" s="452">
        <f t="shared" si="16"/>
        <v>3150913.6987752458</v>
      </c>
      <c r="O62" s="451">
        <f t="shared" si="3"/>
        <v>2291573.5991092762</v>
      </c>
    </row>
    <row r="63" spans="1:15" ht="15" hidden="1" outlineLevel="1">
      <c r="A63" s="455"/>
      <c r="B63" s="447">
        <v>42947</v>
      </c>
      <c r="C63" s="456"/>
      <c r="D63" s="456"/>
      <c r="E63" s="450">
        <f t="shared" si="4"/>
        <v>12436306.870425021</v>
      </c>
      <c r="F63" s="450">
        <f t="shared" si="13"/>
        <v>12436306.870425018</v>
      </c>
      <c r="G63" s="417">
        <f t="shared" si="12"/>
        <v>220343.61529896801</v>
      </c>
      <c r="H63" s="450">
        <f t="shared" si="5"/>
        <v>-9131152.6409404948</v>
      </c>
      <c r="I63" s="450">
        <f t="shared" si="14"/>
        <v>-7809090.9491466889</v>
      </c>
      <c r="J63" s="450">
        <f t="shared" si="7"/>
        <v>4627215.9212783286</v>
      </c>
      <c r="K63" s="450">
        <f t="shared" si="1"/>
        <v>77120.265354638803</v>
      </c>
      <c r="L63" s="454">
        <f t="shared" si="0"/>
        <v>-1156803.9803195791</v>
      </c>
      <c r="M63" s="450">
        <f t="shared" si="15"/>
        <v>-1619525.5724474126</v>
      </c>
      <c r="N63" s="452">
        <f t="shared" si="16"/>
        <v>3007690.348830916</v>
      </c>
      <c r="O63" s="451">
        <f t="shared" si="3"/>
        <v>2148350.2491649473</v>
      </c>
    </row>
    <row r="64" spans="1:15" ht="15" hidden="1" outlineLevel="1">
      <c r="A64" s="455"/>
      <c r="B64" s="447">
        <v>42978</v>
      </c>
      <c r="C64" s="456"/>
      <c r="D64" s="456"/>
      <c r="E64" s="450">
        <f t="shared" si="4"/>
        <v>12436306.870425021</v>
      </c>
      <c r="F64" s="450">
        <f t="shared" si="13"/>
        <v>12436306.870425018</v>
      </c>
      <c r="G64" s="417">
        <f t="shared" si="12"/>
        <v>220343.61529896801</v>
      </c>
      <c r="H64" s="450">
        <f t="shared" si="5"/>
        <v>-9351496.2562394626</v>
      </c>
      <c r="I64" s="450">
        <f t="shared" si="14"/>
        <v>-8029434.5644456558</v>
      </c>
      <c r="J64" s="450">
        <f t="shared" si="7"/>
        <v>4406872.3059793618</v>
      </c>
      <c r="K64" s="450">
        <f t="shared" si="1"/>
        <v>77120.265354638803</v>
      </c>
      <c r="L64" s="454">
        <f t="shared" si="0"/>
        <v>-1079683.7149649402</v>
      </c>
      <c r="M64" s="450">
        <f t="shared" si="15"/>
        <v>-1542405.3070927737</v>
      </c>
      <c r="N64" s="452">
        <f t="shared" si="16"/>
        <v>2864466.998886588</v>
      </c>
      <c r="O64" s="451">
        <f t="shared" si="3"/>
        <v>2005126.8992206184</v>
      </c>
    </row>
    <row r="65" spans="1:15" ht="15" hidden="1" outlineLevel="1">
      <c r="A65" s="455"/>
      <c r="B65" s="447">
        <v>43008</v>
      </c>
      <c r="C65" s="456"/>
      <c r="D65" s="456"/>
      <c r="E65" s="450">
        <f t="shared" si="4"/>
        <v>12436306.870425021</v>
      </c>
      <c r="F65" s="450">
        <f t="shared" si="13"/>
        <v>12436306.870425018</v>
      </c>
      <c r="G65" s="417">
        <f t="shared" si="12"/>
        <v>220343.61529896801</v>
      </c>
      <c r="H65" s="450">
        <f t="shared" si="5"/>
        <v>-9571839.8715384305</v>
      </c>
      <c r="I65" s="450">
        <f t="shared" si="14"/>
        <v>-8249778.1797446236</v>
      </c>
      <c r="J65" s="450">
        <f t="shared" si="7"/>
        <v>4186528.6906803939</v>
      </c>
      <c r="K65" s="450">
        <f t="shared" si="1"/>
        <v>77120.265354638803</v>
      </c>
      <c r="L65" s="454">
        <f t="shared" si="0"/>
        <v>-1002563.4496103014</v>
      </c>
      <c r="M65" s="450">
        <f t="shared" si="15"/>
        <v>-1465285.0417381348</v>
      </c>
      <c r="N65" s="452">
        <f t="shared" si="16"/>
        <v>2721243.6489422591</v>
      </c>
      <c r="O65" s="451">
        <f t="shared" si="3"/>
        <v>1861903.5492762895</v>
      </c>
    </row>
    <row r="66" spans="1:15" ht="15" hidden="1" outlineLevel="1">
      <c r="A66" s="455"/>
      <c r="B66" s="447">
        <v>43039</v>
      </c>
      <c r="C66" s="456"/>
      <c r="D66" s="456"/>
      <c r="E66" s="450">
        <f t="shared" si="4"/>
        <v>12436306.870425021</v>
      </c>
      <c r="F66" s="450">
        <f t="shared" si="13"/>
        <v>12436306.870425018</v>
      </c>
      <c r="G66" s="417">
        <f t="shared" si="12"/>
        <v>220343.61529896801</v>
      </c>
      <c r="H66" s="450">
        <f t="shared" si="5"/>
        <v>-9792183.4868373983</v>
      </c>
      <c r="I66" s="450">
        <f t="shared" si="14"/>
        <v>-8470121.7950435914</v>
      </c>
      <c r="J66" s="450">
        <f t="shared" si="7"/>
        <v>3966185.0753814261</v>
      </c>
      <c r="K66" s="450">
        <f t="shared" si="1"/>
        <v>77120.265354638803</v>
      </c>
      <c r="L66" s="454">
        <f t="shared" si="0"/>
        <v>-925443.18425566261</v>
      </c>
      <c r="M66" s="450">
        <f t="shared" si="15"/>
        <v>-1388164.7763834959</v>
      </c>
      <c r="N66" s="452">
        <f t="shared" si="16"/>
        <v>2578020.2989979303</v>
      </c>
      <c r="O66" s="451">
        <f t="shared" si="3"/>
        <v>1718680.1993319604</v>
      </c>
    </row>
    <row r="67" spans="1:15" ht="15" hidden="1" outlineLevel="1">
      <c r="A67" s="455"/>
      <c r="B67" s="447">
        <v>43069</v>
      </c>
      <c r="C67" s="456"/>
      <c r="D67" s="456"/>
      <c r="E67" s="450">
        <f t="shared" si="4"/>
        <v>12436306.870425021</v>
      </c>
      <c r="F67" s="450">
        <f t="shared" si="13"/>
        <v>12436306.870425018</v>
      </c>
      <c r="G67" s="417">
        <f t="shared" si="12"/>
        <v>220343.61529896801</v>
      </c>
      <c r="H67" s="450">
        <f t="shared" si="5"/>
        <v>-10012527.102136366</v>
      </c>
      <c r="I67" s="450">
        <f t="shared" si="14"/>
        <v>-8690465.4103425611</v>
      </c>
      <c r="J67" s="450">
        <f t="shared" si="7"/>
        <v>3745841.4600824565</v>
      </c>
      <c r="K67" s="450">
        <f t="shared" si="1"/>
        <v>77120.265354638803</v>
      </c>
      <c r="L67" s="454">
        <f t="shared" si="0"/>
        <v>-848322.9189010238</v>
      </c>
      <c r="M67" s="450">
        <f t="shared" si="15"/>
        <v>-1311044.5110288572</v>
      </c>
      <c r="N67" s="452">
        <f t="shared" si="16"/>
        <v>2434796.9490535995</v>
      </c>
      <c r="O67" s="451">
        <f t="shared" si="3"/>
        <v>1575456.8493876313</v>
      </c>
    </row>
    <row r="68" spans="1:15" ht="15" hidden="1" outlineLevel="1">
      <c r="A68" s="455"/>
      <c r="B68" s="447">
        <v>43100</v>
      </c>
      <c r="C68" s="456"/>
      <c r="D68" s="456"/>
      <c r="E68" s="450">
        <f t="shared" si="4"/>
        <v>12436306.870425021</v>
      </c>
      <c r="F68" s="450">
        <f t="shared" si="13"/>
        <v>12436306.870425018</v>
      </c>
      <c r="G68" s="417">
        <f t="shared" si="12"/>
        <v>220343.61529896801</v>
      </c>
      <c r="H68" s="450">
        <f t="shared" si="5"/>
        <v>-10232870.717435334</v>
      </c>
      <c r="I68" s="450">
        <f t="shared" si="14"/>
        <v>-8910809.0256415289</v>
      </c>
      <c r="J68" s="450">
        <f t="shared" si="7"/>
        <v>3525497.8447834887</v>
      </c>
      <c r="K68" s="450">
        <v>-962826</v>
      </c>
      <c r="L68" s="454">
        <f t="shared" si="0"/>
        <v>-1811148.9189010239</v>
      </c>
      <c r="M68" s="450">
        <f t="shared" si="15"/>
        <v>-1277255.340063995</v>
      </c>
      <c r="N68" s="452">
        <f t="shared" si="16"/>
        <v>2248242.5047194939</v>
      </c>
      <c r="O68" s="451">
        <f t="shared" si="3"/>
        <v>392287.23408866348</v>
      </c>
    </row>
    <row r="69" spans="1:15" s="81" customFormat="1" ht="15" collapsed="1">
      <c r="A69" s="427"/>
      <c r="B69" s="447">
        <v>43131</v>
      </c>
      <c r="C69" s="683"/>
      <c r="D69" s="683"/>
      <c r="E69" s="512">
        <f t="shared" si="4"/>
        <v>12436306.870425021</v>
      </c>
      <c r="F69" s="512">
        <f t="shared" si="13"/>
        <v>12436306.870425018</v>
      </c>
      <c r="G69" s="417">
        <f t="shared" si="12"/>
        <v>220343.61529896801</v>
      </c>
      <c r="H69" s="512">
        <f t="shared" si="5"/>
        <v>-10453214.332734302</v>
      </c>
      <c r="I69" s="512">
        <f t="shared" si="14"/>
        <v>-9131152.6409404948</v>
      </c>
      <c r="J69" s="512">
        <f t="shared" si="7"/>
        <v>3305154.2294845227</v>
      </c>
      <c r="K69" s="512">
        <v>72630</v>
      </c>
      <c r="L69" s="475">
        <f t="shared" si="0"/>
        <v>-1738518.9189010239</v>
      </c>
      <c r="M69" s="512">
        <f t="shared" si="15"/>
        <v>-1286984.3578786862</v>
      </c>
      <c r="N69" s="513">
        <f t="shared" si="16"/>
        <v>2018169.8716058366</v>
      </c>
      <c r="O69" s="474">
        <f t="shared" si="3"/>
        <v>244573.61878969567</v>
      </c>
    </row>
    <row r="70" spans="1:15" s="81" customFormat="1" ht="15">
      <c r="A70" s="427"/>
      <c r="B70" s="447">
        <v>43159</v>
      </c>
      <c r="C70" s="683"/>
      <c r="D70" s="683"/>
      <c r="E70" s="512">
        <f t="shared" si="4"/>
        <v>12436306.870425021</v>
      </c>
      <c r="F70" s="512">
        <f t="shared" si="13"/>
        <v>12436306.870425018</v>
      </c>
      <c r="G70" s="417">
        <f t="shared" si="12"/>
        <v>220343.61529896801</v>
      </c>
      <c r="H70" s="512">
        <f t="shared" si="5"/>
        <v>-10673557.948033269</v>
      </c>
      <c r="I70" s="512">
        <f t="shared" si="14"/>
        <v>-9351496.2562394608</v>
      </c>
      <c r="J70" s="512">
        <f t="shared" si="7"/>
        <v>3084810.6141855568</v>
      </c>
      <c r="K70" s="512">
        <v>71228.009999999995</v>
      </c>
      <c r="L70" s="475">
        <f t="shared" si="0"/>
        <v>-1667290.9089010239</v>
      </c>
      <c r="M70" s="512">
        <f t="shared" si="15"/>
        <v>-1297145.9807229303</v>
      </c>
      <c r="N70" s="513">
        <f t="shared" si="16"/>
        <v>1787664.6334626265</v>
      </c>
      <c r="O70" s="474">
        <f t="shared" si="3"/>
        <v>95458.01349072787</v>
      </c>
    </row>
    <row r="71" spans="1:15" s="81" customFormat="1" ht="15">
      <c r="A71" s="427"/>
      <c r="B71" s="447">
        <v>43190</v>
      </c>
      <c r="C71" s="683"/>
      <c r="D71" s="683"/>
      <c r="E71" s="512">
        <f t="shared" si="4"/>
        <v>12436306.870425021</v>
      </c>
      <c r="F71" s="512">
        <f t="shared" si="13"/>
        <v>12436306.870425018</v>
      </c>
      <c r="G71" s="417">
        <f t="shared" si="12"/>
        <v>220343.61529896801</v>
      </c>
      <c r="H71" s="512">
        <f t="shared" si="5"/>
        <v>-10893901.563332237</v>
      </c>
      <c r="I71" s="512">
        <f t="shared" si="14"/>
        <v>-9571839.8715384323</v>
      </c>
      <c r="J71" s="512">
        <f t="shared" si="7"/>
        <v>2864466.9988865852</v>
      </c>
      <c r="K71" s="512">
        <v>71228.009999999995</v>
      </c>
      <c r="L71" s="475">
        <f t="shared" si="0"/>
        <v>-1596062.8989010239</v>
      </c>
      <c r="M71" s="512">
        <f t="shared" si="15"/>
        <v>-1307798.6248467276</v>
      </c>
      <c r="N71" s="513">
        <f t="shared" si="16"/>
        <v>1556668.3740398576</v>
      </c>
      <c r="O71" s="474">
        <f t="shared" si="3"/>
        <v>-53657.591808239929</v>
      </c>
    </row>
    <row r="72" spans="1:15" s="81" customFormat="1" ht="15">
      <c r="A72" s="427"/>
      <c r="B72" s="447">
        <v>43220</v>
      </c>
      <c r="C72" s="683"/>
      <c r="D72" s="683"/>
      <c r="E72" s="512">
        <f t="shared" si="4"/>
        <v>12436306.870425021</v>
      </c>
      <c r="F72" s="512">
        <f t="shared" si="13"/>
        <v>12436306.870425018</v>
      </c>
      <c r="G72" s="417">
        <f t="shared" si="12"/>
        <v>220343.61529896801</v>
      </c>
      <c r="H72" s="512">
        <f t="shared" si="5"/>
        <v>-11114245.178631205</v>
      </c>
      <c r="I72" s="512">
        <f t="shared" si="14"/>
        <v>-9792183.4868373983</v>
      </c>
      <c r="J72" s="512">
        <f t="shared" si="7"/>
        <v>2644123.3835876193</v>
      </c>
      <c r="K72" s="512">
        <v>71228.009999999995</v>
      </c>
      <c r="L72" s="475">
        <f t="shared" si="0"/>
        <v>-1524834.8889010239</v>
      </c>
      <c r="M72" s="512">
        <f t="shared" si="15"/>
        <v>-1318942.2902500781</v>
      </c>
      <c r="N72" s="513">
        <f t="shared" si="16"/>
        <v>1325181.0933375412</v>
      </c>
      <c r="O72" s="474">
        <f t="shared" si="3"/>
        <v>-202773.19710720773</v>
      </c>
    </row>
    <row r="73" spans="1:15" s="81" customFormat="1" ht="15">
      <c r="A73" s="427"/>
      <c r="B73" s="447">
        <v>43251</v>
      </c>
      <c r="C73" s="683"/>
      <c r="D73" s="683"/>
      <c r="E73" s="512">
        <f t="shared" si="4"/>
        <v>12436306.870425021</v>
      </c>
      <c r="F73" s="512">
        <f t="shared" si="13"/>
        <v>12436306.870425018</v>
      </c>
      <c r="G73" s="417">
        <f t="shared" si="12"/>
        <v>220343.61529896801</v>
      </c>
      <c r="H73" s="512">
        <f t="shared" si="5"/>
        <v>-11334588.793930173</v>
      </c>
      <c r="I73" s="512">
        <f t="shared" si="14"/>
        <v>-10012527.102136366</v>
      </c>
      <c r="J73" s="512">
        <f t="shared" si="7"/>
        <v>2423779.7682886515</v>
      </c>
      <c r="K73" s="512">
        <v>18370.63</v>
      </c>
      <c r="L73" s="475">
        <f t="shared" si="0"/>
        <v>-1506464.258901024</v>
      </c>
      <c r="M73" s="512">
        <f t="shared" si="15"/>
        <v>-1332779.3677663154</v>
      </c>
      <c r="N73" s="513">
        <f t="shared" si="16"/>
        <v>1091000.4005223361</v>
      </c>
      <c r="O73" s="474">
        <f t="shared" si="3"/>
        <v>-404746.18240617565</v>
      </c>
    </row>
    <row r="74" spans="1:15" s="81" customFormat="1" ht="15">
      <c r="A74" s="427"/>
      <c r="B74" s="447">
        <v>43281</v>
      </c>
      <c r="C74" s="683"/>
      <c r="D74" s="683"/>
      <c r="E74" s="512">
        <f t="shared" si="4"/>
        <v>12436306.870425021</v>
      </c>
      <c r="F74" s="512">
        <f t="shared" si="13"/>
        <v>12436306.870425018</v>
      </c>
      <c r="G74" s="417">
        <f t="shared" si="12"/>
        <v>220343.61529896801</v>
      </c>
      <c r="H74" s="512">
        <f t="shared" si="5"/>
        <v>-11554932.409229141</v>
      </c>
      <c r="I74" s="512">
        <f t="shared" si="14"/>
        <v>-10232870.717435334</v>
      </c>
      <c r="J74" s="512">
        <f t="shared" si="7"/>
        <v>2203436.1529896837</v>
      </c>
      <c r="K74" s="512">
        <v>60774</v>
      </c>
      <c r="L74" s="475">
        <f t="shared" si="0"/>
        <v>-1445690.258901024</v>
      </c>
      <c r="M74" s="512">
        <f t="shared" si="15"/>
        <v>-1349745.4411454392</v>
      </c>
      <c r="N74" s="513">
        <f t="shared" si="16"/>
        <v>853690.71184424451</v>
      </c>
      <c r="O74" s="474">
        <f t="shared" si="3"/>
        <v>-564315.79770514346</v>
      </c>
    </row>
    <row r="75" spans="1:15" s="81" customFormat="1" ht="15">
      <c r="A75" s="427"/>
      <c r="B75" s="447">
        <v>43312</v>
      </c>
      <c r="C75" s="683"/>
      <c r="D75" s="683"/>
      <c r="E75" s="512">
        <f t="shared" si="4"/>
        <v>12436306.870425021</v>
      </c>
      <c r="F75" s="512">
        <f t="shared" si="13"/>
        <v>12436306.870425018</v>
      </c>
      <c r="G75" s="417">
        <f t="shared" si="12"/>
        <v>220343.61529896801</v>
      </c>
      <c r="H75" s="512">
        <f t="shared" si="5"/>
        <v>-11775276.024528109</v>
      </c>
      <c r="I75" s="512">
        <f t="shared" si="14"/>
        <v>-10453214.332734304</v>
      </c>
      <c r="J75" s="512">
        <f t="shared" si="7"/>
        <v>1983092.537690714</v>
      </c>
      <c r="K75" s="512">
        <v>998394</v>
      </c>
      <c r="L75" s="475">
        <f t="shared" ref="L75:L102" si="17">L74+K75</f>
        <v>-447296.258901024</v>
      </c>
      <c r="M75" s="512">
        <f t="shared" si="15"/>
        <v>-1329006.2033041164</v>
      </c>
      <c r="N75" s="513">
        <f t="shared" si="16"/>
        <v>654086.33438659762</v>
      </c>
      <c r="O75" s="474">
        <f t="shared" si="3"/>
        <v>213734.58699588873</v>
      </c>
    </row>
    <row r="76" spans="1:15" s="81" customFormat="1" ht="15">
      <c r="A76" s="427"/>
      <c r="B76" s="447">
        <v>43343</v>
      </c>
      <c r="C76" s="683"/>
      <c r="D76" s="683"/>
      <c r="E76" s="512">
        <f t="shared" si="4"/>
        <v>12436306.870425021</v>
      </c>
      <c r="F76" s="512">
        <f t="shared" si="13"/>
        <v>12436306.870425018</v>
      </c>
      <c r="G76" s="417">
        <f t="shared" si="12"/>
        <v>220343.61529896801</v>
      </c>
      <c r="H76" s="512">
        <f t="shared" si="5"/>
        <v>-11995619.639827076</v>
      </c>
      <c r="I76" s="512">
        <f t="shared" si="14"/>
        <v>-10673557.948033271</v>
      </c>
      <c r="J76" s="512">
        <f>F76+I76</f>
        <v>1762748.9223917462</v>
      </c>
      <c r="K76" s="512">
        <f>(-D76*0.21)+(G76*0.21)</f>
        <v>46272.159212783277</v>
      </c>
      <c r="L76" s="475">
        <f t="shared" si="17"/>
        <v>-401024.09968824073</v>
      </c>
      <c r="M76" s="512">
        <f t="shared" si="15"/>
        <v>-1271165.8976084809</v>
      </c>
      <c r="N76" s="513">
        <f t="shared" si="16"/>
        <v>491583.02478326531</v>
      </c>
      <c r="O76" s="474">
        <f t="shared" si="3"/>
        <v>39663.130909704196</v>
      </c>
    </row>
    <row r="77" spans="1:15" s="81" customFormat="1" ht="15">
      <c r="A77" s="427"/>
      <c r="B77" s="447">
        <v>43373</v>
      </c>
      <c r="C77" s="683"/>
      <c r="D77" s="683"/>
      <c r="E77" s="512">
        <f t="shared" si="4"/>
        <v>12436306.870425021</v>
      </c>
      <c r="F77" s="512">
        <f t="shared" si="13"/>
        <v>12436306.870425018</v>
      </c>
      <c r="G77" s="417">
        <f t="shared" si="12"/>
        <v>220343.61529896801</v>
      </c>
      <c r="H77" s="512">
        <f t="shared" si="5"/>
        <v>-12215963.255126044</v>
      </c>
      <c r="I77" s="512">
        <f t="shared" si="14"/>
        <v>-10893901.563332237</v>
      </c>
      <c r="J77" s="512">
        <f t="shared" si="7"/>
        <v>1542405.3070927802</v>
      </c>
      <c r="K77" s="512">
        <f>(-D77*0.21)+(G77*0.21)</f>
        <v>46272.159212783277</v>
      </c>
      <c r="L77" s="475">
        <f t="shared" si="17"/>
        <v>-354751.94047545746</v>
      </c>
      <c r="M77" s="512">
        <f t="shared" si="15"/>
        <v>-1215896.2674246666</v>
      </c>
      <c r="N77" s="513">
        <f t="shared" si="16"/>
        <v>326509.03966811369</v>
      </c>
      <c r="O77" s="474">
        <f t="shared" ref="O77:O102" si="18">+E77+H77+L77</f>
        <v>-134408.32517648034</v>
      </c>
    </row>
    <row r="78" spans="1:15" s="81" customFormat="1" ht="15">
      <c r="A78" s="427"/>
      <c r="B78" s="447">
        <v>43404</v>
      </c>
      <c r="C78" s="683"/>
      <c r="D78" s="683"/>
      <c r="E78" s="512">
        <f t="shared" ref="E78:E102" si="19">E77+D78</f>
        <v>12436306.870425021</v>
      </c>
      <c r="F78" s="512">
        <f t="shared" si="13"/>
        <v>12436306.870425018</v>
      </c>
      <c r="G78" s="417">
        <f>+G77</f>
        <v>220343.61529896801</v>
      </c>
      <c r="H78" s="512">
        <f t="shared" si="5"/>
        <v>-12436306.870425012</v>
      </c>
      <c r="I78" s="512">
        <f t="shared" si="14"/>
        <v>-11114245.178631203</v>
      </c>
      <c r="J78" s="512">
        <f>F78+I78</f>
        <v>1322061.6917938143</v>
      </c>
      <c r="K78" s="512">
        <v>46268</v>
      </c>
      <c r="L78" s="475">
        <f t="shared" si="17"/>
        <v>-308483.94047545746</v>
      </c>
      <c r="M78" s="512">
        <f t="shared" si="15"/>
        <v>-1163197.4860532063</v>
      </c>
      <c r="N78" s="513">
        <f t="shared" si="16"/>
        <v>158864.20574060804</v>
      </c>
      <c r="O78" s="474">
        <f t="shared" si="18"/>
        <v>-308483.94047544815</v>
      </c>
    </row>
    <row r="79" spans="1:15" s="81" customFormat="1" ht="15">
      <c r="A79" s="427"/>
      <c r="B79" s="447">
        <v>43434</v>
      </c>
      <c r="C79" s="683"/>
      <c r="D79" s="683"/>
      <c r="E79" s="512">
        <f t="shared" si="19"/>
        <v>12436306.870425021</v>
      </c>
      <c r="F79" s="512">
        <f t="shared" si="13"/>
        <v>12436306.870425018</v>
      </c>
      <c r="G79" s="417">
        <v>0</v>
      </c>
      <c r="H79" s="512">
        <f t="shared" si="5"/>
        <v>-12436306.870425012</v>
      </c>
      <c r="I79" s="512">
        <f t="shared" si="14"/>
        <v>-11325407.809959384</v>
      </c>
      <c r="J79" s="512">
        <f t="shared" si="7"/>
        <v>1110899.0604656339</v>
      </c>
      <c r="K79" s="512">
        <f t="shared" ref="K79:K85" si="20">(-D79*0.21)+(G79*0.21)</f>
        <v>0</v>
      </c>
      <c r="L79" s="475">
        <f t="shared" si="17"/>
        <v>-308483.94047545746</v>
      </c>
      <c r="M79" s="512">
        <f t="shared" si="15"/>
        <v>-1114997.5601279659</v>
      </c>
      <c r="N79" s="513">
        <f t="shared" si="16"/>
        <v>-4098.4996623320039</v>
      </c>
      <c r="O79" s="474">
        <f t="shared" si="18"/>
        <v>-308483.94047544815</v>
      </c>
    </row>
    <row r="80" spans="1:15" s="81" customFormat="1" ht="15">
      <c r="A80" s="427"/>
      <c r="B80" s="447">
        <v>43465</v>
      </c>
      <c r="C80" s="683"/>
      <c r="D80" s="683"/>
      <c r="E80" s="512">
        <f t="shared" si="19"/>
        <v>12436306.870425021</v>
      </c>
      <c r="F80" s="512">
        <f t="shared" si="13"/>
        <v>12436306.870425018</v>
      </c>
      <c r="G80" s="417"/>
      <c r="H80" s="512">
        <f t="shared" si="5"/>
        <v>-12436306.870425012</v>
      </c>
      <c r="I80" s="512">
        <f t="shared" si="14"/>
        <v>-11518208.47334598</v>
      </c>
      <c r="J80" s="512">
        <f t="shared" si="7"/>
        <v>918098.3970790375</v>
      </c>
      <c r="K80" s="512">
        <f t="shared" si="20"/>
        <v>0</v>
      </c>
      <c r="L80" s="475">
        <f t="shared" si="17"/>
        <v>-308483.94047545746</v>
      </c>
      <c r="M80" s="512">
        <f t="shared" si="15"/>
        <v>-1029893.2285925021</v>
      </c>
      <c r="N80" s="513">
        <f t="shared" si="16"/>
        <v>-111794.83151346457</v>
      </c>
      <c r="O80" s="474">
        <f t="shared" si="18"/>
        <v>-308483.94047544815</v>
      </c>
    </row>
    <row r="81" spans="1:15" ht="15">
      <c r="A81" s="455"/>
      <c r="B81" s="447">
        <v>43496</v>
      </c>
      <c r="C81" s="456"/>
      <c r="D81" s="456"/>
      <c r="E81" s="450">
        <f t="shared" si="19"/>
        <v>12436306.870425021</v>
      </c>
      <c r="F81" s="450">
        <f t="shared" si="13"/>
        <v>12436306.870425018</v>
      </c>
      <c r="G81" s="417"/>
      <c r="H81" s="450">
        <f t="shared" si="5"/>
        <v>-12436306.870425012</v>
      </c>
      <c r="I81" s="450">
        <f t="shared" si="14"/>
        <v>-11692647.168790996</v>
      </c>
      <c r="J81" s="450">
        <f t="shared" si="7"/>
        <v>743659.70163402148</v>
      </c>
      <c r="K81" s="450">
        <f t="shared" si="20"/>
        <v>0</v>
      </c>
      <c r="L81" s="454">
        <f t="shared" si="17"/>
        <v>-308483.94047545746</v>
      </c>
      <c r="M81" s="450">
        <f t="shared" si="15"/>
        <v>-907697.39705703827</v>
      </c>
      <c r="N81" s="452">
        <f t="shared" si="16"/>
        <v>-164037.69542301679</v>
      </c>
      <c r="O81" s="474">
        <f t="shared" si="18"/>
        <v>-308483.94047544815</v>
      </c>
    </row>
    <row r="82" spans="1:15" ht="15">
      <c r="A82" s="455"/>
      <c r="B82" s="447">
        <v>43524</v>
      </c>
      <c r="C82" s="456"/>
      <c r="D82" s="456"/>
      <c r="E82" s="450">
        <f t="shared" si="19"/>
        <v>12436306.870425021</v>
      </c>
      <c r="F82" s="450">
        <f t="shared" si="13"/>
        <v>12436306.870425018</v>
      </c>
      <c r="G82" s="417"/>
      <c r="H82" s="450">
        <f t="shared" si="5"/>
        <v>-12436306.870425012</v>
      </c>
      <c r="I82" s="450">
        <f t="shared" si="14"/>
        <v>-11848723.896294432</v>
      </c>
      <c r="J82" s="450">
        <f t="shared" si="7"/>
        <v>587582.97413058579</v>
      </c>
      <c r="K82" s="450">
        <f t="shared" si="20"/>
        <v>0</v>
      </c>
      <c r="L82" s="454">
        <f t="shared" si="17"/>
        <v>-308483.94047545746</v>
      </c>
      <c r="M82" s="450">
        <f t="shared" si="15"/>
        <v>-791495.64927157399</v>
      </c>
      <c r="N82" s="452">
        <f t="shared" si="16"/>
        <v>-203912.6751409882</v>
      </c>
      <c r="O82" s="474">
        <f t="shared" si="18"/>
        <v>-308483.94047544815</v>
      </c>
    </row>
    <row r="83" spans="1:15" ht="15">
      <c r="A83" s="455"/>
      <c r="B83" s="447">
        <v>43555</v>
      </c>
      <c r="C83" s="456"/>
      <c r="D83" s="456"/>
      <c r="E83" s="450">
        <f t="shared" si="19"/>
        <v>12436306.870425021</v>
      </c>
      <c r="F83" s="450">
        <f t="shared" si="13"/>
        <v>12436306.870425018</v>
      </c>
      <c r="G83" s="417"/>
      <c r="H83" s="450">
        <f t="shared" ref="H83:H89" si="21">H82-G83</f>
        <v>-12436306.870425012</v>
      </c>
      <c r="I83" s="450">
        <f t="shared" si="14"/>
        <v>-11986438.655856289</v>
      </c>
      <c r="J83" s="450">
        <f t="shared" si="7"/>
        <v>449868.21456872858</v>
      </c>
      <c r="K83" s="450">
        <f t="shared" si="20"/>
        <v>0</v>
      </c>
      <c r="L83" s="454">
        <f t="shared" si="17"/>
        <v>-308483.94047545746</v>
      </c>
      <c r="M83" s="450">
        <f t="shared" si="15"/>
        <v>-681229.56898611004</v>
      </c>
      <c r="N83" s="452">
        <f t="shared" si="16"/>
        <v>-231361.35441738146</v>
      </c>
      <c r="O83" s="474">
        <f t="shared" si="18"/>
        <v>-308483.94047544815</v>
      </c>
    </row>
    <row r="84" spans="1:15" ht="15">
      <c r="A84" s="455"/>
      <c r="B84" s="447">
        <v>43585</v>
      </c>
      <c r="C84" s="456"/>
      <c r="D84" s="456"/>
      <c r="E84" s="450">
        <f t="shared" si="19"/>
        <v>12436306.870425021</v>
      </c>
      <c r="F84" s="450">
        <f t="shared" si="13"/>
        <v>12436306.870425018</v>
      </c>
      <c r="G84" s="417"/>
      <c r="H84" s="450">
        <f t="shared" si="21"/>
        <v>-12436306.870425012</v>
      </c>
      <c r="I84" s="450">
        <f t="shared" si="14"/>
        <v>-12105791.44747656</v>
      </c>
      <c r="J84" s="450">
        <f t="shared" si="7"/>
        <v>330515.4229484573</v>
      </c>
      <c r="K84" s="450">
        <f t="shared" si="20"/>
        <v>0</v>
      </c>
      <c r="L84" s="454">
        <f t="shared" si="17"/>
        <v>-308483.94047545746</v>
      </c>
      <c r="M84" s="450">
        <f t="shared" si="15"/>
        <v>-576899.15620064631</v>
      </c>
      <c r="N84" s="452">
        <f t="shared" si="16"/>
        <v>-246383.73325218901</v>
      </c>
      <c r="O84" s="474">
        <f t="shared" si="18"/>
        <v>-308483.94047544815</v>
      </c>
    </row>
    <row r="85" spans="1:15" ht="15">
      <c r="A85" s="455"/>
      <c r="B85" s="447">
        <v>43616</v>
      </c>
      <c r="C85" s="456"/>
      <c r="D85" s="456"/>
      <c r="E85" s="450">
        <f t="shared" si="19"/>
        <v>12436306.870425021</v>
      </c>
      <c r="F85" s="450">
        <f t="shared" si="13"/>
        <v>12436306.870425018</v>
      </c>
      <c r="G85" s="417"/>
      <c r="H85" s="450">
        <f t="shared" si="21"/>
        <v>-12436306.870425012</v>
      </c>
      <c r="I85" s="450">
        <f t="shared" si="14"/>
        <v>-12206782.271155253</v>
      </c>
      <c r="J85" s="450">
        <f t="shared" ref="J85:J102" si="22">F85+I85</f>
        <v>229524.5992697645</v>
      </c>
      <c r="K85" s="450">
        <f t="shared" si="20"/>
        <v>0</v>
      </c>
      <c r="L85" s="454">
        <f t="shared" si="17"/>
        <v>-308483.94047545746</v>
      </c>
      <c r="M85" s="450">
        <f t="shared" si="15"/>
        <v>-476302.02008184901</v>
      </c>
      <c r="N85" s="452">
        <f t="shared" si="16"/>
        <v>-246777.42081208451</v>
      </c>
      <c r="O85" s="474">
        <f t="shared" si="18"/>
        <v>-308483.94047544815</v>
      </c>
    </row>
    <row r="86" spans="1:15" ht="15">
      <c r="A86" s="455"/>
      <c r="B86" s="447">
        <v>43646</v>
      </c>
      <c r="C86" s="456"/>
      <c r="D86" s="456"/>
      <c r="E86" s="450">
        <f t="shared" si="19"/>
        <v>12436306.870425021</v>
      </c>
      <c r="F86" s="450">
        <f t="shared" si="13"/>
        <v>12436306.870425018</v>
      </c>
      <c r="G86" s="417"/>
      <c r="H86" s="450">
        <f t="shared" si="21"/>
        <v>-12436306.870425012</v>
      </c>
      <c r="I86" s="450">
        <f t="shared" si="14"/>
        <v>-12289411.126892367</v>
      </c>
      <c r="J86" s="450">
        <f t="shared" si="22"/>
        <v>146895.74353265017</v>
      </c>
      <c r="K86" s="450">
        <f t="shared" ref="K86:K102" si="23">(-D86*0.35)+(G86*0.35)</f>
        <v>0</v>
      </c>
      <c r="L86" s="454">
        <f t="shared" si="17"/>
        <v>-308483.94047545746</v>
      </c>
      <c r="M86" s="450">
        <f t="shared" si="15"/>
        <v>-379002.57687971852</v>
      </c>
      <c r="N86" s="452">
        <f t="shared" si="16"/>
        <v>-232106.83334706834</v>
      </c>
      <c r="O86" s="474">
        <f t="shared" si="18"/>
        <v>-308483.94047544815</v>
      </c>
    </row>
    <row r="87" spans="1:15" ht="15">
      <c r="A87" s="455"/>
      <c r="B87" s="447">
        <v>43677</v>
      </c>
      <c r="C87" s="456"/>
      <c r="D87" s="456"/>
      <c r="E87" s="450">
        <f t="shared" si="19"/>
        <v>12436306.870425021</v>
      </c>
      <c r="F87" s="450">
        <f t="shared" si="13"/>
        <v>12436306.870425018</v>
      </c>
      <c r="G87" s="417"/>
      <c r="H87" s="450">
        <f t="shared" si="21"/>
        <v>-12436306.870425012</v>
      </c>
      <c r="I87" s="450">
        <f t="shared" si="14"/>
        <v>-12353678.014687901</v>
      </c>
      <c r="J87" s="450">
        <f t="shared" si="22"/>
        <v>82628.855737116188</v>
      </c>
      <c r="K87" s="450">
        <f t="shared" si="23"/>
        <v>0</v>
      </c>
      <c r="L87" s="454">
        <f t="shared" si="17"/>
        <v>-308483.94047545746</v>
      </c>
      <c r="M87" s="450">
        <f t="shared" si="15"/>
        <v>-325835.1336775879</v>
      </c>
      <c r="N87" s="452">
        <f t="shared" si="16"/>
        <v>-243206.27794047171</v>
      </c>
      <c r="O87" s="451">
        <f t="shared" si="18"/>
        <v>-308483.94047544815</v>
      </c>
    </row>
    <row r="88" spans="1:15" ht="15">
      <c r="A88" s="455"/>
      <c r="B88" s="447">
        <v>43708</v>
      </c>
      <c r="C88" s="456"/>
      <c r="D88" s="456"/>
      <c r="E88" s="450">
        <f t="shared" si="19"/>
        <v>12436306.870425021</v>
      </c>
      <c r="F88" s="450">
        <f t="shared" si="13"/>
        <v>12436306.870425018</v>
      </c>
      <c r="G88" s="417"/>
      <c r="H88" s="450">
        <f t="shared" si="21"/>
        <v>-12436306.870425012</v>
      </c>
      <c r="I88" s="450">
        <f t="shared" si="14"/>
        <v>-12399582.934541851</v>
      </c>
      <c r="J88" s="450">
        <f t="shared" si="22"/>
        <v>36723.935883166268</v>
      </c>
      <c r="K88" s="450">
        <f t="shared" si="23"/>
        <v>0</v>
      </c>
      <c r="L88" s="454">
        <f t="shared" si="17"/>
        <v>-308483.94047545746</v>
      </c>
      <c r="M88" s="450">
        <f t="shared" si="15"/>
        <v>-316195.4471093234</v>
      </c>
      <c r="N88" s="452">
        <f t="shared" si="16"/>
        <v>-279471.51122615713</v>
      </c>
      <c r="O88" s="451">
        <f t="shared" si="18"/>
        <v>-308483.94047544815</v>
      </c>
    </row>
    <row r="89" spans="1:15" ht="15">
      <c r="A89" s="455"/>
      <c r="B89" s="447">
        <v>43738</v>
      </c>
      <c r="C89" s="456"/>
      <c r="D89" s="456"/>
      <c r="E89" s="450">
        <f t="shared" si="19"/>
        <v>12436306.870425021</v>
      </c>
      <c r="F89" s="450">
        <f t="shared" si="13"/>
        <v>12436306.870425018</v>
      </c>
      <c r="G89" s="417"/>
      <c r="H89" s="450">
        <f t="shared" si="21"/>
        <v>-12436306.870425012</v>
      </c>
      <c r="I89" s="450">
        <f t="shared" si="14"/>
        <v>-12427125.886454223</v>
      </c>
      <c r="J89" s="450">
        <f t="shared" si="22"/>
        <v>9180.9839707948267</v>
      </c>
      <c r="K89" s="450">
        <f t="shared" si="23"/>
        <v>0</v>
      </c>
      <c r="L89" s="454">
        <f t="shared" si="17"/>
        <v>-308483.94047545746</v>
      </c>
      <c r="M89" s="450">
        <f t="shared" si="15"/>
        <v>-310411.77380879072</v>
      </c>
      <c r="N89" s="452">
        <f t="shared" si="16"/>
        <v>-301230.78983799589</v>
      </c>
      <c r="O89" s="451">
        <f t="shared" si="18"/>
        <v>-308483.94047544815</v>
      </c>
    </row>
    <row r="90" spans="1:15" ht="15">
      <c r="A90" s="455"/>
      <c r="B90" s="447">
        <v>43769</v>
      </c>
      <c r="C90" s="456"/>
      <c r="D90" s="456"/>
      <c r="E90" s="450">
        <f t="shared" si="19"/>
        <v>12436306.870425021</v>
      </c>
      <c r="F90" s="450">
        <f t="shared" si="13"/>
        <v>12436306.870425018</v>
      </c>
      <c r="G90" s="417"/>
      <c r="H90" s="450">
        <f>H89-G90</f>
        <v>-12436306.870425012</v>
      </c>
      <c r="I90" s="450">
        <f t="shared" si="14"/>
        <v>-12436306.870425014</v>
      </c>
      <c r="J90" s="450">
        <f t="shared" si="22"/>
        <v>0</v>
      </c>
      <c r="K90" s="450">
        <f t="shared" si="23"/>
        <v>0</v>
      </c>
      <c r="L90" s="454">
        <f t="shared" si="17"/>
        <v>-308483.94047545746</v>
      </c>
      <c r="M90" s="450">
        <f t="shared" si="15"/>
        <v>-308483.94047545741</v>
      </c>
      <c r="N90" s="452">
        <f t="shared" si="16"/>
        <v>-308483.94047545741</v>
      </c>
      <c r="O90" s="451">
        <f t="shared" si="18"/>
        <v>-308483.94047544815</v>
      </c>
    </row>
    <row r="91" spans="1:15" ht="15">
      <c r="A91" s="455"/>
      <c r="B91" s="447">
        <v>43799</v>
      </c>
      <c r="C91" s="456"/>
      <c r="D91" s="456"/>
      <c r="E91" s="450">
        <f t="shared" si="19"/>
        <v>12436306.870425021</v>
      </c>
      <c r="F91" s="450">
        <f t="shared" si="13"/>
        <v>12436306.870425018</v>
      </c>
      <c r="G91" s="417"/>
      <c r="H91" s="450">
        <f t="shared" ref="H91:H102" si="24">H90-G91</f>
        <v>-12436306.870425012</v>
      </c>
      <c r="I91" s="450">
        <f t="shared" si="14"/>
        <v>-12436306.870425014</v>
      </c>
      <c r="J91" s="450">
        <f t="shared" si="22"/>
        <v>0</v>
      </c>
      <c r="K91" s="450">
        <f t="shared" si="23"/>
        <v>0</v>
      </c>
      <c r="L91" s="454">
        <f t="shared" si="17"/>
        <v>-308483.94047545746</v>
      </c>
      <c r="M91" s="450">
        <f t="shared" si="15"/>
        <v>-308483.94047545741</v>
      </c>
      <c r="N91" s="452">
        <f t="shared" si="16"/>
        <v>-308483.94047545741</v>
      </c>
      <c r="O91" s="451">
        <f t="shared" si="18"/>
        <v>-308483.94047544815</v>
      </c>
    </row>
    <row r="92" spans="1:15" ht="15">
      <c r="A92" s="455"/>
      <c r="B92" s="447">
        <v>43830</v>
      </c>
      <c r="C92" s="456"/>
      <c r="D92" s="456"/>
      <c r="E92" s="450">
        <f t="shared" si="19"/>
        <v>12436306.870425021</v>
      </c>
      <c r="F92" s="450">
        <f t="shared" si="13"/>
        <v>12436306.870425018</v>
      </c>
      <c r="G92" s="417"/>
      <c r="H92" s="450">
        <f t="shared" si="24"/>
        <v>-12436306.870425012</v>
      </c>
      <c r="I92" s="450">
        <f t="shared" si="14"/>
        <v>-12436306.870425014</v>
      </c>
      <c r="J92" s="450">
        <f t="shared" si="22"/>
        <v>0</v>
      </c>
      <c r="K92" s="450">
        <f t="shared" si="23"/>
        <v>0</v>
      </c>
      <c r="L92" s="454">
        <f t="shared" si="17"/>
        <v>-308483.94047545746</v>
      </c>
      <c r="M92" s="450">
        <f t="shared" si="15"/>
        <v>-308483.94047545741</v>
      </c>
      <c r="N92" s="452">
        <f t="shared" si="16"/>
        <v>-308483.94047545741</v>
      </c>
      <c r="O92" s="451">
        <f t="shared" si="18"/>
        <v>-308483.94047544815</v>
      </c>
    </row>
    <row r="93" spans="1:15" ht="15">
      <c r="A93" s="455"/>
      <c r="B93" s="447">
        <v>43861</v>
      </c>
      <c r="C93" s="456"/>
      <c r="D93" s="456"/>
      <c r="E93" s="450">
        <f t="shared" si="19"/>
        <v>12436306.870425021</v>
      </c>
      <c r="F93" s="450">
        <f t="shared" si="13"/>
        <v>12436306.870425018</v>
      </c>
      <c r="G93" s="417"/>
      <c r="H93" s="450">
        <f t="shared" si="24"/>
        <v>-12436306.870425012</v>
      </c>
      <c r="I93" s="450">
        <f t="shared" si="14"/>
        <v>-12436306.870425014</v>
      </c>
      <c r="J93" s="450">
        <f t="shared" si="22"/>
        <v>0</v>
      </c>
      <c r="K93" s="450">
        <f t="shared" si="23"/>
        <v>0</v>
      </c>
      <c r="L93" s="454">
        <f t="shared" si="17"/>
        <v>-308483.94047545746</v>
      </c>
      <c r="M93" s="450">
        <f t="shared" si="15"/>
        <v>-308483.94047545741</v>
      </c>
      <c r="N93" s="452">
        <f t="shared" si="16"/>
        <v>-308483.94047545741</v>
      </c>
      <c r="O93" s="451">
        <f t="shared" si="18"/>
        <v>-308483.94047544815</v>
      </c>
    </row>
    <row r="94" spans="1:15" ht="15">
      <c r="A94" s="455"/>
      <c r="B94" s="447">
        <v>43889</v>
      </c>
      <c r="C94" s="456"/>
      <c r="D94" s="456"/>
      <c r="E94" s="450">
        <f t="shared" si="19"/>
        <v>12436306.870425021</v>
      </c>
      <c r="F94" s="450">
        <f t="shared" si="13"/>
        <v>12436306.870425018</v>
      </c>
      <c r="G94" s="417"/>
      <c r="H94" s="450">
        <f t="shared" si="24"/>
        <v>-12436306.870425012</v>
      </c>
      <c r="I94" s="450">
        <f t="shared" si="14"/>
        <v>-12436306.870425014</v>
      </c>
      <c r="J94" s="450">
        <f t="shared" si="22"/>
        <v>0</v>
      </c>
      <c r="K94" s="450">
        <f t="shared" si="23"/>
        <v>0</v>
      </c>
      <c r="L94" s="454">
        <f t="shared" si="17"/>
        <v>-308483.94047545746</v>
      </c>
      <c r="M94" s="450">
        <f t="shared" si="15"/>
        <v>-308483.94047545741</v>
      </c>
      <c r="N94" s="452">
        <f t="shared" si="16"/>
        <v>-308483.94047545741</v>
      </c>
      <c r="O94" s="451">
        <f t="shared" si="18"/>
        <v>-308483.94047544815</v>
      </c>
    </row>
    <row r="95" spans="1:15" ht="15">
      <c r="A95" s="455"/>
      <c r="B95" s="447">
        <v>43921</v>
      </c>
      <c r="C95" s="456"/>
      <c r="D95" s="456"/>
      <c r="E95" s="450">
        <f t="shared" si="19"/>
        <v>12436306.870425021</v>
      </c>
      <c r="F95" s="450">
        <f t="shared" si="13"/>
        <v>12436306.870425018</v>
      </c>
      <c r="G95" s="417"/>
      <c r="H95" s="450">
        <f t="shared" si="24"/>
        <v>-12436306.870425012</v>
      </c>
      <c r="I95" s="450">
        <f t="shared" si="14"/>
        <v>-12436306.870425014</v>
      </c>
      <c r="J95" s="450">
        <f t="shared" si="22"/>
        <v>0</v>
      </c>
      <c r="K95" s="450">
        <f t="shared" si="23"/>
        <v>0</v>
      </c>
      <c r="L95" s="454">
        <f t="shared" si="17"/>
        <v>-308483.94047545746</v>
      </c>
      <c r="M95" s="450">
        <f t="shared" si="15"/>
        <v>-308483.94047545741</v>
      </c>
      <c r="N95" s="452">
        <f t="shared" si="16"/>
        <v>-308483.94047545741</v>
      </c>
      <c r="O95" s="451">
        <f t="shared" si="18"/>
        <v>-308483.94047544815</v>
      </c>
    </row>
    <row r="96" spans="1:15" ht="15">
      <c r="A96" s="455"/>
      <c r="B96" s="447">
        <v>43951</v>
      </c>
      <c r="C96" s="456"/>
      <c r="D96" s="456"/>
      <c r="E96" s="450">
        <f t="shared" si="19"/>
        <v>12436306.870425021</v>
      </c>
      <c r="F96" s="450">
        <f t="shared" si="13"/>
        <v>12436306.870425018</v>
      </c>
      <c r="G96" s="417"/>
      <c r="H96" s="450">
        <f t="shared" si="24"/>
        <v>-12436306.870425012</v>
      </c>
      <c r="I96" s="450">
        <f t="shared" si="14"/>
        <v>-12436306.870425014</v>
      </c>
      <c r="J96" s="450">
        <f t="shared" si="22"/>
        <v>0</v>
      </c>
      <c r="K96" s="450">
        <f t="shared" si="23"/>
        <v>0</v>
      </c>
      <c r="L96" s="454">
        <f t="shared" si="17"/>
        <v>-308483.94047545746</v>
      </c>
      <c r="M96" s="450">
        <f t="shared" si="15"/>
        <v>-308483.94047545741</v>
      </c>
      <c r="N96" s="452">
        <f t="shared" si="16"/>
        <v>-308483.94047545741</v>
      </c>
      <c r="O96" s="451">
        <f t="shared" si="18"/>
        <v>-308483.94047544815</v>
      </c>
    </row>
    <row r="97" spans="1:15" ht="15">
      <c r="A97" s="455"/>
      <c r="B97" s="447">
        <v>43982</v>
      </c>
      <c r="C97" s="456"/>
      <c r="D97" s="456"/>
      <c r="E97" s="450">
        <f t="shared" si="19"/>
        <v>12436306.870425021</v>
      </c>
      <c r="F97" s="450">
        <f t="shared" si="13"/>
        <v>12436306.870425018</v>
      </c>
      <c r="G97" s="417"/>
      <c r="H97" s="450">
        <f t="shared" si="24"/>
        <v>-12436306.870425012</v>
      </c>
      <c r="I97" s="450">
        <f t="shared" si="14"/>
        <v>-12436306.870425014</v>
      </c>
      <c r="J97" s="450">
        <f t="shared" si="22"/>
        <v>0</v>
      </c>
      <c r="K97" s="450">
        <f t="shared" si="23"/>
        <v>0</v>
      </c>
      <c r="L97" s="454">
        <f t="shared" si="17"/>
        <v>-308483.94047545746</v>
      </c>
      <c r="M97" s="450">
        <f t="shared" si="15"/>
        <v>-308483.94047545741</v>
      </c>
      <c r="N97" s="452">
        <f t="shared" si="16"/>
        <v>-308483.94047545741</v>
      </c>
      <c r="O97" s="451">
        <f t="shared" si="18"/>
        <v>-308483.94047544815</v>
      </c>
    </row>
    <row r="98" spans="1:15" ht="15">
      <c r="A98" s="455"/>
      <c r="B98" s="447">
        <v>44012</v>
      </c>
      <c r="C98" s="456"/>
      <c r="D98" s="456"/>
      <c r="E98" s="450">
        <f t="shared" si="19"/>
        <v>12436306.870425021</v>
      </c>
      <c r="F98" s="450">
        <f t="shared" si="13"/>
        <v>12436306.870425018</v>
      </c>
      <c r="G98" s="417"/>
      <c r="H98" s="450">
        <f t="shared" si="24"/>
        <v>-12436306.870425012</v>
      </c>
      <c r="I98" s="450">
        <f t="shared" si="14"/>
        <v>-12436306.870425014</v>
      </c>
      <c r="J98" s="450">
        <f t="shared" si="22"/>
        <v>0</v>
      </c>
      <c r="K98" s="450">
        <f t="shared" si="23"/>
        <v>0</v>
      </c>
      <c r="L98" s="454">
        <f t="shared" si="17"/>
        <v>-308483.94047545746</v>
      </c>
      <c r="M98" s="450">
        <f t="shared" si="15"/>
        <v>-308483.94047545741</v>
      </c>
      <c r="N98" s="452">
        <f t="shared" si="16"/>
        <v>-308483.94047545741</v>
      </c>
      <c r="O98" s="451">
        <f t="shared" si="18"/>
        <v>-308483.94047544815</v>
      </c>
    </row>
    <row r="99" spans="1:15" ht="15">
      <c r="A99" s="455"/>
      <c r="B99" s="447">
        <v>44043</v>
      </c>
      <c r="C99" s="456"/>
      <c r="D99" s="456"/>
      <c r="E99" s="450">
        <f t="shared" si="19"/>
        <v>12436306.870425021</v>
      </c>
      <c r="F99" s="450">
        <f t="shared" si="13"/>
        <v>12436306.870425018</v>
      </c>
      <c r="G99" s="417"/>
      <c r="H99" s="450">
        <f t="shared" si="24"/>
        <v>-12436306.870425012</v>
      </c>
      <c r="I99" s="450">
        <f t="shared" si="14"/>
        <v>-12436306.870425014</v>
      </c>
      <c r="J99" s="450">
        <f t="shared" si="22"/>
        <v>0</v>
      </c>
      <c r="K99" s="450">
        <f t="shared" si="23"/>
        <v>0</v>
      </c>
      <c r="L99" s="454">
        <f t="shared" si="17"/>
        <v>-308483.94047545746</v>
      </c>
      <c r="M99" s="450">
        <f t="shared" si="15"/>
        <v>-308483.94047545741</v>
      </c>
      <c r="N99" s="452">
        <f t="shared" si="16"/>
        <v>-308483.94047545741</v>
      </c>
      <c r="O99" s="451">
        <f t="shared" si="18"/>
        <v>-308483.94047544815</v>
      </c>
    </row>
    <row r="100" spans="1:15" ht="15">
      <c r="A100" s="455"/>
      <c r="B100" s="447">
        <v>44074</v>
      </c>
      <c r="C100" s="456"/>
      <c r="D100" s="456"/>
      <c r="E100" s="450">
        <f t="shared" si="19"/>
        <v>12436306.870425021</v>
      </c>
      <c r="F100" s="450">
        <f t="shared" si="13"/>
        <v>12436306.870425018</v>
      </c>
      <c r="G100" s="417"/>
      <c r="H100" s="450">
        <f t="shared" si="24"/>
        <v>-12436306.870425012</v>
      </c>
      <c r="I100" s="450">
        <f t="shared" si="14"/>
        <v>-12436306.870425014</v>
      </c>
      <c r="J100" s="450">
        <f t="shared" si="22"/>
        <v>0</v>
      </c>
      <c r="K100" s="450">
        <f t="shared" si="23"/>
        <v>0</v>
      </c>
      <c r="L100" s="454">
        <f t="shared" si="17"/>
        <v>-308483.94047545746</v>
      </c>
      <c r="M100" s="450">
        <f t="shared" si="15"/>
        <v>-308483.94047545741</v>
      </c>
      <c r="N100" s="452">
        <f t="shared" si="16"/>
        <v>-308483.94047545741</v>
      </c>
      <c r="O100" s="451">
        <f t="shared" si="18"/>
        <v>-308483.94047544815</v>
      </c>
    </row>
    <row r="101" spans="1:15" ht="15">
      <c r="A101" s="455"/>
      <c r="B101" s="447">
        <v>44104</v>
      </c>
      <c r="C101" s="456"/>
      <c r="D101" s="456"/>
      <c r="E101" s="450">
        <f t="shared" si="19"/>
        <v>12436306.870425021</v>
      </c>
      <c r="F101" s="450">
        <f t="shared" si="13"/>
        <v>12436306.870425018</v>
      </c>
      <c r="G101" s="417"/>
      <c r="H101" s="450">
        <f t="shared" si="24"/>
        <v>-12436306.870425012</v>
      </c>
      <c r="I101" s="450">
        <f t="shared" si="14"/>
        <v>-12436306.870425014</v>
      </c>
      <c r="J101" s="450">
        <f t="shared" si="22"/>
        <v>0</v>
      </c>
      <c r="K101" s="450">
        <f t="shared" si="23"/>
        <v>0</v>
      </c>
      <c r="L101" s="454">
        <f t="shared" si="17"/>
        <v>-308483.94047545746</v>
      </c>
      <c r="M101" s="450">
        <f t="shared" si="15"/>
        <v>-308483.94047545741</v>
      </c>
      <c r="N101" s="452">
        <f t="shared" si="16"/>
        <v>-308483.94047545741</v>
      </c>
      <c r="O101" s="451">
        <f t="shared" si="18"/>
        <v>-308483.94047544815</v>
      </c>
    </row>
    <row r="102" spans="1:15" ht="15">
      <c r="A102" s="455"/>
      <c r="B102" s="447">
        <v>44135</v>
      </c>
      <c r="C102" s="456"/>
      <c r="D102" s="456"/>
      <c r="E102" s="450">
        <f t="shared" si="19"/>
        <v>12436306.870425021</v>
      </c>
      <c r="F102" s="450">
        <f>(E90+E102+SUM(E91:E101)*2)/24</f>
        <v>12436306.870425018</v>
      </c>
      <c r="G102" s="417"/>
      <c r="H102" s="450">
        <f t="shared" si="24"/>
        <v>-12436306.870425012</v>
      </c>
      <c r="I102" s="450">
        <f>(H90+H102+SUM(H91:H101)*2)/24</f>
        <v>-12436306.870425014</v>
      </c>
      <c r="J102" s="450">
        <f t="shared" si="22"/>
        <v>0</v>
      </c>
      <c r="K102" s="450">
        <f t="shared" si="23"/>
        <v>0</v>
      </c>
      <c r="L102" s="454">
        <f t="shared" si="17"/>
        <v>-308483.94047545746</v>
      </c>
      <c r="M102" s="450">
        <f>(L90+L102+SUM(L91:L101)*2)/24</f>
        <v>-308483.94047545741</v>
      </c>
      <c r="N102" s="452">
        <f>M102+J102</f>
        <v>-308483.94047545741</v>
      </c>
      <c r="O102" s="451">
        <f t="shared" si="18"/>
        <v>-308483.94047544815</v>
      </c>
    </row>
    <row r="103" spans="1:15" ht="15">
      <c r="A103" s="455"/>
      <c r="B103" s="447">
        <v>44165</v>
      </c>
      <c r="C103" s="456"/>
      <c r="D103" s="456"/>
      <c r="E103" s="450">
        <f t="shared" ref="E103:E108" si="25">E102+D103</f>
        <v>12436306.870425021</v>
      </c>
      <c r="F103" s="450">
        <f t="shared" ref="F103:F108" si="26">(E91+E103+SUM(E92:E102)*2)/24</f>
        <v>12436306.870425018</v>
      </c>
      <c r="G103" s="417"/>
      <c r="H103" s="450">
        <f t="shared" ref="H103:H108" si="27">H102-G103</f>
        <v>-12436306.870425012</v>
      </c>
      <c r="I103" s="450">
        <f t="shared" ref="I103:I108" si="28">(H91+H103+SUM(H92:H102)*2)/24</f>
        <v>-12436306.870425014</v>
      </c>
      <c r="J103" s="450">
        <f t="shared" ref="J103:J108" si="29">F103+I103</f>
        <v>0</v>
      </c>
      <c r="K103" s="450">
        <f t="shared" ref="K103:K108" si="30">(-D103*0.35)+(G103*0.35)</f>
        <v>0</v>
      </c>
      <c r="L103" s="454">
        <f t="shared" ref="L103:L108" si="31">L102+K103</f>
        <v>-308483.94047545746</v>
      </c>
      <c r="M103" s="450">
        <f t="shared" ref="M103:M108" si="32">(L91+L103+SUM(L92:L102)*2)/24</f>
        <v>-308483.94047545741</v>
      </c>
      <c r="N103" s="452">
        <f t="shared" ref="N103:N108" si="33">M103+J103</f>
        <v>-308483.94047545741</v>
      </c>
      <c r="O103" s="451">
        <f t="shared" ref="O103:O108" si="34">+E103+H103+L103</f>
        <v>-308483.94047544815</v>
      </c>
    </row>
    <row r="104" spans="1:15" ht="15">
      <c r="A104" s="455"/>
      <c r="B104" s="447">
        <v>44196</v>
      </c>
      <c r="C104" s="456"/>
      <c r="D104" s="456"/>
      <c r="E104" s="450">
        <f t="shared" si="25"/>
        <v>12436306.870425021</v>
      </c>
      <c r="F104" s="450">
        <f t="shared" si="26"/>
        <v>12436306.870425018</v>
      </c>
      <c r="G104" s="417"/>
      <c r="H104" s="450">
        <f t="shared" si="27"/>
        <v>-12436306.870425012</v>
      </c>
      <c r="I104" s="450">
        <f t="shared" si="28"/>
        <v>-12436306.870425014</v>
      </c>
      <c r="J104" s="450">
        <f t="shared" si="29"/>
        <v>0</v>
      </c>
      <c r="K104" s="450">
        <f t="shared" si="30"/>
        <v>0</v>
      </c>
      <c r="L104" s="454">
        <f t="shared" si="31"/>
        <v>-308483.94047545746</v>
      </c>
      <c r="M104" s="450">
        <f t="shared" si="32"/>
        <v>-308483.94047545741</v>
      </c>
      <c r="N104" s="452">
        <f t="shared" si="33"/>
        <v>-308483.94047545741</v>
      </c>
      <c r="O104" s="451">
        <f t="shared" si="34"/>
        <v>-308483.94047544815</v>
      </c>
    </row>
    <row r="105" spans="1:15" ht="15">
      <c r="A105" s="455"/>
      <c r="B105" s="447">
        <v>44227</v>
      </c>
      <c r="C105" s="456"/>
      <c r="D105" s="456"/>
      <c r="E105" s="450">
        <f t="shared" si="25"/>
        <v>12436306.870425021</v>
      </c>
      <c r="F105" s="450">
        <f t="shared" si="26"/>
        <v>12436306.870425018</v>
      </c>
      <c r="G105" s="417"/>
      <c r="H105" s="450">
        <f t="shared" si="27"/>
        <v>-12436306.870425012</v>
      </c>
      <c r="I105" s="450">
        <f t="shared" si="28"/>
        <v>-12436306.870425014</v>
      </c>
      <c r="J105" s="450">
        <f t="shared" si="29"/>
        <v>0</v>
      </c>
      <c r="K105" s="450">
        <f t="shared" si="30"/>
        <v>0</v>
      </c>
      <c r="L105" s="454">
        <f t="shared" si="31"/>
        <v>-308483.94047545746</v>
      </c>
      <c r="M105" s="450">
        <f t="shared" si="32"/>
        <v>-308483.94047545741</v>
      </c>
      <c r="N105" s="452">
        <f t="shared" si="33"/>
        <v>-308483.94047545741</v>
      </c>
      <c r="O105" s="451">
        <f t="shared" si="34"/>
        <v>-308483.94047544815</v>
      </c>
    </row>
    <row r="106" spans="1:15" ht="15">
      <c r="A106" s="455"/>
      <c r="B106" s="447">
        <v>44255</v>
      </c>
      <c r="C106" s="456"/>
      <c r="D106" s="456"/>
      <c r="E106" s="450">
        <f t="shared" si="25"/>
        <v>12436306.870425021</v>
      </c>
      <c r="F106" s="450">
        <f t="shared" si="26"/>
        <v>12436306.870425018</v>
      </c>
      <c r="G106" s="417"/>
      <c r="H106" s="450">
        <f t="shared" si="27"/>
        <v>-12436306.870425012</v>
      </c>
      <c r="I106" s="450">
        <f t="shared" si="28"/>
        <v>-12436306.870425014</v>
      </c>
      <c r="J106" s="450">
        <f t="shared" si="29"/>
        <v>0</v>
      </c>
      <c r="K106" s="450">
        <f t="shared" si="30"/>
        <v>0</v>
      </c>
      <c r="L106" s="454">
        <f t="shared" si="31"/>
        <v>-308483.94047545746</v>
      </c>
      <c r="M106" s="450">
        <f t="shared" si="32"/>
        <v>-308483.94047545741</v>
      </c>
      <c r="N106" s="452">
        <f t="shared" si="33"/>
        <v>-308483.94047545741</v>
      </c>
      <c r="O106" s="451">
        <f t="shared" si="34"/>
        <v>-308483.94047544815</v>
      </c>
    </row>
    <row r="107" spans="1:15" ht="15">
      <c r="A107" s="455"/>
      <c r="B107" s="447">
        <v>44286</v>
      </c>
      <c r="C107" s="456"/>
      <c r="D107" s="456"/>
      <c r="E107" s="450">
        <f t="shared" si="25"/>
        <v>12436306.870425021</v>
      </c>
      <c r="F107" s="450">
        <f t="shared" si="26"/>
        <v>12436306.870425018</v>
      </c>
      <c r="G107" s="417"/>
      <c r="H107" s="450">
        <f t="shared" si="27"/>
        <v>-12436306.870425012</v>
      </c>
      <c r="I107" s="450">
        <f t="shared" si="28"/>
        <v>-12436306.870425014</v>
      </c>
      <c r="J107" s="450">
        <f t="shared" si="29"/>
        <v>0</v>
      </c>
      <c r="K107" s="450">
        <f t="shared" si="30"/>
        <v>0</v>
      </c>
      <c r="L107" s="454">
        <f t="shared" si="31"/>
        <v>-308483.94047545746</v>
      </c>
      <c r="M107" s="450">
        <f t="shared" si="32"/>
        <v>-308483.94047545741</v>
      </c>
      <c r="N107" s="452">
        <f t="shared" si="33"/>
        <v>-308483.94047545741</v>
      </c>
      <c r="O107" s="451">
        <f t="shared" si="34"/>
        <v>-308483.94047544815</v>
      </c>
    </row>
    <row r="108" spans="1:15" ht="15">
      <c r="A108" s="455"/>
      <c r="B108" s="447">
        <v>44316</v>
      </c>
      <c r="C108" s="456"/>
      <c r="D108" s="456"/>
      <c r="E108" s="450">
        <f t="shared" si="25"/>
        <v>12436306.870425021</v>
      </c>
      <c r="F108" s="450">
        <f t="shared" si="26"/>
        <v>12436306.870425018</v>
      </c>
      <c r="G108" s="417"/>
      <c r="H108" s="450">
        <f t="shared" si="27"/>
        <v>-12436306.870425012</v>
      </c>
      <c r="I108" s="450">
        <f t="shared" si="28"/>
        <v>-12436306.870425014</v>
      </c>
      <c r="J108" s="512">
        <f t="shared" si="29"/>
        <v>0</v>
      </c>
      <c r="K108" s="450">
        <f t="shared" si="30"/>
        <v>0</v>
      </c>
      <c r="L108" s="454">
        <f t="shared" si="31"/>
        <v>-308483.94047545746</v>
      </c>
      <c r="M108" s="450">
        <f t="shared" si="32"/>
        <v>-308483.94047545741</v>
      </c>
      <c r="N108" s="452">
        <f t="shared" si="33"/>
        <v>-308483.94047545741</v>
      </c>
      <c r="O108" s="451">
        <f t="shared" si="34"/>
        <v>-308483.94047544815</v>
      </c>
    </row>
    <row r="109" spans="1:15" ht="15">
      <c r="A109" s="455"/>
      <c r="B109" s="447"/>
      <c r="C109" s="456"/>
      <c r="D109" s="456"/>
      <c r="E109" s="450"/>
      <c r="F109" s="450"/>
      <c r="G109" s="417"/>
      <c r="H109" s="450"/>
      <c r="I109" s="450"/>
      <c r="J109" s="450"/>
      <c r="K109" s="450"/>
      <c r="L109" s="454"/>
      <c r="M109" s="450"/>
      <c r="N109" s="452"/>
      <c r="O109" s="451"/>
    </row>
    <row r="110" spans="1:15" ht="15">
      <c r="A110" s="455"/>
      <c r="B110" s="447"/>
      <c r="C110" s="456"/>
      <c r="D110" s="456"/>
      <c r="E110" s="450"/>
      <c r="F110" s="450"/>
      <c r="G110" s="417"/>
      <c r="H110" s="450"/>
      <c r="I110" s="450"/>
      <c r="J110" s="450"/>
      <c r="K110" s="450"/>
      <c r="L110" s="454"/>
      <c r="M110" s="450"/>
      <c r="N110" s="452"/>
      <c r="O110" s="451"/>
    </row>
    <row r="111" spans="1:15" ht="15">
      <c r="A111" s="455"/>
      <c r="B111" s="447"/>
      <c r="C111" s="456"/>
      <c r="D111" s="456"/>
      <c r="E111" s="450"/>
      <c r="F111" s="450"/>
      <c r="G111" s="417"/>
      <c r="H111" s="450"/>
      <c r="I111" s="450"/>
      <c r="J111" s="450"/>
      <c r="K111" s="450"/>
      <c r="L111" s="454"/>
      <c r="M111" s="450"/>
      <c r="N111" s="452"/>
      <c r="O111" s="451"/>
    </row>
    <row r="112" spans="1:15" ht="15">
      <c r="A112" s="455"/>
      <c r="B112" s="447"/>
      <c r="C112" s="456"/>
      <c r="D112" s="456"/>
      <c r="E112" s="450"/>
      <c r="F112" s="450"/>
      <c r="G112" s="417"/>
      <c r="H112" s="450"/>
      <c r="I112" s="450"/>
      <c r="J112" s="450"/>
      <c r="K112" s="450"/>
      <c r="L112" s="454"/>
      <c r="M112" s="450"/>
      <c r="N112" s="452"/>
      <c r="O112" s="451"/>
    </row>
    <row r="113" spans="1:15" ht="15">
      <c r="A113" s="455"/>
      <c r="B113" s="447"/>
      <c r="C113" s="456"/>
      <c r="D113" s="456"/>
      <c r="E113" s="450"/>
      <c r="F113" s="450"/>
      <c r="G113" s="417"/>
      <c r="H113" s="450"/>
      <c r="I113" s="450"/>
      <c r="J113" s="450"/>
      <c r="K113" s="450"/>
      <c r="L113" s="454"/>
      <c r="M113" s="450"/>
      <c r="N113" s="452"/>
      <c r="O113" s="451"/>
    </row>
    <row r="114" spans="1:15" ht="15">
      <c r="A114" s="455"/>
      <c r="B114" s="447"/>
      <c r="C114" s="456"/>
      <c r="D114" s="456"/>
      <c r="E114" s="450"/>
      <c r="F114" s="450"/>
      <c r="G114" s="417"/>
      <c r="H114" s="450"/>
      <c r="I114" s="450"/>
      <c r="J114" s="450"/>
      <c r="K114" s="450"/>
      <c r="L114" s="454"/>
      <c r="M114" s="450"/>
      <c r="N114" s="452"/>
      <c r="O114" s="451"/>
    </row>
    <row r="115" spans="1:15" ht="15">
      <c r="A115" s="457"/>
      <c r="B115" s="458"/>
      <c r="C115" s="458"/>
      <c r="D115" s="458"/>
      <c r="E115" s="458"/>
      <c r="F115" s="458"/>
      <c r="G115" s="418"/>
      <c r="H115" s="458"/>
      <c r="I115" s="458"/>
      <c r="J115" s="458"/>
      <c r="K115" s="458"/>
      <c r="L115" s="458"/>
      <c r="M115" s="458"/>
      <c r="N115" s="459"/>
      <c r="O115" s="460"/>
    </row>
    <row r="116" spans="1:15" ht="15">
      <c r="A116" s="461"/>
      <c r="B116" s="461"/>
      <c r="C116" s="461"/>
      <c r="D116" s="461"/>
      <c r="E116" s="461"/>
      <c r="F116" s="461"/>
      <c r="G116" s="420"/>
      <c r="H116" s="461"/>
      <c r="I116" s="461"/>
      <c r="J116" s="461"/>
      <c r="K116" s="461"/>
      <c r="L116" s="461"/>
      <c r="M116" s="461"/>
      <c r="N116" s="461"/>
      <c r="O116" s="461"/>
    </row>
    <row r="117" spans="1:15" ht="12.75">
      <c r="B117" s="718" t="s">
        <v>799</v>
      </c>
      <c r="C117" s="561"/>
      <c r="D117" s="560"/>
      <c r="E117" s="560"/>
      <c r="F117" s="419"/>
      <c r="G117" s="560">
        <f>SUM(G69:G80)</f>
        <v>2203436.1529896799</v>
      </c>
      <c r="H117" s="419"/>
      <c r="I117" s="419"/>
      <c r="J117" s="419"/>
      <c r="K117" s="419"/>
      <c r="L117" s="419"/>
      <c r="M117" s="419"/>
      <c r="N117" s="419"/>
    </row>
    <row r="118" spans="1:15" ht="12.75">
      <c r="B118" s="718" t="s">
        <v>800</v>
      </c>
      <c r="C118" s="560"/>
      <c r="D118" s="560"/>
      <c r="E118" s="560"/>
      <c r="F118" s="419"/>
      <c r="G118" s="560">
        <f>SUM(G97:G108)</f>
        <v>0</v>
      </c>
      <c r="H118" s="419"/>
      <c r="I118" s="419"/>
      <c r="J118" s="419"/>
      <c r="K118" s="419"/>
      <c r="L118" s="419"/>
      <c r="M118" s="419"/>
      <c r="N118" s="419"/>
    </row>
    <row r="119" spans="1:15" ht="15">
      <c r="D119" s="419"/>
      <c r="E119" s="419"/>
      <c r="F119" s="419"/>
      <c r="G119" s="420"/>
      <c r="H119" s="419"/>
      <c r="I119" s="419"/>
      <c r="J119" s="419"/>
      <c r="K119" s="419"/>
      <c r="L119" s="419"/>
      <c r="M119" s="419"/>
      <c r="N119" s="419"/>
    </row>
    <row r="120" spans="1:15" ht="15">
      <c r="D120" s="419"/>
      <c r="E120" s="419"/>
      <c r="F120" s="419"/>
      <c r="G120" s="420"/>
      <c r="H120" s="419"/>
      <c r="I120" s="419"/>
      <c r="J120" s="419"/>
      <c r="K120" s="419"/>
      <c r="L120" s="419"/>
      <c r="M120" s="419"/>
      <c r="N120" s="419"/>
    </row>
    <row r="121" spans="1:15" ht="15">
      <c r="D121" s="419"/>
      <c r="E121" s="419"/>
      <c r="F121" s="419"/>
      <c r="G121" s="420"/>
      <c r="H121" s="419"/>
      <c r="I121" s="419"/>
      <c r="J121" s="419"/>
      <c r="K121" s="419"/>
      <c r="L121" s="419"/>
      <c r="M121" s="419"/>
      <c r="N121" s="419"/>
    </row>
    <row r="122" spans="1:15" ht="15">
      <c r="D122" s="419"/>
      <c r="E122" s="419"/>
      <c r="F122" s="419"/>
      <c r="G122" s="420"/>
      <c r="H122" s="419"/>
      <c r="I122" s="419"/>
      <c r="J122" s="419"/>
      <c r="K122" s="419"/>
      <c r="L122" s="419"/>
      <c r="M122" s="419"/>
      <c r="N122" s="419"/>
    </row>
    <row r="123" spans="1:15" ht="15">
      <c r="D123" s="419"/>
      <c r="E123" s="419"/>
      <c r="F123" s="419"/>
      <c r="G123" s="420"/>
      <c r="H123" s="419"/>
      <c r="I123" s="419"/>
      <c r="J123" s="419"/>
      <c r="K123" s="419"/>
      <c r="L123" s="419"/>
      <c r="M123" s="419"/>
      <c r="N123" s="419"/>
    </row>
    <row r="124" spans="1:15" ht="15">
      <c r="D124" s="419"/>
      <c r="E124" s="419"/>
      <c r="F124" s="419"/>
      <c r="G124" s="420"/>
      <c r="H124" s="419"/>
      <c r="I124" s="419"/>
      <c r="J124" s="419"/>
      <c r="K124" s="419"/>
      <c r="L124" s="419"/>
      <c r="M124" s="419"/>
      <c r="N124" s="419"/>
    </row>
    <row r="125" spans="1:15" ht="15">
      <c r="D125" s="419"/>
      <c r="E125" s="419"/>
      <c r="F125" s="419"/>
      <c r="G125" s="420"/>
      <c r="H125" s="419"/>
      <c r="I125" s="419"/>
      <c r="J125" s="419"/>
      <c r="K125" s="419"/>
      <c r="L125" s="419"/>
      <c r="M125" s="419"/>
      <c r="N125" s="419"/>
    </row>
    <row r="126" spans="1:15" ht="15">
      <c r="D126" s="419"/>
      <c r="E126" s="419"/>
      <c r="F126" s="419"/>
      <c r="G126" s="420"/>
      <c r="H126" s="419"/>
      <c r="I126" s="419"/>
      <c r="J126" s="419"/>
      <c r="K126" s="419"/>
      <c r="L126" s="419"/>
      <c r="M126" s="419"/>
      <c r="N126" s="419"/>
    </row>
    <row r="127" spans="1:15" ht="15">
      <c r="D127" s="419"/>
      <c r="E127" s="419"/>
      <c r="F127" s="419"/>
      <c r="G127" s="420"/>
      <c r="H127" s="419"/>
      <c r="I127" s="419"/>
      <c r="J127" s="419"/>
      <c r="K127" s="419"/>
      <c r="L127" s="419"/>
      <c r="M127" s="419"/>
      <c r="N127" s="419"/>
    </row>
    <row r="128" spans="1:15" ht="15">
      <c r="D128" s="419"/>
      <c r="E128" s="419"/>
      <c r="F128" s="419"/>
      <c r="G128" s="420"/>
      <c r="H128" s="419"/>
      <c r="I128" s="419"/>
      <c r="J128" s="419"/>
      <c r="K128" s="419"/>
      <c r="L128" s="419"/>
      <c r="M128" s="419"/>
      <c r="N128" s="419"/>
    </row>
    <row r="129" spans="4:14" ht="15">
      <c r="D129" s="419"/>
      <c r="E129" s="419"/>
      <c r="F129" s="419"/>
      <c r="G129" s="420"/>
      <c r="H129" s="419"/>
      <c r="I129" s="419"/>
      <c r="J129" s="419"/>
      <c r="K129" s="419"/>
      <c r="L129" s="419"/>
      <c r="M129" s="419"/>
      <c r="N129" s="419"/>
    </row>
    <row r="130" spans="4:14" ht="15">
      <c r="D130" s="419"/>
      <c r="E130" s="419"/>
      <c r="F130" s="419"/>
      <c r="G130" s="420"/>
      <c r="H130" s="419"/>
      <c r="I130" s="419"/>
      <c r="J130" s="419"/>
      <c r="K130" s="419"/>
      <c r="L130" s="419"/>
      <c r="M130" s="419"/>
      <c r="N130" s="419"/>
    </row>
    <row r="131" spans="4:14" ht="15">
      <c r="D131" s="419"/>
      <c r="E131" s="419"/>
      <c r="F131" s="419"/>
      <c r="G131" s="420"/>
      <c r="H131" s="419"/>
      <c r="I131" s="419"/>
      <c r="J131" s="419"/>
      <c r="K131" s="419"/>
      <c r="L131" s="419"/>
      <c r="M131" s="419"/>
      <c r="N131" s="419"/>
    </row>
    <row r="132" spans="4:14" ht="15">
      <c r="D132" s="419"/>
      <c r="E132" s="419"/>
      <c r="F132" s="419"/>
      <c r="G132" s="420"/>
      <c r="H132" s="419"/>
      <c r="I132" s="419"/>
      <c r="J132" s="419"/>
      <c r="K132" s="419"/>
      <c r="L132" s="419"/>
      <c r="M132" s="419"/>
      <c r="N132" s="419"/>
    </row>
    <row r="133" spans="4:14" ht="15">
      <c r="D133" s="419"/>
      <c r="E133" s="419"/>
      <c r="F133" s="419"/>
      <c r="G133" s="420"/>
      <c r="H133" s="419"/>
      <c r="I133" s="419"/>
      <c r="J133" s="419"/>
      <c r="K133" s="419"/>
      <c r="L133" s="419"/>
      <c r="M133" s="419"/>
      <c r="N133" s="419"/>
    </row>
    <row r="134" spans="4:14" ht="15">
      <c r="D134" s="419"/>
      <c r="E134" s="419"/>
      <c r="F134" s="419"/>
      <c r="G134" s="420"/>
      <c r="H134" s="419"/>
      <c r="I134" s="419"/>
      <c r="J134" s="419"/>
      <c r="K134" s="419"/>
      <c r="L134" s="419"/>
      <c r="M134" s="419"/>
      <c r="N134" s="419"/>
    </row>
    <row r="135" spans="4:14" ht="15">
      <c r="D135" s="419"/>
      <c r="E135" s="419"/>
      <c r="F135" s="419"/>
      <c r="G135" s="420"/>
      <c r="H135" s="419"/>
      <c r="I135" s="419"/>
      <c r="J135" s="419"/>
      <c r="K135" s="419"/>
      <c r="L135" s="419"/>
      <c r="M135" s="419"/>
      <c r="N135" s="419"/>
    </row>
    <row r="136" spans="4:14" ht="15">
      <c r="D136" s="419"/>
      <c r="E136" s="419"/>
      <c r="F136" s="419"/>
      <c r="G136" s="420"/>
      <c r="H136" s="419"/>
      <c r="I136" s="419"/>
      <c r="J136" s="419"/>
      <c r="K136" s="419"/>
      <c r="L136" s="419"/>
      <c r="M136" s="419"/>
      <c r="N136" s="419"/>
    </row>
    <row r="137" spans="4:14" ht="15">
      <c r="D137" s="419"/>
      <c r="E137" s="419"/>
      <c r="F137" s="419"/>
      <c r="G137" s="420"/>
      <c r="H137" s="419"/>
      <c r="I137" s="419"/>
      <c r="J137" s="419"/>
      <c r="K137" s="419"/>
      <c r="L137" s="419"/>
      <c r="M137" s="419"/>
      <c r="N137" s="419"/>
    </row>
    <row r="138" spans="4:14" ht="15">
      <c r="D138" s="419"/>
      <c r="E138" s="419"/>
      <c r="F138" s="419"/>
      <c r="G138" s="420"/>
      <c r="H138" s="419"/>
      <c r="I138" s="419"/>
      <c r="J138" s="419"/>
      <c r="K138" s="419"/>
      <c r="L138" s="419"/>
      <c r="M138" s="419"/>
      <c r="N138" s="419"/>
    </row>
    <row r="139" spans="4:14" ht="15">
      <c r="D139" s="419"/>
      <c r="E139" s="419"/>
      <c r="F139" s="419"/>
      <c r="G139" s="420"/>
      <c r="H139" s="419"/>
      <c r="I139" s="419"/>
      <c r="J139" s="419"/>
      <c r="K139" s="419"/>
      <c r="L139" s="419"/>
      <c r="M139" s="419"/>
      <c r="N139" s="419"/>
    </row>
    <row r="140" spans="4:14" ht="15">
      <c r="D140" s="419"/>
      <c r="E140" s="419"/>
      <c r="F140" s="419"/>
      <c r="G140" s="420"/>
      <c r="H140" s="419"/>
      <c r="I140" s="419"/>
      <c r="J140" s="419"/>
      <c r="K140" s="419"/>
      <c r="L140" s="419"/>
      <c r="M140" s="419"/>
      <c r="N140" s="419"/>
    </row>
    <row r="141" spans="4:14" ht="15">
      <c r="G141" s="312"/>
    </row>
    <row r="142" spans="4:14" ht="15">
      <c r="G142" s="312"/>
    </row>
    <row r="143" spans="4:14" ht="15">
      <c r="G143" s="312"/>
    </row>
    <row r="144" spans="4:14" ht="15">
      <c r="G144" s="312"/>
    </row>
    <row r="145" spans="7:7" ht="15">
      <c r="G145" s="312"/>
    </row>
    <row r="146" spans="7:7" ht="15">
      <c r="G146" s="312"/>
    </row>
    <row r="147" spans="7:7" ht="15">
      <c r="G147" s="312"/>
    </row>
    <row r="148" spans="7:7" ht="15">
      <c r="G148" s="312"/>
    </row>
    <row r="149" spans="7:7" ht="15">
      <c r="G149" s="312"/>
    </row>
    <row r="150" spans="7:7" ht="15">
      <c r="G150" s="312"/>
    </row>
    <row r="151" spans="7:7" ht="15">
      <c r="G151" s="312"/>
    </row>
    <row r="152" spans="7:7" ht="15">
      <c r="G152" s="312"/>
    </row>
    <row r="153" spans="7:7" ht="15">
      <c r="G153" s="312"/>
    </row>
    <row r="154" spans="7:7" ht="15">
      <c r="G154" s="312"/>
    </row>
    <row r="155" spans="7:7" ht="15">
      <c r="G155" s="312"/>
    </row>
    <row r="156" spans="7:7" ht="15">
      <c r="G156" s="312"/>
    </row>
    <row r="157" spans="7:7" ht="15">
      <c r="G157" s="312"/>
    </row>
    <row r="158" spans="7:7" ht="15">
      <c r="G158" s="312"/>
    </row>
    <row r="159" spans="7:7" ht="15">
      <c r="G159" s="312"/>
    </row>
    <row r="160" spans="7:7" ht="15">
      <c r="G160" s="312"/>
    </row>
    <row r="161" spans="7:7" ht="15">
      <c r="G161" s="312"/>
    </row>
    <row r="162" spans="7:7" ht="15">
      <c r="G162" s="312"/>
    </row>
    <row r="163" spans="7:7" ht="15">
      <c r="G163" s="312"/>
    </row>
    <row r="164" spans="7:7" ht="15">
      <c r="G164" s="312"/>
    </row>
    <row r="165" spans="7:7" ht="15">
      <c r="G165" s="312"/>
    </row>
    <row r="166" spans="7:7" ht="15">
      <c r="G166" s="312"/>
    </row>
    <row r="167" spans="7:7" ht="15">
      <c r="G167" s="312"/>
    </row>
    <row r="168" spans="7:7" ht="15">
      <c r="G168" s="312"/>
    </row>
  </sheetData>
  <pageMargins left="0.7" right="0.7" top="0.75" bottom="0.75" header="0.3" footer="0.3"/>
  <pageSetup scale="66" fitToHeight="0" orientation="landscape" r:id="rId1"/>
  <rowBreaks count="1" manualBreakCount="1">
    <brk id="8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116"/>
  <sheetViews>
    <sheetView zoomScaleNormal="100" workbookViewId="0">
      <pane xSplit="2" ySplit="9" topLeftCell="D97" activePane="bottomRight" state="frozen"/>
      <selection activeCell="E87" sqref="E87:E98"/>
      <selection pane="topRight" activeCell="E87" sqref="E87:E98"/>
      <selection pane="bottomLeft" activeCell="E87" sqref="E87:E98"/>
      <selection pane="bottomRight" activeCell="L80" sqref="L80"/>
    </sheetView>
  </sheetViews>
  <sheetFormatPr defaultColWidth="16" defaultRowHeight="10.5" outlineLevelRow="1"/>
  <cols>
    <col min="1" max="1" width="3.5" customWidth="1"/>
    <col min="2" max="2" width="10.33203125" customWidth="1"/>
    <col min="3" max="3" width="14.83203125" customWidth="1"/>
    <col min="4" max="4" width="14.5" bestFit="1" customWidth="1"/>
    <col min="5" max="5" width="16.1640625" bestFit="1" customWidth="1"/>
    <col min="6" max="6" width="15.5" customWidth="1"/>
    <col min="7" max="7" width="20.6640625" customWidth="1"/>
    <col min="10" max="10" width="20.1640625" bestFit="1" customWidth="1"/>
    <col min="15" max="15" width="16" customWidth="1"/>
  </cols>
  <sheetData>
    <row r="1" spans="1:14" ht="12.75">
      <c r="A1" s="297"/>
      <c r="B1" s="298" t="s">
        <v>8</v>
      </c>
      <c r="C1" s="297"/>
      <c r="D1" s="297"/>
      <c r="E1" s="297"/>
      <c r="F1" s="297"/>
      <c r="G1" s="299"/>
      <c r="H1" s="299"/>
      <c r="I1" s="299"/>
      <c r="J1" s="300"/>
      <c r="K1" s="300"/>
      <c r="L1" s="300"/>
      <c r="M1" s="300"/>
    </row>
    <row r="2" spans="1:14" ht="12.75">
      <c r="A2" s="297"/>
      <c r="B2" s="672" t="s">
        <v>784</v>
      </c>
      <c r="C2" s="712"/>
      <c r="D2" s="712"/>
      <c r="E2" s="712"/>
      <c r="F2" s="712"/>
      <c r="G2" s="712"/>
      <c r="H2" s="299"/>
      <c r="I2" s="299"/>
      <c r="J2" s="300"/>
      <c r="K2" s="300"/>
      <c r="L2" s="300"/>
      <c r="M2" s="300"/>
    </row>
    <row r="3" spans="1:14" ht="12.75">
      <c r="A3" s="297"/>
      <c r="B3" s="298" t="s">
        <v>719</v>
      </c>
      <c r="C3" s="297"/>
      <c r="D3" s="297"/>
      <c r="E3" s="297"/>
      <c r="F3" s="297"/>
      <c r="G3" s="299"/>
      <c r="H3" s="299"/>
      <c r="I3" s="299"/>
      <c r="J3" s="300"/>
      <c r="K3" s="300"/>
      <c r="L3" s="300"/>
      <c r="M3" s="300"/>
    </row>
    <row r="4" spans="1:14" ht="12.75">
      <c r="A4" s="297"/>
      <c r="B4" s="297"/>
      <c r="C4" s="713" t="s">
        <v>731</v>
      </c>
      <c r="D4" s="673"/>
      <c r="E4" s="675"/>
      <c r="F4" s="676" t="s">
        <v>634</v>
      </c>
      <c r="G4" s="302"/>
      <c r="H4" s="302"/>
      <c r="I4" s="302"/>
      <c r="K4" s="303"/>
      <c r="L4" s="303"/>
      <c r="M4" s="303"/>
    </row>
    <row r="5" spans="1:14" ht="15.6" customHeight="1">
      <c r="A5" s="300"/>
      <c r="B5" s="300"/>
      <c r="C5" s="688" t="s">
        <v>639</v>
      </c>
      <c r="D5" s="678"/>
      <c r="E5" s="679"/>
      <c r="F5" s="680" t="s">
        <v>633</v>
      </c>
      <c r="G5" s="306"/>
      <c r="H5" s="306"/>
      <c r="I5" s="306"/>
      <c r="J5" s="682" t="s">
        <v>705</v>
      </c>
      <c r="K5" s="306"/>
      <c r="L5" s="306"/>
      <c r="M5" s="306"/>
    </row>
    <row r="6" spans="1:14" ht="15">
      <c r="A6" s="421"/>
      <c r="B6" s="422"/>
      <c r="C6" s="423" t="s">
        <v>79</v>
      </c>
      <c r="D6" s="423" t="s">
        <v>2</v>
      </c>
      <c r="E6" s="424" t="s">
        <v>101</v>
      </c>
      <c r="F6" s="423" t="s">
        <v>12</v>
      </c>
      <c r="G6" s="423" t="s">
        <v>13</v>
      </c>
      <c r="H6" s="423" t="s">
        <v>102</v>
      </c>
      <c r="I6" s="423" t="s">
        <v>11</v>
      </c>
      <c r="J6" s="423" t="s">
        <v>12</v>
      </c>
      <c r="K6" s="423" t="s">
        <v>13</v>
      </c>
      <c r="L6" s="424" t="s">
        <v>103</v>
      </c>
      <c r="M6" s="425" t="s">
        <v>104</v>
      </c>
      <c r="N6" s="426" t="s">
        <v>2</v>
      </c>
    </row>
    <row r="7" spans="1:14" ht="15">
      <c r="A7" s="427"/>
      <c r="B7" s="440" t="s">
        <v>10</v>
      </c>
      <c r="C7" s="428" t="s">
        <v>20</v>
      </c>
      <c r="D7" s="428"/>
      <c r="E7" s="430" t="s">
        <v>2</v>
      </c>
      <c r="F7" s="428" t="s">
        <v>3</v>
      </c>
      <c r="G7" s="428" t="s">
        <v>3</v>
      </c>
      <c r="H7" s="428" t="s">
        <v>620</v>
      </c>
      <c r="I7" s="428" t="s">
        <v>9</v>
      </c>
      <c r="J7" s="428" t="s">
        <v>17</v>
      </c>
      <c r="K7" s="430" t="s">
        <v>17</v>
      </c>
      <c r="L7" s="428" t="s">
        <v>11</v>
      </c>
      <c r="M7" s="431" t="s">
        <v>103</v>
      </c>
      <c r="N7" s="432" t="s">
        <v>29</v>
      </c>
    </row>
    <row r="8" spans="1:14" ht="15">
      <c r="A8" s="427"/>
      <c r="B8" s="429"/>
      <c r="C8" s="428" t="s">
        <v>105</v>
      </c>
      <c r="D8" s="428" t="s">
        <v>23</v>
      </c>
      <c r="E8" s="430" t="s">
        <v>24</v>
      </c>
      <c r="F8" s="428" t="s">
        <v>106</v>
      </c>
      <c r="G8" s="430" t="s">
        <v>114</v>
      </c>
      <c r="H8" s="428" t="s">
        <v>25</v>
      </c>
      <c r="I8" s="428" t="s">
        <v>108</v>
      </c>
      <c r="J8" s="428" t="s">
        <v>109</v>
      </c>
      <c r="K8" s="430" t="s">
        <v>717</v>
      </c>
      <c r="L8" s="428" t="s">
        <v>80</v>
      </c>
      <c r="M8" s="431" t="s">
        <v>111</v>
      </c>
      <c r="N8" s="432" t="s">
        <v>27</v>
      </c>
    </row>
    <row r="9" spans="1:14" ht="15">
      <c r="A9" s="433"/>
      <c r="B9" s="434"/>
      <c r="C9" s="435"/>
      <c r="D9" s="435"/>
      <c r="E9" s="436"/>
      <c r="F9" s="915" t="s">
        <v>783</v>
      </c>
      <c r="G9" s="468"/>
      <c r="H9" s="435"/>
      <c r="I9" s="435"/>
      <c r="J9" s="435" t="s">
        <v>113</v>
      </c>
      <c r="K9" s="436" t="s">
        <v>718</v>
      </c>
      <c r="L9" s="435"/>
      <c r="M9" s="438"/>
      <c r="N9" s="469"/>
    </row>
    <row r="10" spans="1:14" ht="15" hidden="1" outlineLevel="1">
      <c r="A10" s="427"/>
      <c r="B10" s="440" t="s">
        <v>5</v>
      </c>
      <c r="C10" s="428"/>
      <c r="D10" s="449">
        <v>0</v>
      </c>
      <c r="E10" s="443"/>
      <c r="F10" s="428"/>
      <c r="G10" s="428"/>
      <c r="H10" s="442"/>
      <c r="I10" s="442"/>
      <c r="J10" s="444"/>
      <c r="K10" s="444"/>
      <c r="L10" s="444"/>
      <c r="M10" s="445"/>
      <c r="N10" s="470"/>
    </row>
    <row r="11" spans="1:14" ht="15" hidden="1" outlineLevel="1">
      <c r="A11" s="427"/>
      <c r="B11" s="447">
        <v>41425</v>
      </c>
      <c r="C11" s="442"/>
      <c r="D11" s="449">
        <f>D10+C11</f>
        <v>0</v>
      </c>
      <c r="E11" s="471"/>
      <c r="F11" s="442"/>
      <c r="G11" s="442"/>
      <c r="H11" s="442"/>
      <c r="I11" s="442"/>
      <c r="J11" s="471">
        <f>(-C11*0.35)+(F11*0.35)</f>
        <v>0</v>
      </c>
      <c r="K11" s="471">
        <f t="shared" ref="K11:K74" si="0">K10+J11</f>
        <v>0</v>
      </c>
      <c r="L11" s="471"/>
      <c r="M11" s="445"/>
      <c r="N11" s="472"/>
    </row>
    <row r="12" spans="1:14" ht="9.6" hidden="1" customHeight="1" outlineLevel="1">
      <c r="A12" s="427"/>
      <c r="B12" s="447">
        <v>41455</v>
      </c>
      <c r="C12" s="473">
        <v>0</v>
      </c>
      <c r="D12" s="473">
        <f>D11+C12</f>
        <v>0</v>
      </c>
      <c r="E12" s="471"/>
      <c r="F12" s="442"/>
      <c r="G12" s="442"/>
      <c r="H12" s="442"/>
      <c r="I12" s="442"/>
      <c r="J12" s="471">
        <f t="shared" ref="J12:J66" si="1">(-C12*0.35)+(F12*0.35)</f>
        <v>0</v>
      </c>
      <c r="K12" s="471">
        <f>K11+J12</f>
        <v>0</v>
      </c>
      <c r="L12" s="471"/>
      <c r="M12" s="445"/>
      <c r="N12" s="472"/>
    </row>
    <row r="13" spans="1:14" ht="15" hidden="1" outlineLevel="1">
      <c r="A13" s="427"/>
      <c r="B13" s="447">
        <v>41486</v>
      </c>
      <c r="C13" s="471">
        <v>225109.72608819039</v>
      </c>
      <c r="D13" s="471">
        <f>D12+C13</f>
        <v>225109.72608819039</v>
      </c>
      <c r="E13" s="471"/>
      <c r="F13" s="442"/>
      <c r="G13" s="442"/>
      <c r="H13" s="442"/>
      <c r="I13" s="442"/>
      <c r="J13" s="471">
        <f t="shared" si="1"/>
        <v>-78788.404130866635</v>
      </c>
      <c r="K13" s="471">
        <f t="shared" si="0"/>
        <v>-78788.404130866635</v>
      </c>
      <c r="L13" s="471"/>
      <c r="M13" s="445"/>
      <c r="N13" s="451">
        <f>+D13+G13+K13</f>
        <v>146321.32195732376</v>
      </c>
    </row>
    <row r="14" spans="1:14" ht="15" hidden="1" outlineLevel="1">
      <c r="A14" s="427"/>
      <c r="B14" s="447">
        <v>41517</v>
      </c>
      <c r="C14" s="471">
        <v>997539.79684667266</v>
      </c>
      <c r="D14" s="471">
        <f>D13+C14</f>
        <v>1222649.5229348631</v>
      </c>
      <c r="E14" s="471"/>
      <c r="F14" s="473"/>
      <c r="G14" s="471">
        <f t="shared" ref="G14:G77" si="2">G13-F14</f>
        <v>0</v>
      </c>
      <c r="H14" s="442"/>
      <c r="I14" s="442"/>
      <c r="J14" s="471">
        <f>(-C14*0.35)+(F14*0.35)</f>
        <v>-349138.92889633542</v>
      </c>
      <c r="K14" s="471">
        <f t="shared" si="0"/>
        <v>-427927.33302720205</v>
      </c>
      <c r="L14" s="471"/>
      <c r="M14" s="445"/>
      <c r="N14" s="451">
        <f t="shared" ref="N14:N74" si="3">+D14+G14+K14</f>
        <v>794722.18990766106</v>
      </c>
    </row>
    <row r="15" spans="1:14" ht="15" hidden="1" outlineLevel="1">
      <c r="A15" s="427"/>
      <c r="B15" s="447">
        <v>41547</v>
      </c>
      <c r="C15" s="471">
        <v>987576.85778201919</v>
      </c>
      <c r="D15" s="471">
        <f t="shared" ref="D15:D77" si="4">D14+C15</f>
        <v>2210226.3807168822</v>
      </c>
      <c r="E15" s="471"/>
      <c r="F15" s="473"/>
      <c r="G15" s="471">
        <f t="shared" si="2"/>
        <v>0</v>
      </c>
      <c r="H15" s="442"/>
      <c r="I15" s="442"/>
      <c r="J15" s="471">
        <f t="shared" si="1"/>
        <v>-345651.90022370667</v>
      </c>
      <c r="K15" s="471">
        <f t="shared" si="0"/>
        <v>-773579.23325090879</v>
      </c>
      <c r="L15" s="471"/>
      <c r="M15" s="445"/>
      <c r="N15" s="451">
        <f t="shared" si="3"/>
        <v>1436647.1474659734</v>
      </c>
    </row>
    <row r="16" spans="1:14" ht="15" hidden="1" outlineLevel="1">
      <c r="A16" s="427"/>
      <c r="B16" s="447">
        <v>41578</v>
      </c>
      <c r="C16" s="471">
        <v>1000693.2562625039</v>
      </c>
      <c r="D16" s="471">
        <f t="shared" si="4"/>
        <v>3210919.6369793862</v>
      </c>
      <c r="E16" s="471"/>
      <c r="F16" s="473"/>
      <c r="G16" s="471">
        <f>G15-F16</f>
        <v>0</v>
      </c>
      <c r="H16" s="442"/>
      <c r="I16" s="442"/>
      <c r="J16" s="471">
        <f>(-C16*0.35)+(F16*0.35)</f>
        <v>-350242.63969187636</v>
      </c>
      <c r="K16" s="471">
        <f t="shared" si="0"/>
        <v>-1123821.8729427853</v>
      </c>
      <c r="L16" s="471"/>
      <c r="M16" s="445"/>
      <c r="N16" s="474">
        <f t="shared" si="3"/>
        <v>2087097.7640366009</v>
      </c>
    </row>
    <row r="17" spans="1:14" ht="15" hidden="1" outlineLevel="1">
      <c r="A17" s="427"/>
      <c r="B17" s="447">
        <v>41608</v>
      </c>
      <c r="C17" s="471"/>
      <c r="D17" s="471">
        <f t="shared" si="4"/>
        <v>3210919.6369793862</v>
      </c>
      <c r="E17" s="471">
        <f>(D13+D17+SUM(D14:D16)*2)/24</f>
        <v>696817.5185137433</v>
      </c>
      <c r="F17" s="471">
        <v>44597</v>
      </c>
      <c r="G17" s="471">
        <f t="shared" si="2"/>
        <v>-44597</v>
      </c>
      <c r="H17" s="471">
        <f>(G13+G17+SUM(G14:G16)*2)/24</f>
        <v>-1858.2083333333333</v>
      </c>
      <c r="I17" s="471">
        <f>E17+H17</f>
        <v>694959.31018040993</v>
      </c>
      <c r="J17" s="471">
        <f>(-C17*0.35)+(F17*0.35)</f>
        <v>15608.949999999999</v>
      </c>
      <c r="K17" s="471">
        <f t="shared" si="0"/>
        <v>-1108212.9229427853</v>
      </c>
      <c r="L17" s="471">
        <f>(K13+K17+SUM(K14:K16)*2)/24</f>
        <v>-243235.75856314352</v>
      </c>
      <c r="M17" s="445">
        <f t="shared" ref="M17:M21" si="5">L17+I17</f>
        <v>451723.55161726638</v>
      </c>
      <c r="N17" s="474">
        <f t="shared" si="3"/>
        <v>2058109.7140366009</v>
      </c>
    </row>
    <row r="18" spans="1:14" ht="15" hidden="1" outlineLevel="1">
      <c r="A18" s="427"/>
      <c r="B18" s="447">
        <v>41639</v>
      </c>
      <c r="C18" s="473"/>
      <c r="D18" s="471">
        <f t="shared" si="4"/>
        <v>3210919.6369793862</v>
      </c>
      <c r="E18" s="471">
        <f>(D13+D18+SUM(D14:D17)*2)/24</f>
        <v>964394.15492869203</v>
      </c>
      <c r="F18" s="471">
        <v>45253</v>
      </c>
      <c r="G18" s="471">
        <f>G17-F18</f>
        <v>-89850</v>
      </c>
      <c r="H18" s="471">
        <f>(G13+G18+SUM(G14:G17)*2)/24</f>
        <v>-7460.166666666667</v>
      </c>
      <c r="I18" s="471">
        <f t="shared" ref="I18:I81" si="6">E18+H18</f>
        <v>956933.98826202541</v>
      </c>
      <c r="J18" s="471">
        <f t="shared" si="1"/>
        <v>15838.55</v>
      </c>
      <c r="K18" s="471">
        <f t="shared" si="0"/>
        <v>-1092374.3729427853</v>
      </c>
      <c r="L18" s="471">
        <f>(K13+K18+SUM(K14:K17)*2)/24</f>
        <v>-334926.89589170896</v>
      </c>
      <c r="M18" s="445">
        <f t="shared" si="5"/>
        <v>622007.09237031639</v>
      </c>
      <c r="N18" s="474">
        <f t="shared" si="3"/>
        <v>2028695.2640366009</v>
      </c>
    </row>
    <row r="19" spans="1:14" ht="15" hidden="1" outlineLevel="1">
      <c r="A19" s="427"/>
      <c r="B19" s="447">
        <v>41670</v>
      </c>
      <c r="C19" s="473"/>
      <c r="D19" s="471">
        <f t="shared" si="4"/>
        <v>3210919.6369793862</v>
      </c>
      <c r="E19" s="471">
        <f>(D13+D19+SUM(D14:D18)*2)/24</f>
        <v>1231970.7913436408</v>
      </c>
      <c r="F19" s="471">
        <f>44124.8348434544-1599</f>
        <v>42525.834843454402</v>
      </c>
      <c r="G19" s="471">
        <f t="shared" si="2"/>
        <v>-132375.83484345442</v>
      </c>
      <c r="H19" s="471">
        <f>(G13+G19+SUM(G14:G18)*2)/24</f>
        <v>-16719.576451810601</v>
      </c>
      <c r="I19" s="471">
        <f t="shared" si="6"/>
        <v>1215251.2148918302</v>
      </c>
      <c r="J19" s="471">
        <f t="shared" si="1"/>
        <v>14884.04219520904</v>
      </c>
      <c r="K19" s="471">
        <f t="shared" si="0"/>
        <v>-1077490.3307475762</v>
      </c>
      <c r="L19" s="471">
        <f>(K13+K19+SUM(K14:K18)*2)/24</f>
        <v>-425337.92521214066</v>
      </c>
      <c r="M19" s="445">
        <f t="shared" si="5"/>
        <v>789913.28967968957</v>
      </c>
      <c r="N19" s="474">
        <f t="shared" si="3"/>
        <v>2001053.4713883556</v>
      </c>
    </row>
    <row r="20" spans="1:14" ht="15" hidden="1" outlineLevel="1">
      <c r="A20" s="427"/>
      <c r="B20" s="447">
        <v>41698</v>
      </c>
      <c r="C20" s="473"/>
      <c r="D20" s="471">
        <f t="shared" si="4"/>
        <v>3210919.6369793862</v>
      </c>
      <c r="E20" s="471">
        <f>(D13+D20+SUM(D14:D19)*2)/24</f>
        <v>1499547.4277585896</v>
      </c>
      <c r="F20" s="471">
        <v>44125</v>
      </c>
      <c r="G20" s="471">
        <f t="shared" si="2"/>
        <v>-176500.83484345442</v>
      </c>
      <c r="H20" s="471">
        <f>(G13+G20+SUM(G14:G19)*2)/24</f>
        <v>-29589.437688765134</v>
      </c>
      <c r="I20" s="471">
        <f t="shared" si="6"/>
        <v>1469957.9900698245</v>
      </c>
      <c r="J20" s="471">
        <f t="shared" si="1"/>
        <v>15443.749999999998</v>
      </c>
      <c r="K20" s="471">
        <f t="shared" si="0"/>
        <v>-1062046.5807475762</v>
      </c>
      <c r="L20" s="471">
        <f>(K13+K20+SUM(K14:K19)*2)/24</f>
        <v>-514485.29652443872</v>
      </c>
      <c r="M20" s="445">
        <f t="shared" si="5"/>
        <v>955472.69354538573</v>
      </c>
      <c r="N20" s="474">
        <f t="shared" si="3"/>
        <v>1972372.2213883556</v>
      </c>
    </row>
    <row r="21" spans="1:14" ht="15" hidden="1" outlineLevel="1">
      <c r="A21" s="427"/>
      <c r="B21" s="447">
        <v>41729</v>
      </c>
      <c r="C21" s="473"/>
      <c r="D21" s="471">
        <f t="shared" si="4"/>
        <v>3210919.6369793862</v>
      </c>
      <c r="E21" s="471">
        <f>(D13+D21+SUM(D14:D20)*2)/24</f>
        <v>1767124.0641735385</v>
      </c>
      <c r="F21" s="471">
        <f t="shared" ref="F21:F29" si="7">F20</f>
        <v>44125</v>
      </c>
      <c r="G21" s="471">
        <f t="shared" si="2"/>
        <v>-220625.83484345442</v>
      </c>
      <c r="H21" s="471">
        <f>(G9+G21+SUM(G10:G20)*2)/24</f>
        <v>-46136.382259053004</v>
      </c>
      <c r="I21" s="471">
        <f t="shared" si="6"/>
        <v>1720987.6819144855</v>
      </c>
      <c r="J21" s="471">
        <f t="shared" si="1"/>
        <v>15443.749999999998</v>
      </c>
      <c r="K21" s="471">
        <f t="shared" si="0"/>
        <v>-1046602.8307475762</v>
      </c>
      <c r="L21" s="471">
        <f>(K13+K21+SUM(K14:K20)*2)/24</f>
        <v>-602345.68867007003</v>
      </c>
      <c r="M21" s="445">
        <f t="shared" si="5"/>
        <v>1118641.9932444156</v>
      </c>
      <c r="N21" s="474">
        <f t="shared" si="3"/>
        <v>1943690.9713883556</v>
      </c>
    </row>
    <row r="22" spans="1:14" ht="15" hidden="1" outlineLevel="1">
      <c r="A22" s="427"/>
      <c r="B22" s="447">
        <v>41759</v>
      </c>
      <c r="C22" s="473"/>
      <c r="D22" s="471">
        <f t="shared" si="4"/>
        <v>3210919.6369793862</v>
      </c>
      <c r="E22" s="471">
        <f>(D10+D22+SUM(D11:D21)*2)/24</f>
        <v>2044080.2725088289</v>
      </c>
      <c r="F22" s="471">
        <f t="shared" si="7"/>
        <v>44125</v>
      </c>
      <c r="G22" s="471">
        <f>G21-F22</f>
        <v>-264750.83484345442</v>
      </c>
      <c r="H22" s="471">
        <f>(G10+G22+SUM(G11:G21)*2)/24</f>
        <v>-66360.410162674205</v>
      </c>
      <c r="I22" s="471">
        <f>E22+H22</f>
        <v>1977719.8623461546</v>
      </c>
      <c r="J22" s="471">
        <f t="shared" si="1"/>
        <v>15443.749999999998</v>
      </c>
      <c r="K22" s="471">
        <f t="shared" si="0"/>
        <v>-1031159.0807475762</v>
      </c>
      <c r="L22" s="471">
        <f>(K13+K22+SUM(K14:K21)*2)/24</f>
        <v>-688919.10164903477</v>
      </c>
      <c r="M22" s="452">
        <f>L22+I22</f>
        <v>1288800.7606971199</v>
      </c>
      <c r="N22" s="474">
        <f>+D22+G22+K22</f>
        <v>1915009.7213883556</v>
      </c>
    </row>
    <row r="23" spans="1:14" ht="15" hidden="1" outlineLevel="1">
      <c r="A23" s="427"/>
      <c r="B23" s="447">
        <v>41790</v>
      </c>
      <c r="C23" s="473"/>
      <c r="D23" s="471">
        <f t="shared" si="4"/>
        <v>3210919.6369793862</v>
      </c>
      <c r="E23" s="471">
        <f>(D11+D23+SUM(D12:D22)*2)/24</f>
        <v>2311656.9089237778</v>
      </c>
      <c r="F23" s="471">
        <f t="shared" si="7"/>
        <v>44125</v>
      </c>
      <c r="G23" s="471">
        <f t="shared" si="2"/>
        <v>-308875.83484345442</v>
      </c>
      <c r="H23" s="471">
        <f>(G11+G23+SUM(G12:G22)*2)/24</f>
        <v>-90261.521399628735</v>
      </c>
      <c r="I23" s="471">
        <f t="shared" si="6"/>
        <v>2221395.3875241489</v>
      </c>
      <c r="J23" s="471">
        <f t="shared" si="1"/>
        <v>15443.749999999998</v>
      </c>
      <c r="K23" s="471">
        <f t="shared" si="0"/>
        <v>-1015715.3307475762</v>
      </c>
      <c r="L23" s="471">
        <f>(K13+K23+SUM(K14:K22)*2)/24</f>
        <v>-774205.53546133277</v>
      </c>
      <c r="M23" s="445">
        <f t="shared" ref="M23:M36" si="8">L23+I23</f>
        <v>1447189.8520628163</v>
      </c>
      <c r="N23" s="474">
        <f t="shared" si="3"/>
        <v>1886328.4713883556</v>
      </c>
    </row>
    <row r="24" spans="1:14" ht="15" hidden="1" outlineLevel="1">
      <c r="A24" s="427"/>
      <c r="B24" s="447">
        <v>41820</v>
      </c>
      <c r="C24" s="473"/>
      <c r="D24" s="471">
        <f t="shared" si="4"/>
        <v>3210919.6369793862</v>
      </c>
      <c r="E24" s="471">
        <f t="shared" ref="E24:E27" si="9">(D12+D24+SUM(D13:D23)*2)/24</f>
        <v>2579233.5453387266</v>
      </c>
      <c r="F24" s="471">
        <f t="shared" si="7"/>
        <v>44125</v>
      </c>
      <c r="G24" s="471">
        <f>G23-F24</f>
        <v>-353000.83484345442</v>
      </c>
      <c r="H24" s="471">
        <f t="shared" ref="H24:H28" si="10">(G12+G24+SUM(G13:G23)*2)/24</f>
        <v>-117839.71596991661</v>
      </c>
      <c r="I24" s="471">
        <f t="shared" si="6"/>
        <v>2461393.8293688102</v>
      </c>
      <c r="J24" s="471">
        <f t="shared" si="1"/>
        <v>15443.749999999998</v>
      </c>
      <c r="K24" s="471">
        <f t="shared" si="0"/>
        <v>-1000271.5807475762</v>
      </c>
      <c r="L24" s="471">
        <f>(K13+K24+SUM(K14:K23)*2)/24</f>
        <v>-858204.99010696413</v>
      </c>
      <c r="M24" s="452">
        <f t="shared" si="8"/>
        <v>1603188.8392618462</v>
      </c>
      <c r="N24" s="474">
        <f t="shared" si="3"/>
        <v>1857647.2213883556</v>
      </c>
    </row>
    <row r="25" spans="1:14" ht="15" hidden="1" outlineLevel="1">
      <c r="A25" s="427"/>
      <c r="B25" s="447">
        <v>41851</v>
      </c>
      <c r="C25" s="473"/>
      <c r="D25" s="471">
        <f t="shared" si="4"/>
        <v>3210919.6369793862</v>
      </c>
      <c r="E25" s="471">
        <f t="shared" si="9"/>
        <v>2837430.6098333341</v>
      </c>
      <c r="F25" s="471">
        <f t="shared" si="7"/>
        <v>44125</v>
      </c>
      <c r="G25" s="471">
        <f t="shared" si="2"/>
        <v>-397125.83484345442</v>
      </c>
      <c r="H25" s="471">
        <f t="shared" si="10"/>
        <v>-149094.99387353781</v>
      </c>
      <c r="I25" s="471">
        <f t="shared" si="6"/>
        <v>2688335.6159597961</v>
      </c>
      <c r="J25" s="471">
        <f t="shared" si="1"/>
        <v>15443.749999999998</v>
      </c>
      <c r="K25" s="471">
        <f t="shared" si="0"/>
        <v>-984827.8307475762</v>
      </c>
      <c r="L25" s="471">
        <f t="shared" ref="L25:L36" si="11">(K13+K25+SUM(K14:K24)*2)/24</f>
        <v>-940917.46558592888</v>
      </c>
      <c r="M25" s="452">
        <f t="shared" si="8"/>
        <v>1747418.1503738672</v>
      </c>
      <c r="N25" s="474">
        <f t="shared" si="3"/>
        <v>1828965.9713883556</v>
      </c>
    </row>
    <row r="26" spans="1:14" ht="15" hidden="1" outlineLevel="1">
      <c r="A26" s="427"/>
      <c r="B26" s="447">
        <v>41882</v>
      </c>
      <c r="C26" s="473"/>
      <c r="D26" s="471">
        <f>D25+C26</f>
        <v>3210919.6369793862</v>
      </c>
      <c r="E26" s="471">
        <f t="shared" si="9"/>
        <v>3044683.9442056562</v>
      </c>
      <c r="F26" s="471">
        <f t="shared" si="7"/>
        <v>44125</v>
      </c>
      <c r="G26" s="471">
        <f>G25-F26</f>
        <v>-441250.83484345442</v>
      </c>
      <c r="H26" s="471">
        <f t="shared" si="10"/>
        <v>-184027.35511049232</v>
      </c>
      <c r="I26" s="471">
        <f t="shared" si="6"/>
        <v>2860656.5890951641</v>
      </c>
      <c r="J26" s="471">
        <f>(-C26*0.35)+(F26*0.35)</f>
        <v>15443.749999999998</v>
      </c>
      <c r="K26" s="471">
        <f t="shared" si="0"/>
        <v>-969384.0807475762</v>
      </c>
      <c r="L26" s="471">
        <f t="shared" si="11"/>
        <v>-1001229.8061833073</v>
      </c>
      <c r="M26" s="452">
        <f t="shared" si="8"/>
        <v>1859426.7829118567</v>
      </c>
      <c r="N26" s="474">
        <f t="shared" si="3"/>
        <v>1800284.7213883556</v>
      </c>
    </row>
    <row r="27" spans="1:14" ht="15" hidden="1" outlineLevel="1">
      <c r="A27" s="427"/>
      <c r="B27" s="447">
        <v>41912</v>
      </c>
      <c r="C27" s="473"/>
      <c r="D27" s="471">
        <f t="shared" si="4"/>
        <v>3210919.6369793862</v>
      </c>
      <c r="E27" s="471">
        <f t="shared" si="9"/>
        <v>3169224.0846351148</v>
      </c>
      <c r="F27" s="471">
        <f t="shared" si="7"/>
        <v>44125</v>
      </c>
      <c r="G27" s="471">
        <f t="shared" ref="G27:G32" si="12">G26-F27</f>
        <v>-485375.83484345442</v>
      </c>
      <c r="H27" s="471">
        <f t="shared" si="10"/>
        <v>-222636.79968078024</v>
      </c>
      <c r="I27" s="471">
        <f t="shared" si="6"/>
        <v>2946587.2849543346</v>
      </c>
      <c r="J27" s="471">
        <f>(-C27*0.35)+(F27*0.35)</f>
        <v>15443.749999999998</v>
      </c>
      <c r="K27" s="471">
        <f t="shared" si="0"/>
        <v>-953940.3307475762</v>
      </c>
      <c r="L27" s="471">
        <f>(K15+K27+SUM(K16:K26)*2)/24</f>
        <v>-1031305.5497340175</v>
      </c>
      <c r="M27" s="452">
        <f>L27+I27</f>
        <v>1915281.7352203173</v>
      </c>
      <c r="N27" s="474">
        <f t="shared" si="3"/>
        <v>1771603.4713883556</v>
      </c>
    </row>
    <row r="28" spans="1:14" ht="15" hidden="1" outlineLevel="1">
      <c r="A28" s="427"/>
      <c r="B28" s="447">
        <v>41943</v>
      </c>
      <c r="C28" s="473"/>
      <c r="D28" s="471">
        <f t="shared" si="4"/>
        <v>3210919.6369793862</v>
      </c>
      <c r="E28" s="471">
        <f t="shared" ref="E28:E36" si="13">(D16+D28+SUM(D17:D27)*2)/24</f>
        <v>3210919.6369793862</v>
      </c>
      <c r="F28" s="471">
        <f t="shared" si="7"/>
        <v>44125</v>
      </c>
      <c r="G28" s="471">
        <f t="shared" si="12"/>
        <v>-529500.83484345442</v>
      </c>
      <c r="H28" s="471">
        <f t="shared" si="10"/>
        <v>-264923.32758440141</v>
      </c>
      <c r="I28" s="471">
        <f t="shared" si="6"/>
        <v>2945996.309394985</v>
      </c>
      <c r="J28" s="471">
        <f>(-C28*0.35)+(F28*0.35)</f>
        <v>15443.749999999998</v>
      </c>
      <c r="K28" s="471">
        <f t="shared" si="0"/>
        <v>-938496.5807475762</v>
      </c>
      <c r="L28" s="471">
        <f t="shared" si="11"/>
        <v>-1031098.7082882449</v>
      </c>
      <c r="M28" s="452">
        <f t="shared" si="8"/>
        <v>1914897.6011067401</v>
      </c>
      <c r="N28" s="474">
        <f t="shared" si="3"/>
        <v>1742922.2213883556</v>
      </c>
    </row>
    <row r="29" spans="1:14" ht="15" hidden="1" outlineLevel="1">
      <c r="A29" s="427"/>
      <c r="B29" s="447">
        <v>41973</v>
      </c>
      <c r="C29" s="473"/>
      <c r="D29" s="471">
        <f t="shared" si="4"/>
        <v>3210919.6369793862</v>
      </c>
      <c r="E29" s="471">
        <f t="shared" si="13"/>
        <v>3210919.6369793862</v>
      </c>
      <c r="F29" s="471">
        <f t="shared" si="7"/>
        <v>44125</v>
      </c>
      <c r="G29" s="471">
        <f t="shared" si="12"/>
        <v>-573625.83484345442</v>
      </c>
      <c r="H29" s="471">
        <f t="shared" ref="H29:H36" si="14">(G17+G29+SUM(G18:G28)*2)/24</f>
        <v>-309028.73048802261</v>
      </c>
      <c r="I29" s="471">
        <f t="shared" si="6"/>
        <v>2901890.9064913634</v>
      </c>
      <c r="J29" s="471">
        <f t="shared" si="1"/>
        <v>15443.749999999998</v>
      </c>
      <c r="K29" s="471">
        <f t="shared" si="0"/>
        <v>-923052.8307475762</v>
      </c>
      <c r="L29" s="471">
        <f t="shared" si="11"/>
        <v>-1015661.8172719775</v>
      </c>
      <c r="M29" s="452">
        <f t="shared" si="8"/>
        <v>1886229.0892193858</v>
      </c>
      <c r="N29" s="474">
        <f t="shared" si="3"/>
        <v>1714240.9713883556</v>
      </c>
    </row>
    <row r="30" spans="1:14" ht="15" hidden="1" outlineLevel="1">
      <c r="A30" s="427"/>
      <c r="B30" s="447">
        <v>42004</v>
      </c>
      <c r="C30" s="473"/>
      <c r="D30" s="471">
        <f t="shared" si="4"/>
        <v>3210919.6369793862</v>
      </c>
      <c r="E30" s="471">
        <f t="shared" si="13"/>
        <v>3210919.6369793862</v>
      </c>
      <c r="F30" s="471">
        <f>(D29+G29)/47</f>
        <v>56112.634087998551</v>
      </c>
      <c r="G30" s="471">
        <f t="shared" si="12"/>
        <v>-629738.46893145295</v>
      </c>
      <c r="H30" s="471">
        <f>(G18+G30+SUM(G19:G29)*2)/24</f>
        <v>-353566.95147864375</v>
      </c>
      <c r="I30" s="471">
        <f>E30+H30</f>
        <v>2857352.6855007424</v>
      </c>
      <c r="J30" s="471">
        <f t="shared" si="1"/>
        <v>19639.42193079949</v>
      </c>
      <c r="K30" s="471">
        <f t="shared" si="0"/>
        <v>-903413.4088167767</v>
      </c>
      <c r="L30" s="471">
        <f t="shared" si="11"/>
        <v>-1000073.4399252599</v>
      </c>
      <c r="M30" s="452">
        <f>L30+I30</f>
        <v>1857279.2455754825</v>
      </c>
      <c r="N30" s="474">
        <f t="shared" si="3"/>
        <v>1677767.7592311567</v>
      </c>
    </row>
    <row r="31" spans="1:14" ht="15" hidden="1" outlineLevel="1">
      <c r="A31" s="427"/>
      <c r="B31" s="447">
        <v>42035</v>
      </c>
      <c r="C31" s="473"/>
      <c r="D31" s="471">
        <f t="shared" si="4"/>
        <v>3210919.6369793862</v>
      </c>
      <c r="E31" s="471">
        <f t="shared" si="13"/>
        <v>3210919.6369793862</v>
      </c>
      <c r="F31" s="471">
        <f t="shared" ref="F31:F76" si="15">F30</f>
        <v>56112.634087998551</v>
      </c>
      <c r="G31" s="471">
        <f t="shared" si="12"/>
        <v>-685851.10301945149</v>
      </c>
      <c r="H31" s="471">
        <f t="shared" si="14"/>
        <v>-399123.7738581209</v>
      </c>
      <c r="I31" s="471">
        <f t="shared" si="6"/>
        <v>2811795.8631212655</v>
      </c>
      <c r="J31" s="471">
        <f t="shared" si="1"/>
        <v>19639.42193079949</v>
      </c>
      <c r="K31" s="471">
        <f t="shared" si="0"/>
        <v>-883773.98688597721</v>
      </c>
      <c r="L31" s="471">
        <f t="shared" si="11"/>
        <v>-984128.5520924431</v>
      </c>
      <c r="M31" s="452">
        <f t="shared" si="8"/>
        <v>1827667.3110288223</v>
      </c>
      <c r="N31" s="451">
        <f t="shared" si="3"/>
        <v>1641294.5470739573</v>
      </c>
    </row>
    <row r="32" spans="1:14" ht="15" hidden="1" outlineLevel="1">
      <c r="A32" s="427"/>
      <c r="B32" s="447">
        <v>42063</v>
      </c>
      <c r="C32" s="473"/>
      <c r="D32" s="471">
        <f t="shared" si="4"/>
        <v>3210919.6369793862</v>
      </c>
      <c r="E32" s="471">
        <f t="shared" si="13"/>
        <v>3210919.6369793862</v>
      </c>
      <c r="F32" s="471">
        <f t="shared" si="15"/>
        <v>56112.634087998551</v>
      </c>
      <c r="G32" s="471">
        <f t="shared" si="12"/>
        <v>-741963.73710745003</v>
      </c>
      <c r="H32" s="471">
        <f t="shared" si="14"/>
        <v>-445746.19762645388</v>
      </c>
      <c r="I32" s="471">
        <f t="shared" si="6"/>
        <v>2765173.4393529324</v>
      </c>
      <c r="J32" s="471">
        <f t="shared" si="1"/>
        <v>19639.42193079949</v>
      </c>
      <c r="K32" s="471">
        <f t="shared" si="0"/>
        <v>-864134.56495517772</v>
      </c>
      <c r="L32" s="471">
        <f t="shared" si="11"/>
        <v>-967810.70377352647</v>
      </c>
      <c r="M32" s="452">
        <f t="shared" si="8"/>
        <v>1797362.7355794059</v>
      </c>
      <c r="N32" s="474">
        <f t="shared" si="3"/>
        <v>1604821.3349167584</v>
      </c>
    </row>
    <row r="33" spans="1:14" ht="15" hidden="1" outlineLevel="1">
      <c r="A33" s="427"/>
      <c r="B33" s="447">
        <v>42094</v>
      </c>
      <c r="C33" s="473"/>
      <c r="D33" s="471">
        <f t="shared" si="4"/>
        <v>3210919.6369793862</v>
      </c>
      <c r="E33" s="471">
        <f t="shared" si="13"/>
        <v>3210919.6369793862</v>
      </c>
      <c r="F33" s="471">
        <f t="shared" si="15"/>
        <v>56112.634087998551</v>
      </c>
      <c r="G33" s="471">
        <f t="shared" si="2"/>
        <v>-798076.37119544856</v>
      </c>
      <c r="H33" s="471">
        <f t="shared" si="14"/>
        <v>-493367.59090212011</v>
      </c>
      <c r="I33" s="471">
        <f t="shared" si="6"/>
        <v>2717552.0460772663</v>
      </c>
      <c r="J33" s="471">
        <f t="shared" si="1"/>
        <v>19639.42193079949</v>
      </c>
      <c r="K33" s="471">
        <f t="shared" si="0"/>
        <v>-844495.14302437822</v>
      </c>
      <c r="L33" s="471">
        <f t="shared" si="11"/>
        <v>-951143.21612704347</v>
      </c>
      <c r="M33" s="452">
        <f t="shared" si="8"/>
        <v>1766408.8299502227</v>
      </c>
      <c r="N33" s="451">
        <f t="shared" si="3"/>
        <v>1568348.1227595594</v>
      </c>
    </row>
    <row r="34" spans="1:14" ht="15" hidden="1" outlineLevel="1">
      <c r="A34" s="427"/>
      <c r="B34" s="447">
        <v>42124</v>
      </c>
      <c r="C34" s="473"/>
      <c r="D34" s="471">
        <f t="shared" si="4"/>
        <v>3210919.6369793862</v>
      </c>
      <c r="E34" s="471">
        <f t="shared" si="13"/>
        <v>3210919.6369793862</v>
      </c>
      <c r="F34" s="471">
        <f t="shared" si="15"/>
        <v>56112.634087998551</v>
      </c>
      <c r="G34" s="471">
        <f t="shared" si="2"/>
        <v>-854189.0052834471</v>
      </c>
      <c r="H34" s="471">
        <f t="shared" si="14"/>
        <v>-541987.95368511963</v>
      </c>
      <c r="I34" s="471">
        <f t="shared" si="6"/>
        <v>2668931.6832942665</v>
      </c>
      <c r="J34" s="471">
        <f t="shared" si="1"/>
        <v>19639.42193079949</v>
      </c>
      <c r="K34" s="471">
        <f t="shared" si="0"/>
        <v>-824855.72109357873</v>
      </c>
      <c r="L34" s="471">
        <f t="shared" si="11"/>
        <v>-934126.08915299329</v>
      </c>
      <c r="M34" s="452">
        <f t="shared" si="8"/>
        <v>1734805.5941412733</v>
      </c>
      <c r="N34" s="474">
        <f t="shared" si="3"/>
        <v>1531874.9106023605</v>
      </c>
    </row>
    <row r="35" spans="1:14" ht="15" hidden="1" outlineLevel="1">
      <c r="A35" s="427"/>
      <c r="B35" s="447">
        <v>42155</v>
      </c>
      <c r="C35" s="473"/>
      <c r="D35" s="471">
        <f t="shared" si="4"/>
        <v>3210919.6369793862</v>
      </c>
      <c r="E35" s="471">
        <f t="shared" si="13"/>
        <v>3210919.6369793862</v>
      </c>
      <c r="F35" s="471">
        <f t="shared" si="15"/>
        <v>56112.634087998551</v>
      </c>
      <c r="G35" s="471">
        <f t="shared" si="2"/>
        <v>-910301.63937144564</v>
      </c>
      <c r="H35" s="471">
        <f t="shared" si="14"/>
        <v>-591607.28597545216</v>
      </c>
      <c r="I35" s="471">
        <f t="shared" si="6"/>
        <v>2619312.3510039342</v>
      </c>
      <c r="J35" s="471">
        <f t="shared" si="1"/>
        <v>19639.42193079949</v>
      </c>
      <c r="K35" s="471">
        <f t="shared" si="0"/>
        <v>-805216.29916277924</v>
      </c>
      <c r="L35" s="471">
        <f t="shared" si="11"/>
        <v>-916759.32285137696</v>
      </c>
      <c r="M35" s="452">
        <f t="shared" si="8"/>
        <v>1702553.0281525571</v>
      </c>
      <c r="N35" s="474">
        <f t="shared" si="3"/>
        <v>1495401.6984451616</v>
      </c>
    </row>
    <row r="36" spans="1:14" ht="15" hidden="1" outlineLevel="1">
      <c r="A36" s="427"/>
      <c r="B36" s="447">
        <v>42185</v>
      </c>
      <c r="C36" s="473"/>
      <c r="D36" s="471">
        <f t="shared" si="4"/>
        <v>3210919.6369793862</v>
      </c>
      <c r="E36" s="471">
        <f t="shared" si="13"/>
        <v>3210919.6369793862</v>
      </c>
      <c r="F36" s="471">
        <f t="shared" si="15"/>
        <v>56112.634087998551</v>
      </c>
      <c r="G36" s="471">
        <f t="shared" si="2"/>
        <v>-966414.27345944417</v>
      </c>
      <c r="H36" s="471">
        <f t="shared" si="14"/>
        <v>-642225.58777311805</v>
      </c>
      <c r="I36" s="471">
        <f t="shared" si="6"/>
        <v>2568694.049206268</v>
      </c>
      <c r="J36" s="471">
        <f t="shared" si="1"/>
        <v>19639.42193079949</v>
      </c>
      <c r="K36" s="471">
        <f t="shared" si="0"/>
        <v>-785576.87723197974</v>
      </c>
      <c r="L36" s="471">
        <f t="shared" si="11"/>
        <v>-899042.91722219391</v>
      </c>
      <c r="M36" s="452">
        <f t="shared" si="8"/>
        <v>1669651.1319840741</v>
      </c>
      <c r="N36" s="451">
        <f t="shared" si="3"/>
        <v>1458928.4862879622</v>
      </c>
    </row>
    <row r="37" spans="1:14" ht="15" hidden="1" outlineLevel="1">
      <c r="A37" s="427"/>
      <c r="B37" s="447">
        <v>42216</v>
      </c>
      <c r="C37" s="471"/>
      <c r="D37" s="471">
        <f t="shared" si="4"/>
        <v>3210919.6369793862</v>
      </c>
      <c r="E37" s="471">
        <f>(D25+D37+SUM(D26:D36)*2)/24</f>
        <v>3210919.6369793862</v>
      </c>
      <c r="F37" s="471">
        <f t="shared" si="15"/>
        <v>56112.634087998551</v>
      </c>
      <c r="G37" s="471">
        <f t="shared" si="2"/>
        <v>-1022526.9075474427</v>
      </c>
      <c r="H37" s="471">
        <f>(G25+G37+SUM(G26:G36)*2)/24</f>
        <v>-693842.85907811706</v>
      </c>
      <c r="I37" s="471">
        <f t="shared" si="6"/>
        <v>2517076.777901269</v>
      </c>
      <c r="J37" s="471">
        <f t="shared" si="1"/>
        <v>19639.42193079949</v>
      </c>
      <c r="K37" s="471">
        <f t="shared" si="0"/>
        <v>-765937.45530118025</v>
      </c>
      <c r="L37" s="471">
        <f>(K25+K37+SUM(K26:K36)*2)/24</f>
        <v>-880976.87226544414</v>
      </c>
      <c r="M37" s="452">
        <f>L37+I37</f>
        <v>1636099.9056358249</v>
      </c>
      <c r="N37" s="474">
        <f t="shared" si="3"/>
        <v>1422455.2741307633</v>
      </c>
    </row>
    <row r="38" spans="1:14" ht="15" hidden="1" outlineLevel="1">
      <c r="A38" s="427"/>
      <c r="B38" s="447">
        <v>42247</v>
      </c>
      <c r="C38" s="471"/>
      <c r="D38" s="471">
        <f t="shared" si="4"/>
        <v>3210919.6369793862</v>
      </c>
      <c r="E38" s="471">
        <f t="shared" ref="E38:E88" si="16">(D26+D38+SUM(D27:D37)*2)/24</f>
        <v>3210919.6369793862</v>
      </c>
      <c r="F38" s="471">
        <f t="shared" si="15"/>
        <v>56112.634087998551</v>
      </c>
      <c r="G38" s="471">
        <f t="shared" si="2"/>
        <v>-1078639.5416354414</v>
      </c>
      <c r="H38" s="471">
        <f t="shared" ref="H38:H100" si="17">(G26+G38+SUM(G27:G37)*2)/24</f>
        <v>-746459.09989044943</v>
      </c>
      <c r="I38" s="471">
        <f t="shared" si="6"/>
        <v>2464460.5370889367</v>
      </c>
      <c r="J38" s="471">
        <f t="shared" si="1"/>
        <v>19639.42193079949</v>
      </c>
      <c r="K38" s="475">
        <f t="shared" si="0"/>
        <v>-746298.03337038076</v>
      </c>
      <c r="L38" s="471">
        <f>(K26+K38+SUM(K27:K37)*2)/24</f>
        <v>-862561.18798112788</v>
      </c>
      <c r="M38" s="452">
        <f t="shared" ref="M38:M100" si="18">L38+I38</f>
        <v>1601899.3491078089</v>
      </c>
      <c r="N38" s="451">
        <f t="shared" si="3"/>
        <v>1385982.0619735639</v>
      </c>
    </row>
    <row r="39" spans="1:14" ht="15" hidden="1" outlineLevel="1">
      <c r="A39" s="427"/>
      <c r="B39" s="447">
        <v>42277</v>
      </c>
      <c r="C39" s="471"/>
      <c r="D39" s="471">
        <f t="shared" si="4"/>
        <v>3210919.6369793862</v>
      </c>
      <c r="E39" s="471">
        <f t="shared" si="16"/>
        <v>3210919.6369793862</v>
      </c>
      <c r="F39" s="471">
        <f t="shared" si="15"/>
        <v>56112.634087998551</v>
      </c>
      <c r="G39" s="471">
        <f t="shared" si="2"/>
        <v>-1134752.17572344</v>
      </c>
      <c r="H39" s="471">
        <f t="shared" si="17"/>
        <v>-800074.31021011481</v>
      </c>
      <c r="I39" s="471">
        <f t="shared" si="6"/>
        <v>2410845.3267692714</v>
      </c>
      <c r="J39" s="471">
        <f t="shared" si="1"/>
        <v>19639.42193079949</v>
      </c>
      <c r="K39" s="475">
        <f t="shared" si="0"/>
        <v>-726658.61143958126</v>
      </c>
      <c r="L39" s="471">
        <f>(K27+K39+SUM(K28:K38)*2)/24</f>
        <v>-843795.8643692449</v>
      </c>
      <c r="M39" s="452">
        <f t="shared" si="18"/>
        <v>1567049.4624000266</v>
      </c>
      <c r="N39" s="451">
        <f t="shared" si="3"/>
        <v>1349508.8498163649</v>
      </c>
    </row>
    <row r="40" spans="1:14" ht="15" hidden="1" outlineLevel="1">
      <c r="A40" s="427"/>
      <c r="B40" s="447">
        <v>42308</v>
      </c>
      <c r="C40" s="471"/>
      <c r="D40" s="471">
        <f t="shared" si="4"/>
        <v>3210919.6369793862</v>
      </c>
      <c r="E40" s="471">
        <f t="shared" si="16"/>
        <v>3210919.6369793862</v>
      </c>
      <c r="F40" s="471">
        <f t="shared" si="15"/>
        <v>56112.634087998551</v>
      </c>
      <c r="G40" s="471">
        <f t="shared" si="2"/>
        <v>-1190864.8098114387</v>
      </c>
      <c r="H40" s="471">
        <f t="shared" si="17"/>
        <v>-854688.49003711378</v>
      </c>
      <c r="I40" s="471">
        <f t="shared" si="6"/>
        <v>2356231.1469422723</v>
      </c>
      <c r="J40" s="471">
        <f t="shared" si="1"/>
        <v>19639.42193079949</v>
      </c>
      <c r="K40" s="475">
        <f t="shared" si="0"/>
        <v>-707019.18950878177</v>
      </c>
      <c r="L40" s="471">
        <f>(K28+K40+SUM(K29:K39)*2)/24</f>
        <v>-824680.90142979554</v>
      </c>
      <c r="M40" s="452">
        <f t="shared" si="18"/>
        <v>1531550.2455124767</v>
      </c>
      <c r="N40" s="474">
        <f t="shared" si="3"/>
        <v>1313035.6376591658</v>
      </c>
    </row>
    <row r="41" spans="1:14" ht="15" hidden="1" outlineLevel="1">
      <c r="A41" s="427"/>
      <c r="B41" s="447">
        <v>42338</v>
      </c>
      <c r="C41" s="471"/>
      <c r="D41" s="471">
        <f t="shared" si="4"/>
        <v>3210919.6369793862</v>
      </c>
      <c r="E41" s="471">
        <f t="shared" si="16"/>
        <v>3210919.6369793862</v>
      </c>
      <c r="F41" s="471">
        <f t="shared" si="15"/>
        <v>56112.634087998551</v>
      </c>
      <c r="G41" s="471">
        <f t="shared" si="2"/>
        <v>-1246977.4438994373</v>
      </c>
      <c r="H41" s="471">
        <f t="shared" si="17"/>
        <v>-910301.63937144575</v>
      </c>
      <c r="I41" s="471">
        <f t="shared" si="6"/>
        <v>2300617.9976079403</v>
      </c>
      <c r="J41" s="471">
        <f t="shared" si="1"/>
        <v>19639.42193079949</v>
      </c>
      <c r="K41" s="475">
        <f t="shared" si="0"/>
        <v>-687379.76757798227</v>
      </c>
      <c r="L41" s="471">
        <f t="shared" ref="L41:L100" si="19">(K29+K41+SUM(K30:K40)*2)/24</f>
        <v>-805216.29916277935</v>
      </c>
      <c r="M41" s="452">
        <f t="shared" si="18"/>
        <v>1495401.6984451609</v>
      </c>
      <c r="N41" s="474">
        <f t="shared" si="3"/>
        <v>1276562.4255019666</v>
      </c>
    </row>
    <row r="42" spans="1:14" ht="15" hidden="1" outlineLevel="1">
      <c r="A42" s="427"/>
      <c r="B42" s="447">
        <v>42369</v>
      </c>
      <c r="C42" s="471"/>
      <c r="D42" s="471">
        <f t="shared" si="4"/>
        <v>3210919.6369793862</v>
      </c>
      <c r="E42" s="471">
        <f t="shared" si="16"/>
        <v>3210919.6369793862</v>
      </c>
      <c r="F42" s="471">
        <f t="shared" si="15"/>
        <v>56112.634087998551</v>
      </c>
      <c r="G42" s="471">
        <f t="shared" si="2"/>
        <v>-1303090.077987436</v>
      </c>
      <c r="H42" s="471">
        <f t="shared" si="17"/>
        <v>-966414.27345944429</v>
      </c>
      <c r="I42" s="471">
        <f t="shared" si="6"/>
        <v>2244505.3635199419</v>
      </c>
      <c r="J42" s="471">
        <f t="shared" si="1"/>
        <v>19639.42193079949</v>
      </c>
      <c r="K42" s="475">
        <f t="shared" si="0"/>
        <v>-667740.34564718278</v>
      </c>
      <c r="L42" s="471">
        <f t="shared" si="19"/>
        <v>-785576.87723197974</v>
      </c>
      <c r="M42" s="452">
        <f t="shared" si="18"/>
        <v>1458928.4862879622</v>
      </c>
      <c r="N42" s="451">
        <f t="shared" si="3"/>
        <v>1240089.2133447675</v>
      </c>
    </row>
    <row r="43" spans="1:14" ht="12.75" hidden="1" outlineLevel="1">
      <c r="A43" s="414"/>
      <c r="B43" s="307">
        <v>42400</v>
      </c>
      <c r="C43" s="308"/>
      <c r="D43" s="580">
        <f t="shared" si="4"/>
        <v>3210919.6369793862</v>
      </c>
      <c r="E43" s="580">
        <f t="shared" si="16"/>
        <v>3210919.6369793862</v>
      </c>
      <c r="F43" s="580">
        <f>F42</f>
        <v>56112.634087998551</v>
      </c>
      <c r="G43" s="580">
        <f t="shared" si="2"/>
        <v>-1359202.7120754346</v>
      </c>
      <c r="H43" s="580">
        <f t="shared" si="17"/>
        <v>-1022526.9075474428</v>
      </c>
      <c r="I43" s="580">
        <f t="shared" si="6"/>
        <v>2188392.7294319435</v>
      </c>
      <c r="J43" s="580">
        <f t="shared" si="1"/>
        <v>19639.42193079949</v>
      </c>
      <c r="K43" s="583">
        <f t="shared" si="0"/>
        <v>-648100.92371638329</v>
      </c>
      <c r="L43" s="580">
        <f t="shared" si="19"/>
        <v>-765937.45530118037</v>
      </c>
      <c r="M43" s="581">
        <f t="shared" si="18"/>
        <v>1422455.274130763</v>
      </c>
      <c r="N43" s="587">
        <f t="shared" si="3"/>
        <v>1203616.0011875683</v>
      </c>
    </row>
    <row r="44" spans="1:14" ht="12.75" hidden="1" outlineLevel="1">
      <c r="A44" s="413"/>
      <c r="B44" s="307">
        <v>42428</v>
      </c>
      <c r="C44" s="309"/>
      <c r="D44" s="580">
        <f t="shared" si="4"/>
        <v>3210919.6369793862</v>
      </c>
      <c r="E44" s="580">
        <f t="shared" si="16"/>
        <v>3210919.6369793862</v>
      </c>
      <c r="F44" s="580">
        <f t="shared" si="15"/>
        <v>56112.634087998551</v>
      </c>
      <c r="G44" s="580">
        <f t="shared" si="2"/>
        <v>-1415315.3461634333</v>
      </c>
      <c r="H44" s="580">
        <f t="shared" si="17"/>
        <v>-1078639.5416354416</v>
      </c>
      <c r="I44" s="580">
        <f t="shared" si="6"/>
        <v>2132280.0953439446</v>
      </c>
      <c r="J44" s="580">
        <f t="shared" si="1"/>
        <v>19639.42193079949</v>
      </c>
      <c r="K44" s="583">
        <f t="shared" si="0"/>
        <v>-628461.50178558379</v>
      </c>
      <c r="L44" s="580">
        <f t="shared" si="19"/>
        <v>-746298.03337038076</v>
      </c>
      <c r="M44" s="581">
        <f t="shared" si="18"/>
        <v>1385982.0619735639</v>
      </c>
      <c r="N44" s="582">
        <f t="shared" si="3"/>
        <v>1167142.7890303691</v>
      </c>
    </row>
    <row r="45" spans="1:14" ht="12.75" hidden="1" outlineLevel="1">
      <c r="A45" s="588"/>
      <c r="B45" s="307">
        <v>42460</v>
      </c>
      <c r="C45" s="1"/>
      <c r="D45" s="580">
        <f t="shared" si="4"/>
        <v>3210919.6369793862</v>
      </c>
      <c r="E45" s="580">
        <f t="shared" si="16"/>
        <v>3210919.6369793862</v>
      </c>
      <c r="F45" s="580">
        <f t="shared" si="15"/>
        <v>56112.634087998551</v>
      </c>
      <c r="G45" s="580">
        <f t="shared" si="2"/>
        <v>-1471427.9802514319</v>
      </c>
      <c r="H45" s="580">
        <f t="shared" si="17"/>
        <v>-1134752.1757234402</v>
      </c>
      <c r="I45" s="580">
        <f t="shared" si="6"/>
        <v>2076167.461255946</v>
      </c>
      <c r="J45" s="580">
        <f t="shared" si="1"/>
        <v>19639.42193079949</v>
      </c>
      <c r="K45" s="583">
        <f t="shared" si="0"/>
        <v>-608822.0798547843</v>
      </c>
      <c r="L45" s="580">
        <f t="shared" si="19"/>
        <v>-726658.61143958138</v>
      </c>
      <c r="M45" s="581">
        <f t="shared" si="18"/>
        <v>1349508.8498163647</v>
      </c>
      <c r="N45" s="587">
        <f t="shared" si="3"/>
        <v>1130669.57687317</v>
      </c>
    </row>
    <row r="46" spans="1:14" ht="12.75" hidden="1" outlineLevel="1">
      <c r="A46" s="463"/>
      <c r="B46" s="307">
        <v>42490</v>
      </c>
      <c r="C46" s="1"/>
      <c r="D46" s="580">
        <f t="shared" si="4"/>
        <v>3210919.6369793862</v>
      </c>
      <c r="E46" s="580">
        <f t="shared" si="16"/>
        <v>3210919.6369793862</v>
      </c>
      <c r="F46" s="580">
        <f t="shared" si="15"/>
        <v>56112.634087998551</v>
      </c>
      <c r="G46" s="580">
        <f t="shared" si="2"/>
        <v>-1527540.6143394306</v>
      </c>
      <c r="H46" s="580">
        <f t="shared" si="17"/>
        <v>-1190864.8098114387</v>
      </c>
      <c r="I46" s="580">
        <f t="shared" si="6"/>
        <v>2020054.8271679475</v>
      </c>
      <c r="J46" s="580">
        <f t="shared" si="1"/>
        <v>19639.42193079949</v>
      </c>
      <c r="K46" s="583">
        <f t="shared" si="0"/>
        <v>-589182.65792398481</v>
      </c>
      <c r="L46" s="580">
        <f t="shared" si="19"/>
        <v>-707019.18950878177</v>
      </c>
      <c r="M46" s="581">
        <f t="shared" si="18"/>
        <v>1313035.6376591658</v>
      </c>
      <c r="N46" s="582">
        <f t="shared" si="3"/>
        <v>1094196.3647159708</v>
      </c>
    </row>
    <row r="47" spans="1:14" ht="12.75" hidden="1" outlineLevel="1">
      <c r="A47" s="588"/>
      <c r="B47" s="307">
        <v>42521</v>
      </c>
      <c r="C47" s="1"/>
      <c r="D47" s="580">
        <f t="shared" si="4"/>
        <v>3210919.6369793862</v>
      </c>
      <c r="E47" s="580">
        <f t="shared" si="16"/>
        <v>3210919.6369793862</v>
      </c>
      <c r="F47" s="580">
        <f t="shared" si="15"/>
        <v>56112.634087998551</v>
      </c>
      <c r="G47" s="580">
        <f t="shared" si="2"/>
        <v>-1583653.2484274292</v>
      </c>
      <c r="H47" s="580">
        <f t="shared" si="17"/>
        <v>-1246977.4438994373</v>
      </c>
      <c r="I47" s="580">
        <f t="shared" si="6"/>
        <v>1963942.1930799489</v>
      </c>
      <c r="J47" s="580">
        <f t="shared" si="1"/>
        <v>19639.42193079949</v>
      </c>
      <c r="K47" s="583">
        <f t="shared" si="0"/>
        <v>-569543.23599318531</v>
      </c>
      <c r="L47" s="580">
        <f t="shared" si="19"/>
        <v>-687379.76757798227</v>
      </c>
      <c r="M47" s="581">
        <f t="shared" si="18"/>
        <v>1276562.4255019666</v>
      </c>
      <c r="N47" s="587">
        <f t="shared" si="3"/>
        <v>1057723.1525587717</v>
      </c>
    </row>
    <row r="48" spans="1:14" ht="12.75" hidden="1" outlineLevel="1">
      <c r="A48" s="588"/>
      <c r="B48" s="310">
        <v>42551</v>
      </c>
      <c r="C48" s="1"/>
      <c r="D48" s="580">
        <f t="shared" si="4"/>
        <v>3210919.6369793862</v>
      </c>
      <c r="E48" s="580">
        <f t="shared" si="16"/>
        <v>3210919.6369793862</v>
      </c>
      <c r="F48" s="580">
        <f t="shared" si="15"/>
        <v>56112.634087998551</v>
      </c>
      <c r="G48" s="580">
        <f t="shared" si="2"/>
        <v>-1639765.8825154279</v>
      </c>
      <c r="H48" s="580">
        <f t="shared" si="17"/>
        <v>-1303090.077987436</v>
      </c>
      <c r="I48" s="580">
        <f t="shared" si="6"/>
        <v>1907829.5589919502</v>
      </c>
      <c r="J48" s="580">
        <f t="shared" si="1"/>
        <v>19639.42193079949</v>
      </c>
      <c r="K48" s="583">
        <f t="shared" si="0"/>
        <v>-549903.81406238582</v>
      </c>
      <c r="L48" s="580">
        <f t="shared" si="19"/>
        <v>-667740.34564718278</v>
      </c>
      <c r="M48" s="581">
        <f t="shared" si="18"/>
        <v>1240089.2133447675</v>
      </c>
      <c r="N48" s="587">
        <f t="shared" si="3"/>
        <v>1021249.9404015725</v>
      </c>
    </row>
    <row r="49" spans="1:14" ht="12.75" hidden="1" outlineLevel="1">
      <c r="A49" s="588"/>
      <c r="B49" s="307">
        <v>42582</v>
      </c>
      <c r="C49" s="1"/>
      <c r="D49" s="580">
        <f t="shared" si="4"/>
        <v>3210919.6369793862</v>
      </c>
      <c r="E49" s="580">
        <f t="shared" si="16"/>
        <v>3210919.6369793862</v>
      </c>
      <c r="F49" s="580">
        <f t="shared" si="15"/>
        <v>56112.634087998551</v>
      </c>
      <c r="G49" s="580">
        <f t="shared" si="2"/>
        <v>-1695878.5166034265</v>
      </c>
      <c r="H49" s="580">
        <f t="shared" si="17"/>
        <v>-1359202.7120754344</v>
      </c>
      <c r="I49" s="580">
        <f t="shared" si="6"/>
        <v>1851716.9249039518</v>
      </c>
      <c r="J49" s="580">
        <f t="shared" si="1"/>
        <v>19639.42193079949</v>
      </c>
      <c r="K49" s="583">
        <f t="shared" si="0"/>
        <v>-530264.39213158633</v>
      </c>
      <c r="L49" s="580">
        <f t="shared" si="19"/>
        <v>-648100.9237163834</v>
      </c>
      <c r="M49" s="581">
        <f t="shared" si="18"/>
        <v>1203616.0011875685</v>
      </c>
      <c r="N49" s="587">
        <f t="shared" si="3"/>
        <v>984776.72824437334</v>
      </c>
    </row>
    <row r="50" spans="1:14" ht="12.75" hidden="1" outlineLevel="1">
      <c r="A50" s="463"/>
      <c r="B50" s="307">
        <v>42613</v>
      </c>
      <c r="C50" s="1"/>
      <c r="D50" s="580">
        <f t="shared" si="4"/>
        <v>3210919.6369793862</v>
      </c>
      <c r="E50" s="580">
        <f t="shared" si="16"/>
        <v>3210919.6369793862</v>
      </c>
      <c r="F50" s="580">
        <f t="shared" si="15"/>
        <v>56112.634087998551</v>
      </c>
      <c r="G50" s="580">
        <f t="shared" si="2"/>
        <v>-1751991.1506914252</v>
      </c>
      <c r="H50" s="580">
        <f t="shared" si="17"/>
        <v>-1415315.3461634333</v>
      </c>
      <c r="I50" s="580">
        <f t="shared" si="6"/>
        <v>1795604.2908159529</v>
      </c>
      <c r="J50" s="580">
        <f t="shared" si="1"/>
        <v>19639.42193079949</v>
      </c>
      <c r="K50" s="583">
        <f t="shared" si="0"/>
        <v>-510624.97020078683</v>
      </c>
      <c r="L50" s="580">
        <f t="shared" si="19"/>
        <v>-628461.50178558391</v>
      </c>
      <c r="M50" s="581">
        <f t="shared" si="18"/>
        <v>1167142.7890303689</v>
      </c>
      <c r="N50" s="582">
        <f t="shared" si="3"/>
        <v>948303.51608717418</v>
      </c>
    </row>
    <row r="51" spans="1:14" ht="12.75" hidden="1" outlineLevel="1">
      <c r="A51" s="588"/>
      <c r="B51" s="307">
        <v>42643</v>
      </c>
      <c r="C51" s="1"/>
      <c r="D51" s="580">
        <f t="shared" si="4"/>
        <v>3210919.6369793862</v>
      </c>
      <c r="E51" s="580">
        <f t="shared" si="16"/>
        <v>3210919.6369793862</v>
      </c>
      <c r="F51" s="580">
        <f t="shared" si="15"/>
        <v>56112.634087998551</v>
      </c>
      <c r="G51" s="580">
        <f t="shared" si="2"/>
        <v>-1808103.7847794238</v>
      </c>
      <c r="H51" s="580">
        <f t="shared" si="17"/>
        <v>-1471427.9802514322</v>
      </c>
      <c r="I51" s="580">
        <f t="shared" si="6"/>
        <v>1739491.656727954</v>
      </c>
      <c r="J51" s="580">
        <f t="shared" si="1"/>
        <v>19639.42193079949</v>
      </c>
      <c r="K51" s="583">
        <f t="shared" si="0"/>
        <v>-490985.54826998734</v>
      </c>
      <c r="L51" s="580">
        <f t="shared" si="19"/>
        <v>-608822.07985478442</v>
      </c>
      <c r="M51" s="581">
        <f t="shared" si="18"/>
        <v>1130669.5768731697</v>
      </c>
      <c r="N51" s="582">
        <f t="shared" si="3"/>
        <v>911830.30392997502</v>
      </c>
    </row>
    <row r="52" spans="1:14" ht="12.75" hidden="1" outlineLevel="1">
      <c r="A52" s="463"/>
      <c r="B52" s="307">
        <v>42674</v>
      </c>
      <c r="C52" s="102"/>
      <c r="D52" s="580">
        <f t="shared" si="4"/>
        <v>3210919.6369793862</v>
      </c>
      <c r="E52" s="580">
        <f t="shared" si="16"/>
        <v>3210919.6369793862</v>
      </c>
      <c r="F52" s="580">
        <f t="shared" si="15"/>
        <v>56112.634087998551</v>
      </c>
      <c r="G52" s="580">
        <f t="shared" si="2"/>
        <v>-1864216.4188674225</v>
      </c>
      <c r="H52" s="580">
        <f t="shared" si="17"/>
        <v>-1527540.6143394308</v>
      </c>
      <c r="I52" s="580">
        <f t="shared" si="6"/>
        <v>1683379.0226399554</v>
      </c>
      <c r="J52" s="580">
        <f t="shared" si="1"/>
        <v>19639.42193079949</v>
      </c>
      <c r="K52" s="583">
        <f t="shared" si="0"/>
        <v>-471346.12633918785</v>
      </c>
      <c r="L52" s="580">
        <f t="shared" si="19"/>
        <v>-589182.65792398481</v>
      </c>
      <c r="M52" s="581">
        <f t="shared" si="18"/>
        <v>1094196.3647159706</v>
      </c>
      <c r="N52" s="582">
        <f t="shared" si="3"/>
        <v>875357.09177277586</v>
      </c>
    </row>
    <row r="53" spans="1:14" ht="12.75" hidden="1" outlineLevel="1">
      <c r="A53" s="463"/>
      <c r="B53" s="307">
        <v>42704</v>
      </c>
      <c r="C53" s="102"/>
      <c r="D53" s="580">
        <f t="shared" si="4"/>
        <v>3210919.6369793862</v>
      </c>
      <c r="E53" s="580">
        <f t="shared" si="16"/>
        <v>3210919.6369793862</v>
      </c>
      <c r="F53" s="580">
        <f t="shared" si="15"/>
        <v>56112.634087998551</v>
      </c>
      <c r="G53" s="580">
        <f t="shared" si="2"/>
        <v>-1920329.0529554212</v>
      </c>
      <c r="H53" s="580">
        <f t="shared" si="17"/>
        <v>-1583653.2484274292</v>
      </c>
      <c r="I53" s="580">
        <f t="shared" si="6"/>
        <v>1627266.388551957</v>
      </c>
      <c r="J53" s="580">
        <f t="shared" si="1"/>
        <v>19639.42193079949</v>
      </c>
      <c r="K53" s="583">
        <f t="shared" si="0"/>
        <v>-451706.70440838835</v>
      </c>
      <c r="L53" s="580">
        <f t="shared" si="19"/>
        <v>-569543.23599318531</v>
      </c>
      <c r="M53" s="581">
        <f t="shared" si="18"/>
        <v>1057723.1525587717</v>
      </c>
      <c r="N53" s="582">
        <f t="shared" si="3"/>
        <v>838883.8796155767</v>
      </c>
    </row>
    <row r="54" spans="1:14" ht="12.75" hidden="1" outlineLevel="1">
      <c r="A54" s="463"/>
      <c r="B54" s="307">
        <v>42735</v>
      </c>
      <c r="C54" s="102"/>
      <c r="D54" s="580">
        <f t="shared" si="4"/>
        <v>3210919.6369793862</v>
      </c>
      <c r="E54" s="580">
        <f t="shared" si="16"/>
        <v>3210919.6369793862</v>
      </c>
      <c r="F54" s="580">
        <f t="shared" si="15"/>
        <v>56112.634087998551</v>
      </c>
      <c r="G54" s="580">
        <f t="shared" si="2"/>
        <v>-1976441.6870434198</v>
      </c>
      <c r="H54" s="580">
        <f t="shared" si="17"/>
        <v>-1639765.8825154279</v>
      </c>
      <c r="I54" s="580">
        <f t="shared" si="6"/>
        <v>1571153.7544639583</v>
      </c>
      <c r="J54" s="580">
        <f t="shared" si="1"/>
        <v>19639.42193079949</v>
      </c>
      <c r="K54" s="583">
        <f t="shared" si="0"/>
        <v>-432067.28247758886</v>
      </c>
      <c r="L54" s="580">
        <f t="shared" si="19"/>
        <v>-549903.81406238594</v>
      </c>
      <c r="M54" s="581">
        <f t="shared" si="18"/>
        <v>1021249.9404015724</v>
      </c>
      <c r="N54" s="582">
        <f t="shared" si="3"/>
        <v>802410.66745837755</v>
      </c>
    </row>
    <row r="55" spans="1:14" ht="12.75" hidden="1" outlineLevel="1">
      <c r="A55" s="463"/>
      <c r="B55" s="307">
        <v>42766</v>
      </c>
      <c r="C55" s="102"/>
      <c r="D55" s="580">
        <f t="shared" si="4"/>
        <v>3210919.6369793862</v>
      </c>
      <c r="E55" s="580">
        <f t="shared" si="16"/>
        <v>3210919.6369793862</v>
      </c>
      <c r="F55" s="580">
        <f t="shared" si="15"/>
        <v>56112.634087998551</v>
      </c>
      <c r="G55" s="580">
        <f t="shared" si="2"/>
        <v>-2032554.3211314185</v>
      </c>
      <c r="H55" s="580">
        <f t="shared" si="17"/>
        <v>-1695878.5166034263</v>
      </c>
      <c r="I55" s="580">
        <f t="shared" si="6"/>
        <v>1515041.1203759599</v>
      </c>
      <c r="J55" s="580">
        <f>(-C55*0.35)+(F55*0.35)+2.19</f>
        <v>19641.611930799489</v>
      </c>
      <c r="K55" s="583">
        <f t="shared" si="0"/>
        <v>-412425.67054678936</v>
      </c>
      <c r="L55" s="580">
        <f t="shared" si="19"/>
        <v>-530264.30088158639</v>
      </c>
      <c r="M55" s="581">
        <f t="shared" si="18"/>
        <v>984776.81949437351</v>
      </c>
      <c r="N55" s="582">
        <f t="shared" si="3"/>
        <v>765939.64530117833</v>
      </c>
    </row>
    <row r="56" spans="1:14" ht="12.75" hidden="1" outlineLevel="1">
      <c r="A56" s="463"/>
      <c r="B56" s="307">
        <v>42794</v>
      </c>
      <c r="C56" s="102"/>
      <c r="D56" s="580">
        <f t="shared" si="4"/>
        <v>3210919.6369793862</v>
      </c>
      <c r="E56" s="580">
        <f t="shared" si="16"/>
        <v>3210919.6369793862</v>
      </c>
      <c r="F56" s="580">
        <f t="shared" si="15"/>
        <v>56112.634087998551</v>
      </c>
      <c r="G56" s="580">
        <f t="shared" si="2"/>
        <v>-2088666.9552194171</v>
      </c>
      <c r="H56" s="580">
        <f t="shared" si="17"/>
        <v>-1751991.1506914252</v>
      </c>
      <c r="I56" s="580">
        <f t="shared" si="6"/>
        <v>1458928.486287961</v>
      </c>
      <c r="J56" s="734">
        <f t="shared" si="1"/>
        <v>19639.42193079949</v>
      </c>
      <c r="K56" s="583">
        <f t="shared" si="0"/>
        <v>-392786.24861598987</v>
      </c>
      <c r="L56" s="580">
        <f t="shared" si="19"/>
        <v>-510624.69645078684</v>
      </c>
      <c r="M56" s="581">
        <f t="shared" si="18"/>
        <v>948303.78983717412</v>
      </c>
      <c r="N56" s="582">
        <f t="shared" si="3"/>
        <v>729466.43314397917</v>
      </c>
    </row>
    <row r="57" spans="1:14" ht="12.75" hidden="1" outlineLevel="1">
      <c r="A57" s="463"/>
      <c r="B57" s="307">
        <v>42825</v>
      </c>
      <c r="C57" s="102"/>
      <c r="D57" s="580">
        <f t="shared" si="4"/>
        <v>3210919.6369793862</v>
      </c>
      <c r="E57" s="580">
        <f t="shared" si="16"/>
        <v>3210919.6369793862</v>
      </c>
      <c r="F57" s="580">
        <f t="shared" si="15"/>
        <v>56112.634087998551</v>
      </c>
      <c r="G57" s="580">
        <f t="shared" si="2"/>
        <v>-2144779.5893074158</v>
      </c>
      <c r="H57" s="580">
        <f t="shared" si="17"/>
        <v>-1808103.7847794238</v>
      </c>
      <c r="I57" s="580">
        <f t="shared" si="6"/>
        <v>1402815.8521999624</v>
      </c>
      <c r="J57" s="734">
        <f t="shared" si="1"/>
        <v>19639.42193079949</v>
      </c>
      <c r="K57" s="583">
        <f t="shared" si="0"/>
        <v>-373146.82668519038</v>
      </c>
      <c r="L57" s="580">
        <f t="shared" si="19"/>
        <v>-490985.09201998729</v>
      </c>
      <c r="M57" s="581">
        <f t="shared" si="18"/>
        <v>911830.76017997507</v>
      </c>
      <c r="N57" s="582">
        <f t="shared" si="3"/>
        <v>692993.22098678001</v>
      </c>
    </row>
    <row r="58" spans="1:14" ht="12.75" hidden="1" outlineLevel="1">
      <c r="A58" s="463"/>
      <c r="B58" s="307">
        <v>42855</v>
      </c>
      <c r="C58" s="102"/>
      <c r="D58" s="580">
        <f t="shared" si="4"/>
        <v>3210919.6369793862</v>
      </c>
      <c r="E58" s="580">
        <f t="shared" si="16"/>
        <v>3210919.6369793862</v>
      </c>
      <c r="F58" s="580">
        <f t="shared" si="15"/>
        <v>56112.634087998551</v>
      </c>
      <c r="G58" s="580">
        <f t="shared" si="2"/>
        <v>-2200892.2233954142</v>
      </c>
      <c r="H58" s="580">
        <f t="shared" si="17"/>
        <v>-1864216.4188674223</v>
      </c>
      <c r="I58" s="580">
        <f t="shared" si="6"/>
        <v>1346703.2181119639</v>
      </c>
      <c r="J58" s="734">
        <f t="shared" si="1"/>
        <v>19639.42193079949</v>
      </c>
      <c r="K58" s="583">
        <f t="shared" si="0"/>
        <v>-353507.40475439088</v>
      </c>
      <c r="L58" s="580">
        <f t="shared" si="19"/>
        <v>-471345.48758918786</v>
      </c>
      <c r="M58" s="581">
        <f t="shared" si="18"/>
        <v>875357.73052277602</v>
      </c>
      <c r="N58" s="582">
        <f t="shared" si="3"/>
        <v>656520.00882958109</v>
      </c>
    </row>
    <row r="59" spans="1:14" ht="12.75" hidden="1" outlineLevel="1">
      <c r="A59" s="463"/>
      <c r="B59" s="307">
        <v>42886</v>
      </c>
      <c r="C59" s="102"/>
      <c r="D59" s="580">
        <f t="shared" si="4"/>
        <v>3210919.6369793862</v>
      </c>
      <c r="E59" s="580">
        <f t="shared" si="16"/>
        <v>3210919.6369793862</v>
      </c>
      <c r="F59" s="580">
        <f t="shared" si="15"/>
        <v>56112.634087998551</v>
      </c>
      <c r="G59" s="580">
        <f t="shared" si="2"/>
        <v>-2257004.8574834126</v>
      </c>
      <c r="H59" s="580">
        <f t="shared" si="17"/>
        <v>-1920329.0529554214</v>
      </c>
      <c r="I59" s="580">
        <f t="shared" si="6"/>
        <v>1290590.5840239648</v>
      </c>
      <c r="J59" s="734">
        <f t="shared" si="1"/>
        <v>19639.42193079949</v>
      </c>
      <c r="K59" s="583">
        <f t="shared" si="0"/>
        <v>-333867.98282359139</v>
      </c>
      <c r="L59" s="580">
        <f t="shared" si="19"/>
        <v>-451705.88315838826</v>
      </c>
      <c r="M59" s="581">
        <f t="shared" si="18"/>
        <v>838884.70086557651</v>
      </c>
      <c r="N59" s="582">
        <f t="shared" si="3"/>
        <v>620046.79667238216</v>
      </c>
    </row>
    <row r="60" spans="1:14" ht="12.75" hidden="1" outlineLevel="1">
      <c r="A60" s="463"/>
      <c r="B60" s="310">
        <v>42916</v>
      </c>
      <c r="C60" s="102"/>
      <c r="D60" s="580">
        <f t="shared" si="4"/>
        <v>3210919.6369793862</v>
      </c>
      <c r="E60" s="580">
        <f t="shared" si="16"/>
        <v>3210919.6369793862</v>
      </c>
      <c r="F60" s="580">
        <f t="shared" si="15"/>
        <v>56112.634087998551</v>
      </c>
      <c r="G60" s="580">
        <f t="shared" si="2"/>
        <v>-2313117.491571411</v>
      </c>
      <c r="H60" s="580">
        <f t="shared" si="17"/>
        <v>-1976441.68704342</v>
      </c>
      <c r="I60" s="580">
        <f t="shared" si="6"/>
        <v>1234477.9499359662</v>
      </c>
      <c r="J60" s="734">
        <f t="shared" si="1"/>
        <v>19639.42193079949</v>
      </c>
      <c r="K60" s="583">
        <f t="shared" si="0"/>
        <v>-314228.56089279189</v>
      </c>
      <c r="L60" s="580">
        <f t="shared" si="19"/>
        <v>-432066.27872758877</v>
      </c>
      <c r="M60" s="581">
        <f t="shared" si="18"/>
        <v>802411.67120837746</v>
      </c>
      <c r="N60" s="582">
        <f t="shared" si="3"/>
        <v>583573.58451518323</v>
      </c>
    </row>
    <row r="61" spans="1:14" ht="12.75" hidden="1" outlineLevel="1">
      <c r="A61" s="463"/>
      <c r="B61" s="307">
        <v>42947</v>
      </c>
      <c r="C61" s="102"/>
      <c r="D61" s="580">
        <f t="shared" si="4"/>
        <v>3210919.6369793862</v>
      </c>
      <c r="E61" s="580">
        <f t="shared" si="16"/>
        <v>3210919.6369793862</v>
      </c>
      <c r="F61" s="580">
        <f t="shared" si="15"/>
        <v>56112.634087998551</v>
      </c>
      <c r="G61" s="580">
        <f t="shared" si="2"/>
        <v>-2369230.1256594094</v>
      </c>
      <c r="H61" s="580">
        <f t="shared" si="17"/>
        <v>-2032554.3211314185</v>
      </c>
      <c r="I61" s="580">
        <f t="shared" si="6"/>
        <v>1178365.3158479678</v>
      </c>
      <c r="J61" s="734">
        <f t="shared" si="1"/>
        <v>19639.42193079949</v>
      </c>
      <c r="K61" s="583">
        <f t="shared" si="0"/>
        <v>-294589.1389619924</v>
      </c>
      <c r="L61" s="580">
        <f t="shared" si="19"/>
        <v>-412426.67429678934</v>
      </c>
      <c r="M61" s="581">
        <f t="shared" si="18"/>
        <v>765938.64155117841</v>
      </c>
      <c r="N61" s="582">
        <f t="shared" si="3"/>
        <v>547100.37235798431</v>
      </c>
    </row>
    <row r="62" spans="1:14" ht="12.75" hidden="1" outlineLevel="1">
      <c r="A62" s="463"/>
      <c r="B62" s="307">
        <v>42978</v>
      </c>
      <c r="C62" s="102"/>
      <c r="D62" s="580">
        <f t="shared" si="4"/>
        <v>3210919.6369793862</v>
      </c>
      <c r="E62" s="580">
        <f t="shared" si="16"/>
        <v>3210919.6369793862</v>
      </c>
      <c r="F62" s="580">
        <f t="shared" si="15"/>
        <v>56112.634087998551</v>
      </c>
      <c r="G62" s="580">
        <f t="shared" si="2"/>
        <v>-2425342.7597474079</v>
      </c>
      <c r="H62" s="580">
        <f t="shared" si="17"/>
        <v>-2088666.9552194171</v>
      </c>
      <c r="I62" s="580">
        <f t="shared" si="6"/>
        <v>1122252.6817599691</v>
      </c>
      <c r="J62" s="734">
        <f t="shared" si="1"/>
        <v>19639.42193079949</v>
      </c>
      <c r="K62" s="583">
        <f t="shared" si="0"/>
        <v>-274949.71703119291</v>
      </c>
      <c r="L62" s="580">
        <f t="shared" si="19"/>
        <v>-392787.06986598991</v>
      </c>
      <c r="M62" s="581">
        <f t="shared" si="18"/>
        <v>729465.61189397913</v>
      </c>
      <c r="N62" s="582">
        <f t="shared" si="3"/>
        <v>510627.16020078544</v>
      </c>
    </row>
    <row r="63" spans="1:14" ht="12.75" hidden="1" outlineLevel="1">
      <c r="A63" s="463"/>
      <c r="B63" s="307">
        <v>43008</v>
      </c>
      <c r="C63" s="102"/>
      <c r="D63" s="580">
        <f t="shared" si="4"/>
        <v>3210919.6369793862</v>
      </c>
      <c r="E63" s="580">
        <f t="shared" si="16"/>
        <v>3210919.6369793862</v>
      </c>
      <c r="F63" s="580">
        <f t="shared" si="15"/>
        <v>56112.634087998551</v>
      </c>
      <c r="G63" s="580">
        <f t="shared" si="2"/>
        <v>-2481455.3938354063</v>
      </c>
      <c r="H63" s="580">
        <f t="shared" si="17"/>
        <v>-2144779.5893074158</v>
      </c>
      <c r="I63" s="580">
        <f t="shared" si="6"/>
        <v>1066140.0476719704</v>
      </c>
      <c r="J63" s="734">
        <f t="shared" si="1"/>
        <v>19639.42193079949</v>
      </c>
      <c r="K63" s="583">
        <f t="shared" si="0"/>
        <v>-255310.29510039341</v>
      </c>
      <c r="L63" s="580">
        <f t="shared" si="19"/>
        <v>-373147.46543519036</v>
      </c>
      <c r="M63" s="581">
        <f t="shared" si="18"/>
        <v>692992.58223678009</v>
      </c>
      <c r="N63" s="582">
        <f t="shared" si="3"/>
        <v>474153.94804358651</v>
      </c>
    </row>
    <row r="64" spans="1:14" ht="12.75" hidden="1" outlineLevel="1">
      <c r="A64" s="463"/>
      <c r="B64" s="307">
        <v>43039</v>
      </c>
      <c r="C64" s="102"/>
      <c r="D64" s="580">
        <f t="shared" si="4"/>
        <v>3210919.6369793862</v>
      </c>
      <c r="E64" s="580">
        <f t="shared" si="16"/>
        <v>3210919.6369793862</v>
      </c>
      <c r="F64" s="580">
        <f t="shared" si="15"/>
        <v>56112.634087998551</v>
      </c>
      <c r="G64" s="580">
        <f t="shared" si="2"/>
        <v>-2537568.0279234047</v>
      </c>
      <c r="H64" s="580">
        <f t="shared" si="17"/>
        <v>-2200892.2233954142</v>
      </c>
      <c r="I64" s="580">
        <f t="shared" si="6"/>
        <v>1010027.413583972</v>
      </c>
      <c r="J64" s="734">
        <f t="shared" si="1"/>
        <v>19639.42193079949</v>
      </c>
      <c r="K64" s="583">
        <f t="shared" si="0"/>
        <v>-235670.87316959392</v>
      </c>
      <c r="L64" s="580">
        <f t="shared" si="19"/>
        <v>-353507.86100439081</v>
      </c>
      <c r="M64" s="581">
        <f t="shared" si="18"/>
        <v>656519.55257958127</v>
      </c>
      <c r="N64" s="582">
        <f t="shared" si="3"/>
        <v>437680.73588638759</v>
      </c>
    </row>
    <row r="65" spans="1:15" ht="12.75" hidden="1" outlineLevel="1">
      <c r="A65" s="463"/>
      <c r="B65" s="307">
        <v>43069</v>
      </c>
      <c r="C65" s="102"/>
      <c r="D65" s="580">
        <f t="shared" si="4"/>
        <v>3210919.6369793862</v>
      </c>
      <c r="E65" s="580">
        <f t="shared" si="16"/>
        <v>3210919.6369793862</v>
      </c>
      <c r="F65" s="580">
        <f t="shared" si="15"/>
        <v>56112.634087998551</v>
      </c>
      <c r="G65" s="580">
        <f t="shared" si="2"/>
        <v>-2593680.6620114031</v>
      </c>
      <c r="H65" s="580">
        <f t="shared" si="17"/>
        <v>-2257004.8574834126</v>
      </c>
      <c r="I65" s="580">
        <f t="shared" si="6"/>
        <v>953914.77949597361</v>
      </c>
      <c r="J65" s="734">
        <f t="shared" si="1"/>
        <v>19639.42193079949</v>
      </c>
      <c r="K65" s="583">
        <f t="shared" si="0"/>
        <v>-216031.45123879443</v>
      </c>
      <c r="L65" s="580">
        <f t="shared" si="19"/>
        <v>-333868.25657359138</v>
      </c>
      <c r="M65" s="581">
        <f t="shared" si="18"/>
        <v>620046.52292238222</v>
      </c>
      <c r="N65" s="582">
        <f t="shared" si="3"/>
        <v>401207.52372918866</v>
      </c>
    </row>
    <row r="66" spans="1:15" ht="12.75" hidden="1" outlineLevel="1">
      <c r="A66" s="463"/>
      <c r="B66" s="307">
        <v>43100</v>
      </c>
      <c r="C66" s="102"/>
      <c r="D66" s="580">
        <f t="shared" si="4"/>
        <v>3210919.6369793862</v>
      </c>
      <c r="E66" s="580">
        <f t="shared" si="16"/>
        <v>3210919.6369793862</v>
      </c>
      <c r="F66" s="580">
        <f t="shared" si="15"/>
        <v>56112.634087998551</v>
      </c>
      <c r="G66" s="580">
        <f t="shared" si="2"/>
        <v>-2649793.2960994015</v>
      </c>
      <c r="H66" s="580">
        <f t="shared" si="17"/>
        <v>-2313117.491571411</v>
      </c>
      <c r="I66" s="580">
        <f t="shared" si="6"/>
        <v>897802.14540797519</v>
      </c>
      <c r="J66" s="734">
        <f t="shared" si="1"/>
        <v>19639.42193079949</v>
      </c>
      <c r="K66" s="583">
        <f t="shared" si="0"/>
        <v>-196392.02930799493</v>
      </c>
      <c r="L66" s="580">
        <f t="shared" si="19"/>
        <v>-314228.65214279183</v>
      </c>
      <c r="M66" s="581">
        <f t="shared" si="18"/>
        <v>583573.49326518341</v>
      </c>
      <c r="N66" s="582">
        <f t="shared" si="3"/>
        <v>364734.31157198973</v>
      </c>
    </row>
    <row r="67" spans="1:15" s="81" customFormat="1" ht="12.75" collapsed="1">
      <c r="A67" s="588"/>
      <c r="B67" s="495">
        <v>43131</v>
      </c>
      <c r="C67" s="1"/>
      <c r="D67" s="580">
        <f t="shared" si="4"/>
        <v>3210919.6369793862</v>
      </c>
      <c r="E67" s="580">
        <f t="shared" si="16"/>
        <v>3210919.6369793862</v>
      </c>
      <c r="F67" s="580">
        <f t="shared" si="15"/>
        <v>56112.634087998551</v>
      </c>
      <c r="G67" s="580">
        <f t="shared" si="2"/>
        <v>-2705905.9301874</v>
      </c>
      <c r="H67" s="580">
        <f t="shared" si="17"/>
        <v>-2369230.1256594094</v>
      </c>
      <c r="I67" s="580">
        <f t="shared" si="6"/>
        <v>841689.51131997677</v>
      </c>
      <c r="J67" s="734">
        <v>11783.73</v>
      </c>
      <c r="K67" s="583">
        <f t="shared" si="0"/>
        <v>-184608.29930799492</v>
      </c>
      <c r="L67" s="580">
        <f t="shared" si="19"/>
        <v>-294916.45945910906</v>
      </c>
      <c r="M67" s="581">
        <f t="shared" si="18"/>
        <v>546773.05186086777</v>
      </c>
      <c r="N67" s="587">
        <f t="shared" si="3"/>
        <v>320405.40748399135</v>
      </c>
    </row>
    <row r="68" spans="1:15" s="81" customFormat="1" ht="12.75">
      <c r="A68" s="588"/>
      <c r="B68" s="495">
        <v>43159</v>
      </c>
      <c r="C68" s="1"/>
      <c r="D68" s="580">
        <f t="shared" si="4"/>
        <v>3210919.6369793862</v>
      </c>
      <c r="E68" s="580">
        <f t="shared" si="16"/>
        <v>3210919.6369793862</v>
      </c>
      <c r="F68" s="580">
        <f t="shared" si="15"/>
        <v>56112.634087998551</v>
      </c>
      <c r="G68" s="580">
        <f t="shared" si="2"/>
        <v>-2762018.5642753984</v>
      </c>
      <c r="H68" s="580">
        <f t="shared" si="17"/>
        <v>-2425342.7597474079</v>
      </c>
      <c r="I68" s="580">
        <f t="shared" si="6"/>
        <v>785576.87723197835</v>
      </c>
      <c r="J68" s="734">
        <v>11783.73</v>
      </c>
      <c r="K68" s="583">
        <f t="shared" si="0"/>
        <v>-172824.56930799491</v>
      </c>
      <c r="L68" s="580">
        <f t="shared" si="19"/>
        <v>-276258.99901965947</v>
      </c>
      <c r="M68" s="581">
        <f t="shared" si="18"/>
        <v>509317.87821231887</v>
      </c>
      <c r="N68" s="587">
        <f t="shared" si="3"/>
        <v>276076.50339599291</v>
      </c>
    </row>
    <row r="69" spans="1:15" s="81" customFormat="1" ht="12.75">
      <c r="A69" s="588"/>
      <c r="B69" s="495">
        <v>43190</v>
      </c>
      <c r="C69" s="1"/>
      <c r="D69" s="580">
        <f t="shared" si="4"/>
        <v>3210919.6369793862</v>
      </c>
      <c r="E69" s="580">
        <f t="shared" si="16"/>
        <v>3210919.6369793862</v>
      </c>
      <c r="F69" s="580">
        <f t="shared" si="15"/>
        <v>56112.634087998551</v>
      </c>
      <c r="G69" s="580">
        <f t="shared" si="2"/>
        <v>-2818131.1983633968</v>
      </c>
      <c r="H69" s="580">
        <f t="shared" si="17"/>
        <v>-2481455.3938354063</v>
      </c>
      <c r="I69" s="580">
        <f t="shared" si="6"/>
        <v>729464.24314397993</v>
      </c>
      <c r="J69" s="734">
        <v>11783.73</v>
      </c>
      <c r="K69" s="583">
        <f t="shared" si="0"/>
        <v>-161040.8393079949</v>
      </c>
      <c r="L69" s="580">
        <f t="shared" si="19"/>
        <v>-258256.17957444326</v>
      </c>
      <c r="M69" s="581">
        <f t="shared" si="18"/>
        <v>471208.06356953667</v>
      </c>
      <c r="N69" s="587">
        <f t="shared" si="3"/>
        <v>231747.5993079945</v>
      </c>
    </row>
    <row r="70" spans="1:15" s="81" customFormat="1" ht="12.75">
      <c r="A70" s="588"/>
      <c r="B70" s="495">
        <v>43220</v>
      </c>
      <c r="C70" s="1"/>
      <c r="D70" s="580">
        <f t="shared" si="4"/>
        <v>3210919.6369793862</v>
      </c>
      <c r="E70" s="580">
        <f t="shared" si="16"/>
        <v>3210919.6369793862</v>
      </c>
      <c r="F70" s="580">
        <f t="shared" si="15"/>
        <v>56112.634087998551</v>
      </c>
      <c r="G70" s="580">
        <f t="shared" si="2"/>
        <v>-2874243.8324513952</v>
      </c>
      <c r="H70" s="580">
        <f t="shared" si="17"/>
        <v>-2537568.0279234047</v>
      </c>
      <c r="I70" s="580">
        <f t="shared" si="6"/>
        <v>673351.60905598151</v>
      </c>
      <c r="J70" s="734">
        <v>11783.73</v>
      </c>
      <c r="K70" s="583">
        <f t="shared" si="0"/>
        <v>-149257.10930799489</v>
      </c>
      <c r="L70" s="580">
        <f t="shared" si="19"/>
        <v>-240908.00112346027</v>
      </c>
      <c r="M70" s="581">
        <f t="shared" si="18"/>
        <v>432443.60793252126</v>
      </c>
      <c r="N70" s="587">
        <f t="shared" si="3"/>
        <v>187418.69521999609</v>
      </c>
    </row>
    <row r="71" spans="1:15" s="81" customFormat="1" ht="12.75">
      <c r="A71" s="588"/>
      <c r="B71" s="495">
        <v>43251</v>
      </c>
      <c r="C71" s="1"/>
      <c r="D71" s="580">
        <f t="shared" si="4"/>
        <v>3210919.6369793862</v>
      </c>
      <c r="E71" s="580">
        <f t="shared" si="16"/>
        <v>3210919.6369793862</v>
      </c>
      <c r="F71" s="580">
        <f t="shared" si="15"/>
        <v>56112.634087998551</v>
      </c>
      <c r="G71" s="580">
        <f t="shared" si="2"/>
        <v>-2930356.4665393936</v>
      </c>
      <c r="H71" s="580">
        <f t="shared" si="17"/>
        <v>-2593680.6620114031</v>
      </c>
      <c r="I71" s="580">
        <f t="shared" si="6"/>
        <v>617238.97496798309</v>
      </c>
      <c r="J71" s="734">
        <v>11783.73</v>
      </c>
      <c r="K71" s="583">
        <f t="shared" si="0"/>
        <v>-137473.37930799488</v>
      </c>
      <c r="L71" s="580">
        <f t="shared" si="19"/>
        <v>-224214.46366671062</v>
      </c>
      <c r="M71" s="581">
        <f t="shared" si="18"/>
        <v>393024.51130127243</v>
      </c>
      <c r="N71" s="587">
        <f t="shared" si="3"/>
        <v>143089.79113199768</v>
      </c>
    </row>
    <row r="72" spans="1:15" s="81" customFormat="1" ht="12.75">
      <c r="A72" s="588"/>
      <c r="B72" s="495">
        <v>43281</v>
      </c>
      <c r="C72" s="1"/>
      <c r="D72" s="580">
        <f t="shared" si="4"/>
        <v>3210919.6369793862</v>
      </c>
      <c r="E72" s="580">
        <f t="shared" si="16"/>
        <v>3210919.6369793862</v>
      </c>
      <c r="F72" s="580">
        <f t="shared" si="15"/>
        <v>56112.634087998551</v>
      </c>
      <c r="G72" s="580">
        <f t="shared" si="2"/>
        <v>-2986469.1006273921</v>
      </c>
      <c r="H72" s="580">
        <f t="shared" si="17"/>
        <v>-2649793.2960994015</v>
      </c>
      <c r="I72" s="580">
        <f t="shared" si="6"/>
        <v>561126.34087998467</v>
      </c>
      <c r="J72" s="734">
        <v>11783.73</v>
      </c>
      <c r="K72" s="583">
        <f t="shared" si="0"/>
        <v>-125689.64930799489</v>
      </c>
      <c r="L72" s="580">
        <f t="shared" si="19"/>
        <v>-208175.56720419417</v>
      </c>
      <c r="M72" s="581">
        <f t="shared" si="18"/>
        <v>352950.77367579052</v>
      </c>
      <c r="N72" s="587">
        <f t="shared" si="3"/>
        <v>98760.887043999261</v>
      </c>
    </row>
    <row r="73" spans="1:15" s="81" customFormat="1" ht="12.75">
      <c r="A73" s="588"/>
      <c r="B73" s="495">
        <v>43312</v>
      </c>
      <c r="C73" s="1"/>
      <c r="D73" s="580">
        <f t="shared" si="4"/>
        <v>3210919.6369793862</v>
      </c>
      <c r="E73" s="580">
        <f t="shared" si="16"/>
        <v>3210919.6369793862</v>
      </c>
      <c r="F73" s="580">
        <f t="shared" si="15"/>
        <v>56112.634087998551</v>
      </c>
      <c r="G73" s="580">
        <f t="shared" si="2"/>
        <v>-3042581.7347153905</v>
      </c>
      <c r="H73" s="580">
        <f t="shared" si="17"/>
        <v>-2705905.9301874</v>
      </c>
      <c r="I73" s="580">
        <f t="shared" si="6"/>
        <v>505013.70679198625</v>
      </c>
      <c r="J73" s="734">
        <v>11783.73</v>
      </c>
      <c r="K73" s="583">
        <f t="shared" si="0"/>
        <v>-113905.91930799489</v>
      </c>
      <c r="L73" s="580">
        <f t="shared" si="19"/>
        <v>-192791.31173591103</v>
      </c>
      <c r="M73" s="581">
        <f t="shared" si="18"/>
        <v>312222.39505607518</v>
      </c>
      <c r="N73" s="587">
        <f t="shared" si="3"/>
        <v>54431.982956000837</v>
      </c>
    </row>
    <row r="74" spans="1:15" s="81" customFormat="1" ht="12.75">
      <c r="A74" s="588"/>
      <c r="B74" s="495">
        <v>43343</v>
      </c>
      <c r="C74" s="1"/>
      <c r="D74" s="580">
        <f t="shared" si="4"/>
        <v>3210919.6369793862</v>
      </c>
      <c r="E74" s="580">
        <f t="shared" si="16"/>
        <v>3210919.6369793862</v>
      </c>
      <c r="F74" s="580">
        <f t="shared" si="15"/>
        <v>56112.634087998551</v>
      </c>
      <c r="G74" s="580">
        <f t="shared" si="2"/>
        <v>-3098694.3688033889</v>
      </c>
      <c r="H74" s="580">
        <f t="shared" si="17"/>
        <v>-2762018.5642753984</v>
      </c>
      <c r="I74" s="580">
        <f t="shared" si="6"/>
        <v>448901.07270398783</v>
      </c>
      <c r="J74" s="734">
        <v>11783.73</v>
      </c>
      <c r="K74" s="583">
        <f t="shared" si="0"/>
        <v>-102122.18930799489</v>
      </c>
      <c r="L74" s="580">
        <f t="shared" si="19"/>
        <v>-178061.69726186121</v>
      </c>
      <c r="M74" s="581">
        <f t="shared" si="18"/>
        <v>270839.37544212665</v>
      </c>
      <c r="N74" s="587">
        <f t="shared" si="3"/>
        <v>10103.078868002412</v>
      </c>
    </row>
    <row r="75" spans="1:15" s="81" customFormat="1" ht="12.75">
      <c r="A75" s="588"/>
      <c r="B75" s="495">
        <v>43373</v>
      </c>
      <c r="C75" s="1"/>
      <c r="D75" s="580">
        <f t="shared" si="4"/>
        <v>3210919.6369793862</v>
      </c>
      <c r="E75" s="580">
        <f t="shared" si="16"/>
        <v>3210919.6369793862</v>
      </c>
      <c r="F75" s="580">
        <f t="shared" si="15"/>
        <v>56112.634087998551</v>
      </c>
      <c r="G75" s="580">
        <f t="shared" si="2"/>
        <v>-3154807.0028913873</v>
      </c>
      <c r="H75" s="580">
        <f t="shared" si="17"/>
        <v>-2818131.1983633968</v>
      </c>
      <c r="I75" s="580">
        <f t="shared" si="6"/>
        <v>392788.43861598941</v>
      </c>
      <c r="J75" s="734">
        <v>11783.73</v>
      </c>
      <c r="K75" s="583">
        <f t="shared" ref="K75:K100" si="20">K74+J75</f>
        <v>-90338.459307994897</v>
      </c>
      <c r="L75" s="580">
        <f t="shared" si="19"/>
        <v>-163986.72378204469</v>
      </c>
      <c r="M75" s="581">
        <f t="shared" si="18"/>
        <v>228801.71483394472</v>
      </c>
      <c r="N75" s="587"/>
    </row>
    <row r="76" spans="1:15" s="81" customFormat="1" ht="12.75">
      <c r="A76" s="588"/>
      <c r="B76" s="495">
        <v>43404</v>
      </c>
      <c r="C76" s="1"/>
      <c r="D76" s="580">
        <f t="shared" si="4"/>
        <v>3210919.6369793862</v>
      </c>
      <c r="E76" s="580">
        <f t="shared" si="16"/>
        <v>3210919.6369793862</v>
      </c>
      <c r="F76" s="580">
        <f t="shared" si="15"/>
        <v>56112.634087998551</v>
      </c>
      <c r="G76" s="580">
        <f t="shared" si="2"/>
        <v>-3210919.6369793857</v>
      </c>
      <c r="H76" s="580">
        <f t="shared" si="17"/>
        <v>-2874243.8324513952</v>
      </c>
      <c r="I76" s="580">
        <f t="shared" si="6"/>
        <v>336675.80452799099</v>
      </c>
      <c r="J76" s="734">
        <v>11780.14</v>
      </c>
      <c r="K76" s="583">
        <f t="shared" si="20"/>
        <v>-78558.319307994898</v>
      </c>
      <c r="L76" s="580">
        <f t="shared" si="19"/>
        <v>-150566.54087979483</v>
      </c>
      <c r="M76" s="581">
        <f t="shared" si="18"/>
        <v>186109.26364819615</v>
      </c>
      <c r="N76" s="587"/>
      <c r="O76" s="910"/>
    </row>
    <row r="77" spans="1:15" s="81" customFormat="1" ht="12.75">
      <c r="A77" s="588"/>
      <c r="B77" s="495">
        <v>43434</v>
      </c>
      <c r="C77" s="1"/>
      <c r="D77" s="580">
        <f t="shared" si="4"/>
        <v>3210919.6369793862</v>
      </c>
      <c r="E77" s="580">
        <f t="shared" si="16"/>
        <v>3210919.6369793862</v>
      </c>
      <c r="F77" s="580"/>
      <c r="G77" s="580">
        <f t="shared" si="2"/>
        <v>-3210919.6369793857</v>
      </c>
      <c r="H77" s="580">
        <f t="shared" si="17"/>
        <v>-2928018.4401190602</v>
      </c>
      <c r="I77" s="580">
        <f t="shared" si="6"/>
        <v>282901.19686032599</v>
      </c>
      <c r="J77" s="580">
        <f t="shared" ref="J77:J100" si="21">(-C77*0.35)+(F77*0.35)</f>
        <v>0</v>
      </c>
      <c r="K77" s="583">
        <f t="shared" si="20"/>
        <v>-78558.319307994898</v>
      </c>
      <c r="L77" s="580">
        <f t="shared" si="19"/>
        <v>-138292.13730511154</v>
      </c>
      <c r="M77" s="581">
        <f t="shared" si="18"/>
        <v>144609.05955521445</v>
      </c>
      <c r="N77" s="587"/>
    </row>
    <row r="78" spans="1:15" s="81" customFormat="1" ht="12.75">
      <c r="A78" s="588"/>
      <c r="B78" s="495">
        <v>43465</v>
      </c>
      <c r="C78" s="1"/>
      <c r="D78" s="580">
        <f t="shared" ref="D78:D100" si="22">D77+C78</f>
        <v>3210919.6369793862</v>
      </c>
      <c r="E78" s="580">
        <f t="shared" si="16"/>
        <v>3210919.6369793862</v>
      </c>
      <c r="F78" s="580"/>
      <c r="G78" s="580">
        <f t="shared" ref="G78:G100" si="23">G77-F78</f>
        <v>-3210919.6369793857</v>
      </c>
      <c r="H78" s="580">
        <f t="shared" si="17"/>
        <v>-2977116.9949460588</v>
      </c>
      <c r="I78" s="580">
        <f t="shared" si="6"/>
        <v>233802.64203332737</v>
      </c>
      <c r="J78" s="580">
        <f t="shared" si="21"/>
        <v>0</v>
      </c>
      <c r="K78" s="583">
        <f t="shared" si="20"/>
        <v>-78558.319307994898</v>
      </c>
      <c r="L78" s="580">
        <f t="shared" si="19"/>
        <v>-127654.35222466156</v>
      </c>
      <c r="M78" s="581">
        <f t="shared" si="18"/>
        <v>106148.28980866581</v>
      </c>
      <c r="N78" s="587"/>
    </row>
    <row r="79" spans="1:15" s="81" customFormat="1" ht="12.75">
      <c r="A79" s="588"/>
      <c r="B79" s="495">
        <v>43496</v>
      </c>
      <c r="C79" s="1"/>
      <c r="D79" s="580">
        <f t="shared" si="22"/>
        <v>3210919.6369793862</v>
      </c>
      <c r="E79" s="580">
        <f t="shared" si="16"/>
        <v>3210919.6369793862</v>
      </c>
      <c r="F79" s="580"/>
      <c r="G79" s="580">
        <f t="shared" si="23"/>
        <v>-3210919.6369793857</v>
      </c>
      <c r="H79" s="580">
        <f t="shared" si="17"/>
        <v>-3021539.4969323911</v>
      </c>
      <c r="I79" s="580">
        <f t="shared" si="6"/>
        <v>189380.14004699513</v>
      </c>
      <c r="J79" s="580">
        <f t="shared" si="21"/>
        <v>0</v>
      </c>
      <c r="K79" s="583">
        <f t="shared" si="20"/>
        <v>-78558.319307994898</v>
      </c>
      <c r="L79" s="580">
        <f t="shared" si="19"/>
        <v>-118325.86514132819</v>
      </c>
      <c r="M79" s="581">
        <f t="shared" si="18"/>
        <v>71054.274905666942</v>
      </c>
      <c r="N79" s="587"/>
    </row>
    <row r="80" spans="1:15" ht="12.75">
      <c r="A80" s="463"/>
      <c r="B80" s="307">
        <v>43524</v>
      </c>
      <c r="C80" s="102"/>
      <c r="D80" s="580">
        <f t="shared" si="22"/>
        <v>3210919.6369793862</v>
      </c>
      <c r="E80" s="580">
        <f t="shared" si="16"/>
        <v>3210919.6369793862</v>
      </c>
      <c r="F80" s="580"/>
      <c r="G80" s="580">
        <f t="shared" si="23"/>
        <v>-3210919.6369793857</v>
      </c>
      <c r="H80" s="580">
        <f t="shared" si="17"/>
        <v>-3061285.9460780565</v>
      </c>
      <c r="I80" s="580">
        <f t="shared" si="6"/>
        <v>149633.69090132974</v>
      </c>
      <c r="J80" s="580">
        <f t="shared" si="21"/>
        <v>0</v>
      </c>
      <c r="K80" s="583">
        <f t="shared" si="20"/>
        <v>-78558.319307994898</v>
      </c>
      <c r="L80" s="580">
        <f t="shared" si="19"/>
        <v>-109979.35555799487</v>
      </c>
      <c r="M80" s="581">
        <f t="shared" si="18"/>
        <v>39654.335343334868</v>
      </c>
      <c r="N80" s="582"/>
    </row>
    <row r="81" spans="1:14" ht="12.75">
      <c r="A81" s="463"/>
      <c r="B81" s="307">
        <v>43555</v>
      </c>
      <c r="C81" s="102"/>
      <c r="D81" s="580">
        <f t="shared" si="22"/>
        <v>3210919.6369793862</v>
      </c>
      <c r="E81" s="580">
        <f t="shared" si="16"/>
        <v>3210919.6369793862</v>
      </c>
      <c r="F81" s="580"/>
      <c r="G81" s="580">
        <f t="shared" si="23"/>
        <v>-3210919.6369793857</v>
      </c>
      <c r="H81" s="580">
        <f t="shared" si="17"/>
        <v>-3096356.3423830555</v>
      </c>
      <c r="I81" s="580">
        <f t="shared" si="6"/>
        <v>114563.29459633073</v>
      </c>
      <c r="J81" s="580">
        <f t="shared" si="21"/>
        <v>0</v>
      </c>
      <c r="K81" s="583">
        <f t="shared" si="20"/>
        <v>-78558.319307994898</v>
      </c>
      <c r="L81" s="580">
        <f t="shared" si="19"/>
        <v>-102614.82347466156</v>
      </c>
      <c r="M81" s="581">
        <f t="shared" si="18"/>
        <v>11948.471121669165</v>
      </c>
      <c r="N81" s="582"/>
    </row>
    <row r="82" spans="1:14" ht="12.75">
      <c r="A82" s="463"/>
      <c r="B82" s="307">
        <v>43585</v>
      </c>
      <c r="C82" s="102"/>
      <c r="D82" s="580">
        <f t="shared" si="22"/>
        <v>3210919.6369793862</v>
      </c>
      <c r="E82" s="580">
        <f t="shared" si="16"/>
        <v>3210919.6369793862</v>
      </c>
      <c r="F82" s="580"/>
      <c r="G82" s="580">
        <f t="shared" si="23"/>
        <v>-3210919.6369793857</v>
      </c>
      <c r="H82" s="580">
        <f t="shared" si="17"/>
        <v>-3126750.6858473881</v>
      </c>
      <c r="I82" s="580">
        <f t="shared" ref="I82:I100" si="24">E82+H82</f>
        <v>84168.951131998096</v>
      </c>
      <c r="J82" s="580">
        <f t="shared" si="21"/>
        <v>0</v>
      </c>
      <c r="K82" s="583">
        <f t="shared" si="20"/>
        <v>-78558.319307994898</v>
      </c>
      <c r="L82" s="580">
        <f t="shared" si="19"/>
        <v>-96232.268891328233</v>
      </c>
      <c r="M82" s="581">
        <f t="shared" si="18"/>
        <v>-12063.317759330137</v>
      </c>
      <c r="N82" s="582"/>
    </row>
    <row r="83" spans="1:14" ht="12.75">
      <c r="A83" s="463"/>
      <c r="B83" s="307">
        <v>43616</v>
      </c>
      <c r="C83" s="102"/>
      <c r="D83" s="580">
        <f t="shared" si="22"/>
        <v>3210919.6369793862</v>
      </c>
      <c r="E83" s="580">
        <f t="shared" si="16"/>
        <v>3210919.6369793862</v>
      </c>
      <c r="F83" s="580"/>
      <c r="G83" s="580">
        <f t="shared" si="23"/>
        <v>-3210919.6369793857</v>
      </c>
      <c r="H83" s="580">
        <f t="shared" si="17"/>
        <v>-3152468.9764710539</v>
      </c>
      <c r="I83" s="580">
        <f t="shared" si="24"/>
        <v>58450.660508332308</v>
      </c>
      <c r="J83" s="580">
        <f t="shared" si="21"/>
        <v>0</v>
      </c>
      <c r="K83" s="583">
        <f t="shared" si="20"/>
        <v>-78558.319307994898</v>
      </c>
      <c r="L83" s="580">
        <f t="shared" si="19"/>
        <v>-90831.69180799491</v>
      </c>
      <c r="M83" s="581">
        <f t="shared" si="18"/>
        <v>-32381.031299662602</v>
      </c>
      <c r="N83" s="582"/>
    </row>
    <row r="84" spans="1:14" ht="12.75">
      <c r="A84" s="463"/>
      <c r="B84" s="310">
        <v>43646</v>
      </c>
      <c r="C84" s="102"/>
      <c r="D84" s="580">
        <f t="shared" si="22"/>
        <v>3210919.6369793862</v>
      </c>
      <c r="E84" s="580">
        <f t="shared" si="16"/>
        <v>3210919.6369793862</v>
      </c>
      <c r="F84" s="580"/>
      <c r="G84" s="580">
        <f t="shared" si="23"/>
        <v>-3210919.6369793857</v>
      </c>
      <c r="H84" s="580">
        <f t="shared" si="17"/>
        <v>-3173511.2142540533</v>
      </c>
      <c r="I84" s="580">
        <f t="shared" si="24"/>
        <v>37408.422725332901</v>
      </c>
      <c r="J84" s="580">
        <f t="shared" si="21"/>
        <v>0</v>
      </c>
      <c r="K84" s="583">
        <f t="shared" si="20"/>
        <v>-78558.319307994898</v>
      </c>
      <c r="L84" s="580">
        <f t="shared" si="19"/>
        <v>-86413.092224661566</v>
      </c>
      <c r="M84" s="581">
        <f t="shared" si="18"/>
        <v>-49004.669499328666</v>
      </c>
      <c r="N84" s="582"/>
    </row>
    <row r="85" spans="1:14" ht="12.75">
      <c r="A85" s="463"/>
      <c r="B85" s="307">
        <v>43677</v>
      </c>
      <c r="C85" s="102"/>
      <c r="D85" s="580">
        <f t="shared" si="22"/>
        <v>3210919.6369793862</v>
      </c>
      <c r="E85" s="580">
        <f t="shared" si="16"/>
        <v>3210919.6369793862</v>
      </c>
      <c r="F85" s="580"/>
      <c r="G85" s="580">
        <f t="shared" si="23"/>
        <v>-3210919.6369793857</v>
      </c>
      <c r="H85" s="580">
        <f t="shared" si="17"/>
        <v>-3189877.3991963863</v>
      </c>
      <c r="I85" s="580">
        <f t="shared" si="24"/>
        <v>21042.237782999873</v>
      </c>
      <c r="J85" s="580">
        <f t="shared" si="21"/>
        <v>0</v>
      </c>
      <c r="K85" s="583">
        <f t="shared" si="20"/>
        <v>-78558.319307994898</v>
      </c>
      <c r="L85" s="580">
        <f t="shared" si="19"/>
        <v>-82976.470141328231</v>
      </c>
      <c r="M85" s="581">
        <f t="shared" si="18"/>
        <v>-61934.232358328358</v>
      </c>
      <c r="N85" s="582"/>
    </row>
    <row r="86" spans="1:14" ht="12.75">
      <c r="A86" s="463"/>
      <c r="B86" s="307">
        <v>43708</v>
      </c>
      <c r="C86" s="102"/>
      <c r="D86" s="580">
        <f t="shared" si="22"/>
        <v>3210919.6369793862</v>
      </c>
      <c r="E86" s="580">
        <f t="shared" si="16"/>
        <v>3210919.6369793862</v>
      </c>
      <c r="F86" s="580"/>
      <c r="G86" s="580">
        <f t="shared" si="23"/>
        <v>-3210919.6369793857</v>
      </c>
      <c r="H86" s="580">
        <f t="shared" si="17"/>
        <v>-3201567.5312980525</v>
      </c>
      <c r="I86" s="580">
        <f t="shared" si="24"/>
        <v>9352.1056813336909</v>
      </c>
      <c r="J86" s="580">
        <f t="shared" si="21"/>
        <v>0</v>
      </c>
      <c r="K86" s="583">
        <f t="shared" si="20"/>
        <v>-78558.319307994898</v>
      </c>
      <c r="L86" s="580">
        <f t="shared" si="19"/>
        <v>-80521.825557994904</v>
      </c>
      <c r="M86" s="581">
        <f t="shared" si="18"/>
        <v>-71169.719876661213</v>
      </c>
      <c r="N86" s="582"/>
    </row>
    <row r="87" spans="1:14" ht="12.75">
      <c r="A87" s="463"/>
      <c r="B87" s="307">
        <v>43738</v>
      </c>
      <c r="C87" s="102"/>
      <c r="D87" s="580">
        <f t="shared" si="22"/>
        <v>3210919.6369793862</v>
      </c>
      <c r="E87" s="580">
        <f t="shared" si="16"/>
        <v>3210919.6369793862</v>
      </c>
      <c r="F87" s="580"/>
      <c r="G87" s="580">
        <f t="shared" si="23"/>
        <v>-3210919.6369793857</v>
      </c>
      <c r="H87" s="580">
        <f t="shared" si="17"/>
        <v>-3208581.6105590523</v>
      </c>
      <c r="I87" s="580">
        <f>E87+H87</f>
        <v>2338.0264203338884</v>
      </c>
      <c r="J87" s="580">
        <f t="shared" si="21"/>
        <v>0</v>
      </c>
      <c r="K87" s="583">
        <f t="shared" si="20"/>
        <v>-78558.319307994898</v>
      </c>
      <c r="L87" s="580">
        <f t="shared" si="19"/>
        <v>-79049.15847466157</v>
      </c>
      <c r="M87" s="581">
        <f t="shared" si="18"/>
        <v>-76711.132054327682</v>
      </c>
      <c r="N87" s="582"/>
    </row>
    <row r="88" spans="1:14" ht="12.75">
      <c r="A88" s="463"/>
      <c r="B88" s="307">
        <v>43769</v>
      </c>
      <c r="C88" s="102"/>
      <c r="D88" s="580">
        <f t="shared" si="22"/>
        <v>3210919.6369793862</v>
      </c>
      <c r="E88" s="580">
        <f t="shared" si="16"/>
        <v>3210919.6369793862</v>
      </c>
      <c r="F88" s="580"/>
      <c r="G88" s="580">
        <f t="shared" si="23"/>
        <v>-3210919.6369793857</v>
      </c>
      <c r="H88" s="580">
        <f>(G76+G88+SUM(G77:G87)*2)/24</f>
        <v>-3210919.6369793857</v>
      </c>
      <c r="I88" s="580">
        <f t="shared" si="24"/>
        <v>0</v>
      </c>
      <c r="J88" s="580">
        <f t="shared" si="21"/>
        <v>0</v>
      </c>
      <c r="K88" s="583">
        <f t="shared" si="20"/>
        <v>-78558.319307994898</v>
      </c>
      <c r="L88" s="580">
        <f t="shared" si="19"/>
        <v>-78558.319307994898</v>
      </c>
      <c r="M88" s="581">
        <f t="shared" si="18"/>
        <v>-78558.319307994898</v>
      </c>
      <c r="N88" s="582"/>
    </row>
    <row r="89" spans="1:14" ht="12.75">
      <c r="A89" s="463"/>
      <c r="B89" s="307">
        <v>43799</v>
      </c>
      <c r="C89" s="102"/>
      <c r="D89" s="580">
        <f t="shared" si="22"/>
        <v>3210919.6369793862</v>
      </c>
      <c r="E89" s="580">
        <f t="shared" ref="E89:E100" si="25">(D77+D89+SUM(D78:D88)*2)/24</f>
        <v>3210919.6369793862</v>
      </c>
      <c r="F89" s="580"/>
      <c r="G89" s="580">
        <f t="shared" si="23"/>
        <v>-3210919.6369793857</v>
      </c>
      <c r="H89" s="580">
        <f t="shared" si="17"/>
        <v>-3210919.6369793857</v>
      </c>
      <c r="I89" s="580">
        <f t="shared" si="24"/>
        <v>0</v>
      </c>
      <c r="J89" s="580">
        <f t="shared" si="21"/>
        <v>0</v>
      </c>
      <c r="K89" s="583">
        <f t="shared" si="20"/>
        <v>-78558.319307994898</v>
      </c>
      <c r="L89" s="580">
        <f t="shared" si="19"/>
        <v>-78558.319307994898</v>
      </c>
      <c r="M89" s="581">
        <f t="shared" si="18"/>
        <v>-78558.319307994898</v>
      </c>
      <c r="N89" s="582"/>
    </row>
    <row r="90" spans="1:14" ht="12.75">
      <c r="A90" s="463"/>
      <c r="B90" s="307">
        <v>43830</v>
      </c>
      <c r="C90" s="102"/>
      <c r="D90" s="580">
        <f t="shared" si="22"/>
        <v>3210919.6369793862</v>
      </c>
      <c r="E90" s="580">
        <f t="shared" si="25"/>
        <v>3210919.6369793862</v>
      </c>
      <c r="F90" s="580"/>
      <c r="G90" s="580">
        <f t="shared" si="23"/>
        <v>-3210919.6369793857</v>
      </c>
      <c r="H90" s="580">
        <f t="shared" si="17"/>
        <v>-3210919.6369793857</v>
      </c>
      <c r="I90" s="580">
        <f t="shared" si="24"/>
        <v>0</v>
      </c>
      <c r="J90" s="580">
        <f t="shared" si="21"/>
        <v>0</v>
      </c>
      <c r="K90" s="583">
        <f t="shared" si="20"/>
        <v>-78558.319307994898</v>
      </c>
      <c r="L90" s="580">
        <f t="shared" si="19"/>
        <v>-78558.319307994898</v>
      </c>
      <c r="M90" s="581">
        <f t="shared" si="18"/>
        <v>-78558.319307994898</v>
      </c>
      <c r="N90" s="582"/>
    </row>
    <row r="91" spans="1:14" ht="12.75">
      <c r="A91" s="463"/>
      <c r="B91" s="307">
        <v>43861</v>
      </c>
      <c r="C91" s="102"/>
      <c r="D91" s="580">
        <f t="shared" si="22"/>
        <v>3210919.6369793862</v>
      </c>
      <c r="E91" s="580">
        <f t="shared" si="25"/>
        <v>3210919.6369793862</v>
      </c>
      <c r="F91" s="584"/>
      <c r="G91" s="580">
        <f t="shared" si="23"/>
        <v>-3210919.6369793857</v>
      </c>
      <c r="H91" s="580">
        <f t="shared" si="17"/>
        <v>-3210919.6369793857</v>
      </c>
      <c r="I91" s="580">
        <f t="shared" si="24"/>
        <v>0</v>
      </c>
      <c r="J91" s="580">
        <f t="shared" si="21"/>
        <v>0</v>
      </c>
      <c r="K91" s="583">
        <f t="shared" si="20"/>
        <v>-78558.319307994898</v>
      </c>
      <c r="L91" s="580">
        <f t="shared" si="19"/>
        <v>-78558.319307994898</v>
      </c>
      <c r="M91" s="581">
        <f t="shared" si="18"/>
        <v>-78558.319307994898</v>
      </c>
      <c r="N91" s="582"/>
    </row>
    <row r="92" spans="1:14" ht="12.75">
      <c r="A92" s="463"/>
      <c r="B92" s="307">
        <v>43889</v>
      </c>
      <c r="C92" s="102"/>
      <c r="D92" s="580">
        <f t="shared" si="22"/>
        <v>3210919.6369793862</v>
      </c>
      <c r="E92" s="580">
        <f t="shared" si="25"/>
        <v>3210919.6369793862</v>
      </c>
      <c r="F92" s="584"/>
      <c r="G92" s="580">
        <f t="shared" si="23"/>
        <v>-3210919.6369793857</v>
      </c>
      <c r="H92" s="580">
        <f t="shared" si="17"/>
        <v>-3210919.6369793857</v>
      </c>
      <c r="I92" s="580">
        <f t="shared" si="24"/>
        <v>0</v>
      </c>
      <c r="J92" s="580">
        <f t="shared" si="21"/>
        <v>0</v>
      </c>
      <c r="K92" s="583">
        <f t="shared" si="20"/>
        <v>-78558.319307994898</v>
      </c>
      <c r="L92" s="580">
        <f t="shared" si="19"/>
        <v>-78558.319307994898</v>
      </c>
      <c r="M92" s="581">
        <f t="shared" si="18"/>
        <v>-78558.319307994898</v>
      </c>
      <c r="N92" s="582"/>
    </row>
    <row r="93" spans="1:14" ht="12.75">
      <c r="A93" s="463"/>
      <c r="B93" s="307">
        <v>43921</v>
      </c>
      <c r="C93" s="102"/>
      <c r="D93" s="580">
        <f t="shared" si="22"/>
        <v>3210919.6369793862</v>
      </c>
      <c r="E93" s="580">
        <f t="shared" si="25"/>
        <v>3210919.6369793862</v>
      </c>
      <c r="F93" s="584"/>
      <c r="G93" s="580">
        <f t="shared" si="23"/>
        <v>-3210919.6369793857</v>
      </c>
      <c r="H93" s="580">
        <f t="shared" si="17"/>
        <v>-3210919.6369793857</v>
      </c>
      <c r="I93" s="580">
        <f t="shared" si="24"/>
        <v>0</v>
      </c>
      <c r="J93" s="580">
        <f t="shared" si="21"/>
        <v>0</v>
      </c>
      <c r="K93" s="583">
        <f t="shared" si="20"/>
        <v>-78558.319307994898</v>
      </c>
      <c r="L93" s="580">
        <f t="shared" si="19"/>
        <v>-78558.319307994898</v>
      </c>
      <c r="M93" s="581">
        <f t="shared" si="18"/>
        <v>-78558.319307994898</v>
      </c>
      <c r="N93" s="582"/>
    </row>
    <row r="94" spans="1:14" ht="12.75">
      <c r="A94" s="463"/>
      <c r="B94" s="307">
        <v>43951</v>
      </c>
      <c r="C94" s="102"/>
      <c r="D94" s="580">
        <f t="shared" si="22"/>
        <v>3210919.6369793862</v>
      </c>
      <c r="E94" s="580">
        <f t="shared" si="25"/>
        <v>3210919.6369793862</v>
      </c>
      <c r="F94" s="584"/>
      <c r="G94" s="580">
        <f t="shared" si="23"/>
        <v>-3210919.6369793857</v>
      </c>
      <c r="H94" s="580">
        <f t="shared" si="17"/>
        <v>-3210919.6369793857</v>
      </c>
      <c r="I94" s="580">
        <f t="shared" si="24"/>
        <v>0</v>
      </c>
      <c r="J94" s="580">
        <f t="shared" si="21"/>
        <v>0</v>
      </c>
      <c r="K94" s="583">
        <f t="shared" si="20"/>
        <v>-78558.319307994898</v>
      </c>
      <c r="L94" s="580">
        <f t="shared" si="19"/>
        <v>-78558.319307994898</v>
      </c>
      <c r="M94" s="581">
        <f t="shared" si="18"/>
        <v>-78558.319307994898</v>
      </c>
      <c r="N94" s="582"/>
    </row>
    <row r="95" spans="1:14" ht="12.75">
      <c r="A95" s="463"/>
      <c r="B95" s="307">
        <v>43982</v>
      </c>
      <c r="C95" s="102"/>
      <c r="D95" s="580">
        <f t="shared" si="22"/>
        <v>3210919.6369793862</v>
      </c>
      <c r="E95" s="580">
        <f t="shared" si="25"/>
        <v>3210919.6369793862</v>
      </c>
      <c r="F95" s="584"/>
      <c r="G95" s="580">
        <f t="shared" si="23"/>
        <v>-3210919.6369793857</v>
      </c>
      <c r="H95" s="580">
        <f t="shared" si="17"/>
        <v>-3210919.6369793857</v>
      </c>
      <c r="I95" s="580">
        <f t="shared" si="24"/>
        <v>0</v>
      </c>
      <c r="J95" s="580">
        <f t="shared" si="21"/>
        <v>0</v>
      </c>
      <c r="K95" s="583">
        <f t="shared" si="20"/>
        <v>-78558.319307994898</v>
      </c>
      <c r="L95" s="580">
        <f t="shared" si="19"/>
        <v>-78558.319307994898</v>
      </c>
      <c r="M95" s="581">
        <f t="shared" si="18"/>
        <v>-78558.319307994898</v>
      </c>
      <c r="N95" s="582"/>
    </row>
    <row r="96" spans="1:14" ht="12.75">
      <c r="A96" s="463"/>
      <c r="B96" s="310">
        <v>44012</v>
      </c>
      <c r="C96" s="102"/>
      <c r="D96" s="580">
        <f t="shared" si="22"/>
        <v>3210919.6369793862</v>
      </c>
      <c r="E96" s="580">
        <f t="shared" si="25"/>
        <v>3210919.6369793862</v>
      </c>
      <c r="F96" s="584"/>
      <c r="G96" s="580">
        <f t="shared" si="23"/>
        <v>-3210919.6369793857</v>
      </c>
      <c r="H96" s="580">
        <f t="shared" si="17"/>
        <v>-3210919.6369793857</v>
      </c>
      <c r="I96" s="580">
        <f t="shared" si="24"/>
        <v>0</v>
      </c>
      <c r="J96" s="580">
        <f t="shared" si="21"/>
        <v>0</v>
      </c>
      <c r="K96" s="583">
        <f t="shared" si="20"/>
        <v>-78558.319307994898</v>
      </c>
      <c r="L96" s="580">
        <f t="shared" si="19"/>
        <v>-78558.319307994898</v>
      </c>
      <c r="M96" s="581">
        <f t="shared" si="18"/>
        <v>-78558.319307994898</v>
      </c>
      <c r="N96" s="582"/>
    </row>
    <row r="97" spans="1:14" ht="12.75">
      <c r="A97" s="463"/>
      <c r="B97" s="307">
        <v>44043</v>
      </c>
      <c r="C97" s="102"/>
      <c r="D97" s="580">
        <f t="shared" si="22"/>
        <v>3210919.6369793862</v>
      </c>
      <c r="E97" s="580">
        <f t="shared" si="25"/>
        <v>3210919.6369793862</v>
      </c>
      <c r="F97" s="584"/>
      <c r="G97" s="580">
        <f t="shared" si="23"/>
        <v>-3210919.6369793857</v>
      </c>
      <c r="H97" s="580">
        <f t="shared" si="17"/>
        <v>-3210919.6369793857</v>
      </c>
      <c r="I97" s="580">
        <f t="shared" si="24"/>
        <v>0</v>
      </c>
      <c r="J97" s="580">
        <f t="shared" si="21"/>
        <v>0</v>
      </c>
      <c r="K97" s="583">
        <f t="shared" si="20"/>
        <v>-78558.319307994898</v>
      </c>
      <c r="L97" s="580">
        <f t="shared" si="19"/>
        <v>-78558.319307994898</v>
      </c>
      <c r="M97" s="581">
        <f t="shared" si="18"/>
        <v>-78558.319307994898</v>
      </c>
      <c r="N97" s="582"/>
    </row>
    <row r="98" spans="1:14" ht="12.75">
      <c r="A98" s="463"/>
      <c r="B98" s="307">
        <v>44074</v>
      </c>
      <c r="C98" s="102"/>
      <c r="D98" s="580">
        <f t="shared" si="22"/>
        <v>3210919.6369793862</v>
      </c>
      <c r="E98" s="580">
        <f t="shared" si="25"/>
        <v>3210919.6369793862</v>
      </c>
      <c r="F98" s="584"/>
      <c r="G98" s="580">
        <f t="shared" si="23"/>
        <v>-3210919.6369793857</v>
      </c>
      <c r="H98" s="580">
        <f t="shared" si="17"/>
        <v>-3210919.6369793857</v>
      </c>
      <c r="I98" s="580">
        <f t="shared" si="24"/>
        <v>0</v>
      </c>
      <c r="J98" s="580">
        <f t="shared" si="21"/>
        <v>0</v>
      </c>
      <c r="K98" s="583">
        <f t="shared" si="20"/>
        <v>-78558.319307994898</v>
      </c>
      <c r="L98" s="580">
        <f t="shared" si="19"/>
        <v>-78558.319307994898</v>
      </c>
      <c r="M98" s="581">
        <f t="shared" si="18"/>
        <v>-78558.319307994898</v>
      </c>
      <c r="N98" s="582"/>
    </row>
    <row r="99" spans="1:14" ht="12.75">
      <c r="A99" s="463"/>
      <c r="B99" s="307">
        <v>44104</v>
      </c>
      <c r="C99" s="102"/>
      <c r="D99" s="580">
        <f t="shared" si="22"/>
        <v>3210919.6369793862</v>
      </c>
      <c r="E99" s="580">
        <f t="shared" si="25"/>
        <v>3210919.6369793862</v>
      </c>
      <c r="F99" s="584"/>
      <c r="G99" s="580">
        <f t="shared" si="23"/>
        <v>-3210919.6369793857</v>
      </c>
      <c r="H99" s="580">
        <f t="shared" si="17"/>
        <v>-3210919.6369793857</v>
      </c>
      <c r="I99" s="580">
        <f t="shared" si="24"/>
        <v>0</v>
      </c>
      <c r="J99" s="580">
        <f t="shared" si="21"/>
        <v>0</v>
      </c>
      <c r="K99" s="583">
        <f t="shared" si="20"/>
        <v>-78558.319307994898</v>
      </c>
      <c r="L99" s="580">
        <f t="shared" si="19"/>
        <v>-78558.319307994898</v>
      </c>
      <c r="M99" s="581">
        <f t="shared" si="18"/>
        <v>-78558.319307994898</v>
      </c>
      <c r="N99" s="582"/>
    </row>
    <row r="100" spans="1:14" ht="12.75">
      <c r="A100" s="463"/>
      <c r="B100" s="307">
        <v>44135</v>
      </c>
      <c r="C100" s="102"/>
      <c r="D100" s="580">
        <f t="shared" si="22"/>
        <v>3210919.6369793862</v>
      </c>
      <c r="E100" s="580">
        <f t="shared" si="25"/>
        <v>3210919.6369793862</v>
      </c>
      <c r="F100" s="584"/>
      <c r="G100" s="580">
        <f t="shared" si="23"/>
        <v>-3210919.6369793857</v>
      </c>
      <c r="H100" s="580">
        <f t="shared" si="17"/>
        <v>-3210919.6369793857</v>
      </c>
      <c r="I100" s="580">
        <f t="shared" si="24"/>
        <v>0</v>
      </c>
      <c r="J100" s="580">
        <f t="shared" si="21"/>
        <v>0</v>
      </c>
      <c r="K100" s="311">
        <f t="shared" si="20"/>
        <v>-78558.319307994898</v>
      </c>
      <c r="L100" s="308">
        <f t="shared" si="19"/>
        <v>-78558.319307994898</v>
      </c>
      <c r="M100" s="416">
        <f t="shared" si="18"/>
        <v>-78558.319307994898</v>
      </c>
      <c r="N100" s="415"/>
    </row>
    <row r="101" spans="1:14" ht="12.75">
      <c r="A101" s="463"/>
      <c r="B101" s="307">
        <v>44165</v>
      </c>
      <c r="C101" s="102"/>
      <c r="D101" s="580">
        <f t="shared" ref="D101:D106" si="26">D100+C101</f>
        <v>3210919.6369793862</v>
      </c>
      <c r="E101" s="580">
        <f t="shared" ref="E101:E106" si="27">(D89+D101+SUM(D90:D100)*2)/24</f>
        <v>3210919.6369793862</v>
      </c>
      <c r="F101" s="584"/>
      <c r="G101" s="580">
        <f t="shared" ref="G101:G106" si="28">G100-F101</f>
        <v>-3210919.6369793857</v>
      </c>
      <c r="H101" s="580">
        <f t="shared" ref="H101:H106" si="29">(G89+G101+SUM(G90:G100)*2)/24</f>
        <v>-3210919.6369793857</v>
      </c>
      <c r="I101" s="580">
        <f t="shared" ref="I101:I106" si="30">E101+H101</f>
        <v>0</v>
      </c>
      <c r="J101" s="580">
        <f t="shared" ref="J101:J106" si="31">(-C101*0.35)+(F101*0.35)</f>
        <v>0</v>
      </c>
      <c r="K101" s="311">
        <f t="shared" ref="K101:K106" si="32">K100+J101</f>
        <v>-78558.319307994898</v>
      </c>
      <c r="L101" s="308">
        <f t="shared" ref="L101:L106" si="33">(K89+K101+SUM(K90:K100)*2)/24</f>
        <v>-78558.319307994898</v>
      </c>
      <c r="M101" s="416">
        <f t="shared" ref="M101:M106" si="34">L101+I101</f>
        <v>-78558.319307994898</v>
      </c>
      <c r="N101" s="415"/>
    </row>
    <row r="102" spans="1:14" ht="12.75">
      <c r="A102" s="463"/>
      <c r="B102" s="307">
        <v>44196</v>
      </c>
      <c r="C102" s="102"/>
      <c r="D102" s="580">
        <f t="shared" si="26"/>
        <v>3210919.6369793862</v>
      </c>
      <c r="E102" s="580">
        <f t="shared" si="27"/>
        <v>3210919.6369793862</v>
      </c>
      <c r="F102" s="584"/>
      <c r="G102" s="580">
        <f t="shared" si="28"/>
        <v>-3210919.6369793857</v>
      </c>
      <c r="H102" s="580">
        <f t="shared" si="29"/>
        <v>-3210919.6369793857</v>
      </c>
      <c r="I102" s="580">
        <f t="shared" si="30"/>
        <v>0</v>
      </c>
      <c r="J102" s="580">
        <f t="shared" si="31"/>
        <v>0</v>
      </c>
      <c r="K102" s="311">
        <f t="shared" si="32"/>
        <v>-78558.319307994898</v>
      </c>
      <c r="L102" s="308">
        <f t="shared" si="33"/>
        <v>-78558.319307994898</v>
      </c>
      <c r="M102" s="416">
        <f t="shared" si="34"/>
        <v>-78558.319307994898</v>
      </c>
      <c r="N102" s="415"/>
    </row>
    <row r="103" spans="1:14" ht="12.75">
      <c r="A103" s="463"/>
      <c r="B103" s="307">
        <v>44227</v>
      </c>
      <c r="C103" s="102"/>
      <c r="D103" s="580">
        <f t="shared" si="26"/>
        <v>3210919.6369793862</v>
      </c>
      <c r="E103" s="580">
        <f t="shared" si="27"/>
        <v>3210919.6369793862</v>
      </c>
      <c r="F103" s="584"/>
      <c r="G103" s="580">
        <f t="shared" si="28"/>
        <v>-3210919.6369793857</v>
      </c>
      <c r="H103" s="580">
        <f t="shared" si="29"/>
        <v>-3210919.6369793857</v>
      </c>
      <c r="I103" s="580">
        <f t="shared" si="30"/>
        <v>0</v>
      </c>
      <c r="J103" s="580">
        <f t="shared" si="31"/>
        <v>0</v>
      </c>
      <c r="K103" s="311">
        <f t="shared" si="32"/>
        <v>-78558.319307994898</v>
      </c>
      <c r="L103" s="308">
        <f t="shared" si="33"/>
        <v>-78558.319307994898</v>
      </c>
      <c r="M103" s="416">
        <f t="shared" si="34"/>
        <v>-78558.319307994898</v>
      </c>
      <c r="N103" s="415"/>
    </row>
    <row r="104" spans="1:14" ht="12.75">
      <c r="A104" s="463"/>
      <c r="B104" s="307">
        <v>44255</v>
      </c>
      <c r="C104" s="102"/>
      <c r="D104" s="580">
        <f t="shared" si="26"/>
        <v>3210919.6369793862</v>
      </c>
      <c r="E104" s="580">
        <f t="shared" si="27"/>
        <v>3210919.6369793862</v>
      </c>
      <c r="F104" s="584"/>
      <c r="G104" s="580">
        <f t="shared" si="28"/>
        <v>-3210919.6369793857</v>
      </c>
      <c r="H104" s="580">
        <f t="shared" si="29"/>
        <v>-3210919.6369793857</v>
      </c>
      <c r="I104" s="580">
        <f t="shared" si="30"/>
        <v>0</v>
      </c>
      <c r="J104" s="580">
        <f t="shared" si="31"/>
        <v>0</v>
      </c>
      <c r="K104" s="311">
        <f t="shared" si="32"/>
        <v>-78558.319307994898</v>
      </c>
      <c r="L104" s="308">
        <f t="shared" si="33"/>
        <v>-78558.319307994898</v>
      </c>
      <c r="M104" s="416">
        <f t="shared" si="34"/>
        <v>-78558.319307994898</v>
      </c>
      <c r="N104" s="415"/>
    </row>
    <row r="105" spans="1:14" ht="12.75">
      <c r="A105" s="463"/>
      <c r="B105" s="307">
        <v>44286</v>
      </c>
      <c r="C105" s="102"/>
      <c r="D105" s="580">
        <f t="shared" si="26"/>
        <v>3210919.6369793862</v>
      </c>
      <c r="E105" s="580">
        <f t="shared" si="27"/>
        <v>3210919.6369793862</v>
      </c>
      <c r="F105" s="584"/>
      <c r="G105" s="580">
        <f t="shared" si="28"/>
        <v>-3210919.6369793857</v>
      </c>
      <c r="H105" s="580">
        <f t="shared" si="29"/>
        <v>-3210919.6369793857</v>
      </c>
      <c r="I105" s="580">
        <f t="shared" si="30"/>
        <v>0</v>
      </c>
      <c r="J105" s="580">
        <f t="shared" si="31"/>
        <v>0</v>
      </c>
      <c r="K105" s="311">
        <f t="shared" si="32"/>
        <v>-78558.319307994898</v>
      </c>
      <c r="L105" s="308">
        <f t="shared" si="33"/>
        <v>-78558.319307994898</v>
      </c>
      <c r="M105" s="416">
        <f t="shared" si="34"/>
        <v>-78558.319307994898</v>
      </c>
      <c r="N105" s="415"/>
    </row>
    <row r="106" spans="1:14" ht="12.75">
      <c r="A106" s="463"/>
      <c r="B106" s="307">
        <v>44316</v>
      </c>
      <c r="C106" s="102"/>
      <c r="D106" s="580">
        <f t="shared" si="26"/>
        <v>3210919.6369793862</v>
      </c>
      <c r="E106" s="580">
        <f t="shared" si="27"/>
        <v>3210919.6369793862</v>
      </c>
      <c r="F106" s="584"/>
      <c r="G106" s="580">
        <f t="shared" si="28"/>
        <v>-3210919.6369793857</v>
      </c>
      <c r="H106" s="580">
        <f t="shared" si="29"/>
        <v>-3210919.6369793857</v>
      </c>
      <c r="I106" s="580">
        <f t="shared" si="30"/>
        <v>0</v>
      </c>
      <c r="J106" s="580">
        <f t="shared" si="31"/>
        <v>0</v>
      </c>
      <c r="K106" s="311">
        <f t="shared" si="32"/>
        <v>-78558.319307994898</v>
      </c>
      <c r="L106" s="630">
        <f t="shared" si="33"/>
        <v>-78558.319307994898</v>
      </c>
      <c r="M106" s="416">
        <f t="shared" si="34"/>
        <v>-78558.319307994898</v>
      </c>
      <c r="N106" s="415"/>
    </row>
    <row r="107" spans="1:14" ht="12.75">
      <c r="A107" s="463"/>
      <c r="B107" s="307"/>
      <c r="C107" s="102"/>
      <c r="D107" s="580"/>
      <c r="E107" s="580"/>
      <c r="F107" s="584"/>
      <c r="G107" s="580"/>
      <c r="H107" s="580"/>
      <c r="I107" s="580"/>
      <c r="J107" s="580"/>
      <c r="K107" s="311"/>
      <c r="L107" s="308"/>
      <c r="M107" s="416"/>
      <c r="N107" s="415"/>
    </row>
    <row r="108" spans="1:14" ht="12.75">
      <c r="A108" s="463"/>
      <c r="B108" s="307"/>
      <c r="C108" s="102"/>
      <c r="D108" s="580"/>
      <c r="E108" s="580"/>
      <c r="F108" s="584"/>
      <c r="G108" s="580"/>
      <c r="H108" s="580"/>
      <c r="I108" s="580"/>
      <c r="J108" s="580"/>
      <c r="K108" s="311"/>
      <c r="L108" s="308"/>
      <c r="M108" s="416"/>
      <c r="N108" s="415"/>
    </row>
    <row r="109" spans="1:14" ht="12.75">
      <c r="A109" s="463"/>
      <c r="B109" s="307"/>
      <c r="C109" s="102"/>
      <c r="D109" s="580"/>
      <c r="E109" s="580"/>
      <c r="F109" s="584"/>
      <c r="G109" s="580"/>
      <c r="H109" s="580"/>
      <c r="I109" s="580"/>
      <c r="J109" s="580"/>
      <c r="K109" s="311"/>
      <c r="L109" s="308"/>
      <c r="M109" s="416"/>
      <c r="N109" s="415"/>
    </row>
    <row r="110" spans="1:14" ht="12.75">
      <c r="A110" s="463"/>
      <c r="B110" s="307"/>
      <c r="C110" s="102"/>
      <c r="D110" s="580"/>
      <c r="E110" s="580"/>
      <c r="F110" s="584"/>
      <c r="G110" s="580"/>
      <c r="H110" s="580"/>
      <c r="I110" s="580"/>
      <c r="J110" s="580"/>
      <c r="K110" s="311"/>
      <c r="L110" s="308"/>
      <c r="M110" s="416"/>
      <c r="N110" s="415"/>
    </row>
    <row r="111" spans="1:14" ht="12.75">
      <c r="A111" s="463"/>
      <c r="B111" s="307"/>
      <c r="C111" s="102"/>
      <c r="D111" s="580"/>
      <c r="E111" s="580"/>
      <c r="F111" s="584"/>
      <c r="G111" s="580"/>
      <c r="H111" s="580"/>
      <c r="I111" s="580"/>
      <c r="J111" s="580"/>
      <c r="K111" s="311"/>
      <c r="L111" s="308"/>
      <c r="M111" s="416"/>
      <c r="N111" s="415"/>
    </row>
    <row r="112" spans="1:14" ht="12.75">
      <c r="A112" s="463"/>
      <c r="B112" s="307"/>
      <c r="C112" s="102"/>
      <c r="D112" s="580"/>
      <c r="E112" s="580"/>
      <c r="F112" s="584"/>
      <c r="G112" s="580"/>
      <c r="H112" s="580"/>
      <c r="I112" s="580"/>
      <c r="J112" s="580"/>
      <c r="K112" s="311"/>
      <c r="L112" s="308"/>
      <c r="M112" s="416"/>
      <c r="N112" s="415"/>
    </row>
    <row r="113" spans="1:14" ht="12.75">
      <c r="A113" s="464"/>
      <c r="B113" s="465"/>
      <c r="C113" s="465"/>
      <c r="D113" s="585"/>
      <c r="E113" s="585"/>
      <c r="F113" s="585"/>
      <c r="G113" s="585"/>
      <c r="H113" s="585"/>
      <c r="I113" s="585"/>
      <c r="J113" s="585"/>
      <c r="K113" s="465"/>
      <c r="L113" s="465"/>
      <c r="M113" s="466"/>
      <c r="N113" s="467">
        <f t="shared" ref="N113" si="35">+D113+G113+K113</f>
        <v>0</v>
      </c>
    </row>
    <row r="114" spans="1:14" ht="11.25">
      <c r="D114" s="586"/>
      <c r="E114" s="586"/>
      <c r="F114" s="586"/>
      <c r="G114" s="586"/>
      <c r="H114" s="586"/>
      <c r="I114" s="586"/>
      <c r="J114" s="586"/>
    </row>
    <row r="115" spans="1:14">
      <c r="E115" t="s">
        <v>799</v>
      </c>
      <c r="F115" s="661">
        <f>SUM(F67:F78)</f>
        <v>561126.34087998548</v>
      </c>
    </row>
    <row r="116" spans="1:14">
      <c r="E116" t="s">
        <v>800</v>
      </c>
      <c r="F116" s="661">
        <f>SUM(F95:F106)</f>
        <v>0</v>
      </c>
    </row>
  </sheetData>
  <printOptions horizontalCentered="1"/>
  <pageMargins left="0.2" right="0.2" top="0.75" bottom="0.75" header="0.3" footer="0.3"/>
  <pageSetup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topLeftCell="B1" zoomScale="90" zoomScaleNormal="90" workbookViewId="0">
      <pane ySplit="16" topLeftCell="A17" activePane="bottomLeft" state="frozen"/>
      <selection activeCell="E87" sqref="E87:E98"/>
      <selection pane="bottomLeft" activeCell="O75" sqref="O75"/>
    </sheetView>
  </sheetViews>
  <sheetFormatPr defaultRowHeight="10.5" outlineLevelRow="1"/>
  <cols>
    <col min="1" max="1" width="2.6640625" style="552" customWidth="1"/>
    <col min="2" max="2" width="25.1640625" style="552" customWidth="1"/>
    <col min="3" max="3" width="14.83203125" style="552" bestFit="1" customWidth="1"/>
    <col min="4" max="4" width="18.5" style="552" bestFit="1" customWidth="1"/>
    <col min="5" max="5" width="18.33203125" style="552" bestFit="1" customWidth="1"/>
    <col min="6" max="6" width="20.5" style="552" customWidth="1"/>
    <col min="7" max="7" width="15.6640625" style="552" bestFit="1" customWidth="1"/>
    <col min="8" max="8" width="15.33203125" style="552" customWidth="1"/>
    <col min="9" max="9" width="14.1640625" style="552" customWidth="1"/>
    <col min="10" max="10" width="21.5" style="552" bestFit="1" customWidth="1"/>
    <col min="11" max="11" width="18.6640625" style="552" bestFit="1" customWidth="1"/>
    <col min="12" max="12" width="15.33203125" style="552" bestFit="1" customWidth="1"/>
    <col min="13" max="13" width="15.1640625" style="552" bestFit="1" customWidth="1"/>
    <col min="14" max="14" width="12.33203125" bestFit="1" customWidth="1"/>
    <col min="256" max="256" width="2.6640625" customWidth="1"/>
    <col min="257" max="257" width="17.1640625" bestFit="1" customWidth="1"/>
    <col min="258" max="258" width="3.83203125" customWidth="1"/>
    <col min="259" max="260" width="16.5" customWidth="1"/>
    <col min="261" max="261" width="18.5" customWidth="1"/>
    <col min="262" max="262" width="16.5" bestFit="1" customWidth="1"/>
    <col min="263" max="263" width="21.1640625" bestFit="1" customWidth="1"/>
    <col min="264" max="264" width="20.5" customWidth="1"/>
    <col min="265" max="265" width="18.5" customWidth="1"/>
    <col min="266" max="266" width="23.1640625" bestFit="1" customWidth="1"/>
    <col min="267" max="267" width="22.33203125" bestFit="1" customWidth="1"/>
    <col min="268" max="268" width="15.5" bestFit="1" customWidth="1"/>
    <col min="269" max="269" width="18.5" customWidth="1"/>
    <col min="512" max="512" width="2.6640625" customWidth="1"/>
    <col min="513" max="513" width="17.1640625" bestFit="1" customWidth="1"/>
    <col min="514" max="514" width="3.83203125" customWidth="1"/>
    <col min="515" max="516" width="16.5" customWidth="1"/>
    <col min="517" max="517" width="18.5" customWidth="1"/>
    <col min="518" max="518" width="16.5" bestFit="1" customWidth="1"/>
    <col min="519" max="519" width="21.1640625" bestFit="1" customWidth="1"/>
    <col min="520" max="520" width="20.5" customWidth="1"/>
    <col min="521" max="521" width="18.5" customWidth="1"/>
    <col min="522" max="522" width="23.1640625" bestFit="1" customWidth="1"/>
    <col min="523" max="523" width="22.33203125" bestFit="1" customWidth="1"/>
    <col min="524" max="524" width="15.5" bestFit="1" customWidth="1"/>
    <col min="525" max="525" width="18.5" customWidth="1"/>
    <col min="768" max="768" width="2.6640625" customWidth="1"/>
    <col min="769" max="769" width="17.1640625" bestFit="1" customWidth="1"/>
    <col min="770" max="770" width="3.83203125" customWidth="1"/>
    <col min="771" max="772" width="16.5" customWidth="1"/>
    <col min="773" max="773" width="18.5" customWidth="1"/>
    <col min="774" max="774" width="16.5" bestFit="1" customWidth="1"/>
    <col min="775" max="775" width="21.1640625" bestFit="1" customWidth="1"/>
    <col min="776" max="776" width="20.5" customWidth="1"/>
    <col min="777" max="777" width="18.5" customWidth="1"/>
    <col min="778" max="778" width="23.1640625" bestFit="1" customWidth="1"/>
    <col min="779" max="779" width="22.33203125" bestFit="1" customWidth="1"/>
    <col min="780" max="780" width="15.5" bestFit="1" customWidth="1"/>
    <col min="781" max="781" width="18.5" customWidth="1"/>
    <col min="1024" max="1024" width="2.6640625" customWidth="1"/>
    <col min="1025" max="1025" width="17.1640625" bestFit="1" customWidth="1"/>
    <col min="1026" max="1026" width="3.83203125" customWidth="1"/>
    <col min="1027" max="1028" width="16.5" customWidth="1"/>
    <col min="1029" max="1029" width="18.5" customWidth="1"/>
    <col min="1030" max="1030" width="16.5" bestFit="1" customWidth="1"/>
    <col min="1031" max="1031" width="21.1640625" bestFit="1" customWidth="1"/>
    <col min="1032" max="1032" width="20.5" customWidth="1"/>
    <col min="1033" max="1033" width="18.5" customWidth="1"/>
    <col min="1034" max="1034" width="23.1640625" bestFit="1" customWidth="1"/>
    <col min="1035" max="1035" width="22.33203125" bestFit="1" customWidth="1"/>
    <col min="1036" max="1036" width="15.5" bestFit="1" customWidth="1"/>
    <col min="1037" max="1037" width="18.5" customWidth="1"/>
    <col min="1280" max="1280" width="2.6640625" customWidth="1"/>
    <col min="1281" max="1281" width="17.1640625" bestFit="1" customWidth="1"/>
    <col min="1282" max="1282" width="3.83203125" customWidth="1"/>
    <col min="1283" max="1284" width="16.5" customWidth="1"/>
    <col min="1285" max="1285" width="18.5" customWidth="1"/>
    <col min="1286" max="1286" width="16.5" bestFit="1" customWidth="1"/>
    <col min="1287" max="1287" width="21.1640625" bestFit="1" customWidth="1"/>
    <col min="1288" max="1288" width="20.5" customWidth="1"/>
    <col min="1289" max="1289" width="18.5" customWidth="1"/>
    <col min="1290" max="1290" width="23.1640625" bestFit="1" customWidth="1"/>
    <col min="1291" max="1291" width="22.33203125" bestFit="1" customWidth="1"/>
    <col min="1292" max="1292" width="15.5" bestFit="1" customWidth="1"/>
    <col min="1293" max="1293" width="18.5" customWidth="1"/>
    <col min="1536" max="1536" width="2.6640625" customWidth="1"/>
    <col min="1537" max="1537" width="17.1640625" bestFit="1" customWidth="1"/>
    <col min="1538" max="1538" width="3.83203125" customWidth="1"/>
    <col min="1539" max="1540" width="16.5" customWidth="1"/>
    <col min="1541" max="1541" width="18.5" customWidth="1"/>
    <col min="1542" max="1542" width="16.5" bestFit="1" customWidth="1"/>
    <col min="1543" max="1543" width="21.1640625" bestFit="1" customWidth="1"/>
    <col min="1544" max="1544" width="20.5" customWidth="1"/>
    <col min="1545" max="1545" width="18.5" customWidth="1"/>
    <col min="1546" max="1546" width="23.1640625" bestFit="1" customWidth="1"/>
    <col min="1547" max="1547" width="22.33203125" bestFit="1" customWidth="1"/>
    <col min="1548" max="1548" width="15.5" bestFit="1" customWidth="1"/>
    <col min="1549" max="1549" width="18.5" customWidth="1"/>
    <col min="1792" max="1792" width="2.6640625" customWidth="1"/>
    <col min="1793" max="1793" width="17.1640625" bestFit="1" customWidth="1"/>
    <col min="1794" max="1794" width="3.83203125" customWidth="1"/>
    <col min="1795" max="1796" width="16.5" customWidth="1"/>
    <col min="1797" max="1797" width="18.5" customWidth="1"/>
    <col min="1798" max="1798" width="16.5" bestFit="1" customWidth="1"/>
    <col min="1799" max="1799" width="21.1640625" bestFit="1" customWidth="1"/>
    <col min="1800" max="1800" width="20.5" customWidth="1"/>
    <col min="1801" max="1801" width="18.5" customWidth="1"/>
    <col min="1802" max="1802" width="23.1640625" bestFit="1" customWidth="1"/>
    <col min="1803" max="1803" width="22.33203125" bestFit="1" customWidth="1"/>
    <col min="1804" max="1804" width="15.5" bestFit="1" customWidth="1"/>
    <col min="1805" max="1805" width="18.5" customWidth="1"/>
    <col min="2048" max="2048" width="2.6640625" customWidth="1"/>
    <col min="2049" max="2049" width="17.1640625" bestFit="1" customWidth="1"/>
    <col min="2050" max="2050" width="3.83203125" customWidth="1"/>
    <col min="2051" max="2052" width="16.5" customWidth="1"/>
    <col min="2053" max="2053" width="18.5" customWidth="1"/>
    <col min="2054" max="2054" width="16.5" bestFit="1" customWidth="1"/>
    <col min="2055" max="2055" width="21.1640625" bestFit="1" customWidth="1"/>
    <col min="2056" max="2056" width="20.5" customWidth="1"/>
    <col min="2057" max="2057" width="18.5" customWidth="1"/>
    <col min="2058" max="2058" width="23.1640625" bestFit="1" customWidth="1"/>
    <col min="2059" max="2059" width="22.33203125" bestFit="1" customWidth="1"/>
    <col min="2060" max="2060" width="15.5" bestFit="1" customWidth="1"/>
    <col min="2061" max="2061" width="18.5" customWidth="1"/>
    <col min="2304" max="2304" width="2.6640625" customWidth="1"/>
    <col min="2305" max="2305" width="17.1640625" bestFit="1" customWidth="1"/>
    <col min="2306" max="2306" width="3.83203125" customWidth="1"/>
    <col min="2307" max="2308" width="16.5" customWidth="1"/>
    <col min="2309" max="2309" width="18.5" customWidth="1"/>
    <col min="2310" max="2310" width="16.5" bestFit="1" customWidth="1"/>
    <col min="2311" max="2311" width="21.1640625" bestFit="1" customWidth="1"/>
    <col min="2312" max="2312" width="20.5" customWidth="1"/>
    <col min="2313" max="2313" width="18.5" customWidth="1"/>
    <col min="2314" max="2314" width="23.1640625" bestFit="1" customWidth="1"/>
    <col min="2315" max="2315" width="22.33203125" bestFit="1" customWidth="1"/>
    <col min="2316" max="2316" width="15.5" bestFit="1" customWidth="1"/>
    <col min="2317" max="2317" width="18.5" customWidth="1"/>
    <col min="2560" max="2560" width="2.6640625" customWidth="1"/>
    <col min="2561" max="2561" width="17.1640625" bestFit="1" customWidth="1"/>
    <col min="2562" max="2562" width="3.83203125" customWidth="1"/>
    <col min="2563" max="2564" width="16.5" customWidth="1"/>
    <col min="2565" max="2565" width="18.5" customWidth="1"/>
    <col min="2566" max="2566" width="16.5" bestFit="1" customWidth="1"/>
    <col min="2567" max="2567" width="21.1640625" bestFit="1" customWidth="1"/>
    <col min="2568" max="2568" width="20.5" customWidth="1"/>
    <col min="2569" max="2569" width="18.5" customWidth="1"/>
    <col min="2570" max="2570" width="23.1640625" bestFit="1" customWidth="1"/>
    <col min="2571" max="2571" width="22.33203125" bestFit="1" customWidth="1"/>
    <col min="2572" max="2572" width="15.5" bestFit="1" customWidth="1"/>
    <col min="2573" max="2573" width="18.5" customWidth="1"/>
    <col min="2816" max="2816" width="2.6640625" customWidth="1"/>
    <col min="2817" max="2817" width="17.1640625" bestFit="1" customWidth="1"/>
    <col min="2818" max="2818" width="3.83203125" customWidth="1"/>
    <col min="2819" max="2820" width="16.5" customWidth="1"/>
    <col min="2821" max="2821" width="18.5" customWidth="1"/>
    <col min="2822" max="2822" width="16.5" bestFit="1" customWidth="1"/>
    <col min="2823" max="2823" width="21.1640625" bestFit="1" customWidth="1"/>
    <col min="2824" max="2824" width="20.5" customWidth="1"/>
    <col min="2825" max="2825" width="18.5" customWidth="1"/>
    <col min="2826" max="2826" width="23.1640625" bestFit="1" customWidth="1"/>
    <col min="2827" max="2827" width="22.33203125" bestFit="1" customWidth="1"/>
    <col min="2828" max="2828" width="15.5" bestFit="1" customWidth="1"/>
    <col min="2829" max="2829" width="18.5" customWidth="1"/>
    <col min="3072" max="3072" width="2.6640625" customWidth="1"/>
    <col min="3073" max="3073" width="17.1640625" bestFit="1" customWidth="1"/>
    <col min="3074" max="3074" width="3.83203125" customWidth="1"/>
    <col min="3075" max="3076" width="16.5" customWidth="1"/>
    <col min="3077" max="3077" width="18.5" customWidth="1"/>
    <col min="3078" max="3078" width="16.5" bestFit="1" customWidth="1"/>
    <col min="3079" max="3079" width="21.1640625" bestFit="1" customWidth="1"/>
    <col min="3080" max="3080" width="20.5" customWidth="1"/>
    <col min="3081" max="3081" width="18.5" customWidth="1"/>
    <col min="3082" max="3082" width="23.1640625" bestFit="1" customWidth="1"/>
    <col min="3083" max="3083" width="22.33203125" bestFit="1" customWidth="1"/>
    <col min="3084" max="3084" width="15.5" bestFit="1" customWidth="1"/>
    <col min="3085" max="3085" width="18.5" customWidth="1"/>
    <col min="3328" max="3328" width="2.6640625" customWidth="1"/>
    <col min="3329" max="3329" width="17.1640625" bestFit="1" customWidth="1"/>
    <col min="3330" max="3330" width="3.83203125" customWidth="1"/>
    <col min="3331" max="3332" width="16.5" customWidth="1"/>
    <col min="3333" max="3333" width="18.5" customWidth="1"/>
    <col min="3334" max="3334" width="16.5" bestFit="1" customWidth="1"/>
    <col min="3335" max="3335" width="21.1640625" bestFit="1" customWidth="1"/>
    <col min="3336" max="3336" width="20.5" customWidth="1"/>
    <col min="3337" max="3337" width="18.5" customWidth="1"/>
    <col min="3338" max="3338" width="23.1640625" bestFit="1" customWidth="1"/>
    <col min="3339" max="3339" width="22.33203125" bestFit="1" customWidth="1"/>
    <col min="3340" max="3340" width="15.5" bestFit="1" customWidth="1"/>
    <col min="3341" max="3341" width="18.5" customWidth="1"/>
    <col min="3584" max="3584" width="2.6640625" customWidth="1"/>
    <col min="3585" max="3585" width="17.1640625" bestFit="1" customWidth="1"/>
    <col min="3586" max="3586" width="3.83203125" customWidth="1"/>
    <col min="3587" max="3588" width="16.5" customWidth="1"/>
    <col min="3589" max="3589" width="18.5" customWidth="1"/>
    <col min="3590" max="3590" width="16.5" bestFit="1" customWidth="1"/>
    <col min="3591" max="3591" width="21.1640625" bestFit="1" customWidth="1"/>
    <col min="3592" max="3592" width="20.5" customWidth="1"/>
    <col min="3593" max="3593" width="18.5" customWidth="1"/>
    <col min="3594" max="3594" width="23.1640625" bestFit="1" customWidth="1"/>
    <col min="3595" max="3595" width="22.33203125" bestFit="1" customWidth="1"/>
    <col min="3596" max="3596" width="15.5" bestFit="1" customWidth="1"/>
    <col min="3597" max="3597" width="18.5" customWidth="1"/>
    <col min="3840" max="3840" width="2.6640625" customWidth="1"/>
    <col min="3841" max="3841" width="17.1640625" bestFit="1" customWidth="1"/>
    <col min="3842" max="3842" width="3.83203125" customWidth="1"/>
    <col min="3843" max="3844" width="16.5" customWidth="1"/>
    <col min="3845" max="3845" width="18.5" customWidth="1"/>
    <col min="3846" max="3846" width="16.5" bestFit="1" customWidth="1"/>
    <col min="3847" max="3847" width="21.1640625" bestFit="1" customWidth="1"/>
    <col min="3848" max="3848" width="20.5" customWidth="1"/>
    <col min="3849" max="3849" width="18.5" customWidth="1"/>
    <col min="3850" max="3850" width="23.1640625" bestFit="1" customWidth="1"/>
    <col min="3851" max="3851" width="22.33203125" bestFit="1" customWidth="1"/>
    <col min="3852" max="3852" width="15.5" bestFit="1" customWidth="1"/>
    <col min="3853" max="3853" width="18.5" customWidth="1"/>
    <col min="4096" max="4096" width="2.6640625" customWidth="1"/>
    <col min="4097" max="4097" width="17.1640625" bestFit="1" customWidth="1"/>
    <col min="4098" max="4098" width="3.83203125" customWidth="1"/>
    <col min="4099" max="4100" width="16.5" customWidth="1"/>
    <col min="4101" max="4101" width="18.5" customWidth="1"/>
    <col min="4102" max="4102" width="16.5" bestFit="1" customWidth="1"/>
    <col min="4103" max="4103" width="21.1640625" bestFit="1" customWidth="1"/>
    <col min="4104" max="4104" width="20.5" customWidth="1"/>
    <col min="4105" max="4105" width="18.5" customWidth="1"/>
    <col min="4106" max="4106" width="23.1640625" bestFit="1" customWidth="1"/>
    <col min="4107" max="4107" width="22.33203125" bestFit="1" customWidth="1"/>
    <col min="4108" max="4108" width="15.5" bestFit="1" customWidth="1"/>
    <col min="4109" max="4109" width="18.5" customWidth="1"/>
    <col min="4352" max="4352" width="2.6640625" customWidth="1"/>
    <col min="4353" max="4353" width="17.1640625" bestFit="1" customWidth="1"/>
    <col min="4354" max="4354" width="3.83203125" customWidth="1"/>
    <col min="4355" max="4356" width="16.5" customWidth="1"/>
    <col min="4357" max="4357" width="18.5" customWidth="1"/>
    <col min="4358" max="4358" width="16.5" bestFit="1" customWidth="1"/>
    <col min="4359" max="4359" width="21.1640625" bestFit="1" customWidth="1"/>
    <col min="4360" max="4360" width="20.5" customWidth="1"/>
    <col min="4361" max="4361" width="18.5" customWidth="1"/>
    <col min="4362" max="4362" width="23.1640625" bestFit="1" customWidth="1"/>
    <col min="4363" max="4363" width="22.33203125" bestFit="1" customWidth="1"/>
    <col min="4364" max="4364" width="15.5" bestFit="1" customWidth="1"/>
    <col min="4365" max="4365" width="18.5" customWidth="1"/>
    <col min="4608" max="4608" width="2.6640625" customWidth="1"/>
    <col min="4609" max="4609" width="17.1640625" bestFit="1" customWidth="1"/>
    <col min="4610" max="4610" width="3.83203125" customWidth="1"/>
    <col min="4611" max="4612" width="16.5" customWidth="1"/>
    <col min="4613" max="4613" width="18.5" customWidth="1"/>
    <col min="4614" max="4614" width="16.5" bestFit="1" customWidth="1"/>
    <col min="4615" max="4615" width="21.1640625" bestFit="1" customWidth="1"/>
    <col min="4616" max="4616" width="20.5" customWidth="1"/>
    <col min="4617" max="4617" width="18.5" customWidth="1"/>
    <col min="4618" max="4618" width="23.1640625" bestFit="1" customWidth="1"/>
    <col min="4619" max="4619" width="22.33203125" bestFit="1" customWidth="1"/>
    <col min="4620" max="4620" width="15.5" bestFit="1" customWidth="1"/>
    <col min="4621" max="4621" width="18.5" customWidth="1"/>
    <col min="4864" max="4864" width="2.6640625" customWidth="1"/>
    <col min="4865" max="4865" width="17.1640625" bestFit="1" customWidth="1"/>
    <col min="4866" max="4866" width="3.83203125" customWidth="1"/>
    <col min="4867" max="4868" width="16.5" customWidth="1"/>
    <col min="4869" max="4869" width="18.5" customWidth="1"/>
    <col min="4870" max="4870" width="16.5" bestFit="1" customWidth="1"/>
    <col min="4871" max="4871" width="21.1640625" bestFit="1" customWidth="1"/>
    <col min="4872" max="4872" width="20.5" customWidth="1"/>
    <col min="4873" max="4873" width="18.5" customWidth="1"/>
    <col min="4874" max="4874" width="23.1640625" bestFit="1" customWidth="1"/>
    <col min="4875" max="4875" width="22.33203125" bestFit="1" customWidth="1"/>
    <col min="4876" max="4876" width="15.5" bestFit="1" customWidth="1"/>
    <col min="4877" max="4877" width="18.5" customWidth="1"/>
    <col min="5120" max="5120" width="2.6640625" customWidth="1"/>
    <col min="5121" max="5121" width="17.1640625" bestFit="1" customWidth="1"/>
    <col min="5122" max="5122" width="3.83203125" customWidth="1"/>
    <col min="5123" max="5124" width="16.5" customWidth="1"/>
    <col min="5125" max="5125" width="18.5" customWidth="1"/>
    <col min="5126" max="5126" width="16.5" bestFit="1" customWidth="1"/>
    <col min="5127" max="5127" width="21.1640625" bestFit="1" customWidth="1"/>
    <col min="5128" max="5128" width="20.5" customWidth="1"/>
    <col min="5129" max="5129" width="18.5" customWidth="1"/>
    <col min="5130" max="5130" width="23.1640625" bestFit="1" customWidth="1"/>
    <col min="5131" max="5131" width="22.33203125" bestFit="1" customWidth="1"/>
    <col min="5132" max="5132" width="15.5" bestFit="1" customWidth="1"/>
    <col min="5133" max="5133" width="18.5" customWidth="1"/>
    <col min="5376" max="5376" width="2.6640625" customWidth="1"/>
    <col min="5377" max="5377" width="17.1640625" bestFit="1" customWidth="1"/>
    <col min="5378" max="5378" width="3.83203125" customWidth="1"/>
    <col min="5379" max="5380" width="16.5" customWidth="1"/>
    <col min="5381" max="5381" width="18.5" customWidth="1"/>
    <col min="5382" max="5382" width="16.5" bestFit="1" customWidth="1"/>
    <col min="5383" max="5383" width="21.1640625" bestFit="1" customWidth="1"/>
    <col min="5384" max="5384" width="20.5" customWidth="1"/>
    <col min="5385" max="5385" width="18.5" customWidth="1"/>
    <col min="5386" max="5386" width="23.1640625" bestFit="1" customWidth="1"/>
    <col min="5387" max="5387" width="22.33203125" bestFit="1" customWidth="1"/>
    <col min="5388" max="5388" width="15.5" bestFit="1" customWidth="1"/>
    <col min="5389" max="5389" width="18.5" customWidth="1"/>
    <col min="5632" max="5632" width="2.6640625" customWidth="1"/>
    <col min="5633" max="5633" width="17.1640625" bestFit="1" customWidth="1"/>
    <col min="5634" max="5634" width="3.83203125" customWidth="1"/>
    <col min="5635" max="5636" width="16.5" customWidth="1"/>
    <col min="5637" max="5637" width="18.5" customWidth="1"/>
    <col min="5638" max="5638" width="16.5" bestFit="1" customWidth="1"/>
    <col min="5639" max="5639" width="21.1640625" bestFit="1" customWidth="1"/>
    <col min="5640" max="5640" width="20.5" customWidth="1"/>
    <col min="5641" max="5641" width="18.5" customWidth="1"/>
    <col min="5642" max="5642" width="23.1640625" bestFit="1" customWidth="1"/>
    <col min="5643" max="5643" width="22.33203125" bestFit="1" customWidth="1"/>
    <col min="5644" max="5644" width="15.5" bestFit="1" customWidth="1"/>
    <col min="5645" max="5645" width="18.5" customWidth="1"/>
    <col min="5888" max="5888" width="2.6640625" customWidth="1"/>
    <col min="5889" max="5889" width="17.1640625" bestFit="1" customWidth="1"/>
    <col min="5890" max="5890" width="3.83203125" customWidth="1"/>
    <col min="5891" max="5892" width="16.5" customWidth="1"/>
    <col min="5893" max="5893" width="18.5" customWidth="1"/>
    <col min="5894" max="5894" width="16.5" bestFit="1" customWidth="1"/>
    <col min="5895" max="5895" width="21.1640625" bestFit="1" customWidth="1"/>
    <col min="5896" max="5896" width="20.5" customWidth="1"/>
    <col min="5897" max="5897" width="18.5" customWidth="1"/>
    <col min="5898" max="5898" width="23.1640625" bestFit="1" customWidth="1"/>
    <col min="5899" max="5899" width="22.33203125" bestFit="1" customWidth="1"/>
    <col min="5900" max="5900" width="15.5" bestFit="1" customWidth="1"/>
    <col min="5901" max="5901" width="18.5" customWidth="1"/>
    <col min="6144" max="6144" width="2.6640625" customWidth="1"/>
    <col min="6145" max="6145" width="17.1640625" bestFit="1" customWidth="1"/>
    <col min="6146" max="6146" width="3.83203125" customWidth="1"/>
    <col min="6147" max="6148" width="16.5" customWidth="1"/>
    <col min="6149" max="6149" width="18.5" customWidth="1"/>
    <col min="6150" max="6150" width="16.5" bestFit="1" customWidth="1"/>
    <col min="6151" max="6151" width="21.1640625" bestFit="1" customWidth="1"/>
    <col min="6152" max="6152" width="20.5" customWidth="1"/>
    <col min="6153" max="6153" width="18.5" customWidth="1"/>
    <col min="6154" max="6154" width="23.1640625" bestFit="1" customWidth="1"/>
    <col min="6155" max="6155" width="22.33203125" bestFit="1" customWidth="1"/>
    <col min="6156" max="6156" width="15.5" bestFit="1" customWidth="1"/>
    <col min="6157" max="6157" width="18.5" customWidth="1"/>
    <col min="6400" max="6400" width="2.6640625" customWidth="1"/>
    <col min="6401" max="6401" width="17.1640625" bestFit="1" customWidth="1"/>
    <col min="6402" max="6402" width="3.83203125" customWidth="1"/>
    <col min="6403" max="6404" width="16.5" customWidth="1"/>
    <col min="6405" max="6405" width="18.5" customWidth="1"/>
    <col min="6406" max="6406" width="16.5" bestFit="1" customWidth="1"/>
    <col min="6407" max="6407" width="21.1640625" bestFit="1" customWidth="1"/>
    <col min="6408" max="6408" width="20.5" customWidth="1"/>
    <col min="6409" max="6409" width="18.5" customWidth="1"/>
    <col min="6410" max="6410" width="23.1640625" bestFit="1" customWidth="1"/>
    <col min="6411" max="6411" width="22.33203125" bestFit="1" customWidth="1"/>
    <col min="6412" max="6412" width="15.5" bestFit="1" customWidth="1"/>
    <col min="6413" max="6413" width="18.5" customWidth="1"/>
    <col min="6656" max="6656" width="2.6640625" customWidth="1"/>
    <col min="6657" max="6657" width="17.1640625" bestFit="1" customWidth="1"/>
    <col min="6658" max="6658" width="3.83203125" customWidth="1"/>
    <col min="6659" max="6660" width="16.5" customWidth="1"/>
    <col min="6661" max="6661" width="18.5" customWidth="1"/>
    <col min="6662" max="6662" width="16.5" bestFit="1" customWidth="1"/>
    <col min="6663" max="6663" width="21.1640625" bestFit="1" customWidth="1"/>
    <col min="6664" max="6664" width="20.5" customWidth="1"/>
    <col min="6665" max="6665" width="18.5" customWidth="1"/>
    <col min="6666" max="6666" width="23.1640625" bestFit="1" customWidth="1"/>
    <col min="6667" max="6667" width="22.33203125" bestFit="1" customWidth="1"/>
    <col min="6668" max="6668" width="15.5" bestFit="1" customWidth="1"/>
    <col min="6669" max="6669" width="18.5" customWidth="1"/>
    <col min="6912" max="6912" width="2.6640625" customWidth="1"/>
    <col min="6913" max="6913" width="17.1640625" bestFit="1" customWidth="1"/>
    <col min="6914" max="6914" width="3.83203125" customWidth="1"/>
    <col min="6915" max="6916" width="16.5" customWidth="1"/>
    <col min="6917" max="6917" width="18.5" customWidth="1"/>
    <col min="6918" max="6918" width="16.5" bestFit="1" customWidth="1"/>
    <col min="6919" max="6919" width="21.1640625" bestFit="1" customWidth="1"/>
    <col min="6920" max="6920" width="20.5" customWidth="1"/>
    <col min="6921" max="6921" width="18.5" customWidth="1"/>
    <col min="6922" max="6922" width="23.1640625" bestFit="1" customWidth="1"/>
    <col min="6923" max="6923" width="22.33203125" bestFit="1" customWidth="1"/>
    <col min="6924" max="6924" width="15.5" bestFit="1" customWidth="1"/>
    <col min="6925" max="6925" width="18.5" customWidth="1"/>
    <col min="7168" max="7168" width="2.6640625" customWidth="1"/>
    <col min="7169" max="7169" width="17.1640625" bestFit="1" customWidth="1"/>
    <col min="7170" max="7170" width="3.83203125" customWidth="1"/>
    <col min="7171" max="7172" width="16.5" customWidth="1"/>
    <col min="7173" max="7173" width="18.5" customWidth="1"/>
    <col min="7174" max="7174" width="16.5" bestFit="1" customWidth="1"/>
    <col min="7175" max="7175" width="21.1640625" bestFit="1" customWidth="1"/>
    <col min="7176" max="7176" width="20.5" customWidth="1"/>
    <col min="7177" max="7177" width="18.5" customWidth="1"/>
    <col min="7178" max="7178" width="23.1640625" bestFit="1" customWidth="1"/>
    <col min="7179" max="7179" width="22.33203125" bestFit="1" customWidth="1"/>
    <col min="7180" max="7180" width="15.5" bestFit="1" customWidth="1"/>
    <col min="7181" max="7181" width="18.5" customWidth="1"/>
    <col min="7424" max="7424" width="2.6640625" customWidth="1"/>
    <col min="7425" max="7425" width="17.1640625" bestFit="1" customWidth="1"/>
    <col min="7426" max="7426" width="3.83203125" customWidth="1"/>
    <col min="7427" max="7428" width="16.5" customWidth="1"/>
    <col min="7429" max="7429" width="18.5" customWidth="1"/>
    <col min="7430" max="7430" width="16.5" bestFit="1" customWidth="1"/>
    <col min="7431" max="7431" width="21.1640625" bestFit="1" customWidth="1"/>
    <col min="7432" max="7432" width="20.5" customWidth="1"/>
    <col min="7433" max="7433" width="18.5" customWidth="1"/>
    <col min="7434" max="7434" width="23.1640625" bestFit="1" customWidth="1"/>
    <col min="7435" max="7435" width="22.33203125" bestFit="1" customWidth="1"/>
    <col min="7436" max="7436" width="15.5" bestFit="1" customWidth="1"/>
    <col min="7437" max="7437" width="18.5" customWidth="1"/>
    <col min="7680" max="7680" width="2.6640625" customWidth="1"/>
    <col min="7681" max="7681" width="17.1640625" bestFit="1" customWidth="1"/>
    <col min="7682" max="7682" width="3.83203125" customWidth="1"/>
    <col min="7683" max="7684" width="16.5" customWidth="1"/>
    <col min="7685" max="7685" width="18.5" customWidth="1"/>
    <col min="7686" max="7686" width="16.5" bestFit="1" customWidth="1"/>
    <col min="7687" max="7687" width="21.1640625" bestFit="1" customWidth="1"/>
    <col min="7688" max="7688" width="20.5" customWidth="1"/>
    <col min="7689" max="7689" width="18.5" customWidth="1"/>
    <col min="7690" max="7690" width="23.1640625" bestFit="1" customWidth="1"/>
    <col min="7691" max="7691" width="22.33203125" bestFit="1" customWidth="1"/>
    <col min="7692" max="7692" width="15.5" bestFit="1" customWidth="1"/>
    <col min="7693" max="7693" width="18.5" customWidth="1"/>
    <col min="7936" max="7936" width="2.6640625" customWidth="1"/>
    <col min="7937" max="7937" width="17.1640625" bestFit="1" customWidth="1"/>
    <col min="7938" max="7938" width="3.83203125" customWidth="1"/>
    <col min="7939" max="7940" width="16.5" customWidth="1"/>
    <col min="7941" max="7941" width="18.5" customWidth="1"/>
    <col min="7942" max="7942" width="16.5" bestFit="1" customWidth="1"/>
    <col min="7943" max="7943" width="21.1640625" bestFit="1" customWidth="1"/>
    <col min="7944" max="7944" width="20.5" customWidth="1"/>
    <col min="7945" max="7945" width="18.5" customWidth="1"/>
    <col min="7946" max="7946" width="23.1640625" bestFit="1" customWidth="1"/>
    <col min="7947" max="7947" width="22.33203125" bestFit="1" customWidth="1"/>
    <col min="7948" max="7948" width="15.5" bestFit="1" customWidth="1"/>
    <col min="7949" max="7949" width="18.5" customWidth="1"/>
    <col min="8192" max="8192" width="2.6640625" customWidth="1"/>
    <col min="8193" max="8193" width="17.1640625" bestFit="1" customWidth="1"/>
    <col min="8194" max="8194" width="3.83203125" customWidth="1"/>
    <col min="8195" max="8196" width="16.5" customWidth="1"/>
    <col min="8197" max="8197" width="18.5" customWidth="1"/>
    <col min="8198" max="8198" width="16.5" bestFit="1" customWidth="1"/>
    <col min="8199" max="8199" width="21.1640625" bestFit="1" customWidth="1"/>
    <col min="8200" max="8200" width="20.5" customWidth="1"/>
    <col min="8201" max="8201" width="18.5" customWidth="1"/>
    <col min="8202" max="8202" width="23.1640625" bestFit="1" customWidth="1"/>
    <col min="8203" max="8203" width="22.33203125" bestFit="1" customWidth="1"/>
    <col min="8204" max="8204" width="15.5" bestFit="1" customWidth="1"/>
    <col min="8205" max="8205" width="18.5" customWidth="1"/>
    <col min="8448" max="8448" width="2.6640625" customWidth="1"/>
    <col min="8449" max="8449" width="17.1640625" bestFit="1" customWidth="1"/>
    <col min="8450" max="8450" width="3.83203125" customWidth="1"/>
    <col min="8451" max="8452" width="16.5" customWidth="1"/>
    <col min="8453" max="8453" width="18.5" customWidth="1"/>
    <col min="8454" max="8454" width="16.5" bestFit="1" customWidth="1"/>
    <col min="8455" max="8455" width="21.1640625" bestFit="1" customWidth="1"/>
    <col min="8456" max="8456" width="20.5" customWidth="1"/>
    <col min="8457" max="8457" width="18.5" customWidth="1"/>
    <col min="8458" max="8458" width="23.1640625" bestFit="1" customWidth="1"/>
    <col min="8459" max="8459" width="22.33203125" bestFit="1" customWidth="1"/>
    <col min="8460" max="8460" width="15.5" bestFit="1" customWidth="1"/>
    <col min="8461" max="8461" width="18.5" customWidth="1"/>
    <col min="8704" max="8704" width="2.6640625" customWidth="1"/>
    <col min="8705" max="8705" width="17.1640625" bestFit="1" customWidth="1"/>
    <col min="8706" max="8706" width="3.83203125" customWidth="1"/>
    <col min="8707" max="8708" width="16.5" customWidth="1"/>
    <col min="8709" max="8709" width="18.5" customWidth="1"/>
    <col min="8710" max="8710" width="16.5" bestFit="1" customWidth="1"/>
    <col min="8711" max="8711" width="21.1640625" bestFit="1" customWidth="1"/>
    <col min="8712" max="8712" width="20.5" customWidth="1"/>
    <col min="8713" max="8713" width="18.5" customWidth="1"/>
    <col min="8714" max="8714" width="23.1640625" bestFit="1" customWidth="1"/>
    <col min="8715" max="8715" width="22.33203125" bestFit="1" customWidth="1"/>
    <col min="8716" max="8716" width="15.5" bestFit="1" customWidth="1"/>
    <col min="8717" max="8717" width="18.5" customWidth="1"/>
    <col min="8960" max="8960" width="2.6640625" customWidth="1"/>
    <col min="8961" max="8961" width="17.1640625" bestFit="1" customWidth="1"/>
    <col min="8962" max="8962" width="3.83203125" customWidth="1"/>
    <col min="8963" max="8964" width="16.5" customWidth="1"/>
    <col min="8965" max="8965" width="18.5" customWidth="1"/>
    <col min="8966" max="8966" width="16.5" bestFit="1" customWidth="1"/>
    <col min="8967" max="8967" width="21.1640625" bestFit="1" customWidth="1"/>
    <col min="8968" max="8968" width="20.5" customWidth="1"/>
    <col min="8969" max="8969" width="18.5" customWidth="1"/>
    <col min="8970" max="8970" width="23.1640625" bestFit="1" customWidth="1"/>
    <col min="8971" max="8971" width="22.33203125" bestFit="1" customWidth="1"/>
    <col min="8972" max="8972" width="15.5" bestFit="1" customWidth="1"/>
    <col min="8973" max="8973" width="18.5" customWidth="1"/>
    <col min="9216" max="9216" width="2.6640625" customWidth="1"/>
    <col min="9217" max="9217" width="17.1640625" bestFit="1" customWidth="1"/>
    <col min="9218" max="9218" width="3.83203125" customWidth="1"/>
    <col min="9219" max="9220" width="16.5" customWidth="1"/>
    <col min="9221" max="9221" width="18.5" customWidth="1"/>
    <col min="9222" max="9222" width="16.5" bestFit="1" customWidth="1"/>
    <col min="9223" max="9223" width="21.1640625" bestFit="1" customWidth="1"/>
    <col min="9224" max="9224" width="20.5" customWidth="1"/>
    <col min="9225" max="9225" width="18.5" customWidth="1"/>
    <col min="9226" max="9226" width="23.1640625" bestFit="1" customWidth="1"/>
    <col min="9227" max="9227" width="22.33203125" bestFit="1" customWidth="1"/>
    <col min="9228" max="9228" width="15.5" bestFit="1" customWidth="1"/>
    <col min="9229" max="9229" width="18.5" customWidth="1"/>
    <col min="9472" max="9472" width="2.6640625" customWidth="1"/>
    <col min="9473" max="9473" width="17.1640625" bestFit="1" customWidth="1"/>
    <col min="9474" max="9474" width="3.83203125" customWidth="1"/>
    <col min="9475" max="9476" width="16.5" customWidth="1"/>
    <col min="9477" max="9477" width="18.5" customWidth="1"/>
    <col min="9478" max="9478" width="16.5" bestFit="1" customWidth="1"/>
    <col min="9479" max="9479" width="21.1640625" bestFit="1" customWidth="1"/>
    <col min="9480" max="9480" width="20.5" customWidth="1"/>
    <col min="9481" max="9481" width="18.5" customWidth="1"/>
    <col min="9482" max="9482" width="23.1640625" bestFit="1" customWidth="1"/>
    <col min="9483" max="9483" width="22.33203125" bestFit="1" customWidth="1"/>
    <col min="9484" max="9484" width="15.5" bestFit="1" customWidth="1"/>
    <col min="9485" max="9485" width="18.5" customWidth="1"/>
    <col min="9728" max="9728" width="2.6640625" customWidth="1"/>
    <col min="9729" max="9729" width="17.1640625" bestFit="1" customWidth="1"/>
    <col min="9730" max="9730" width="3.83203125" customWidth="1"/>
    <col min="9731" max="9732" width="16.5" customWidth="1"/>
    <col min="9733" max="9733" width="18.5" customWidth="1"/>
    <col min="9734" max="9734" width="16.5" bestFit="1" customWidth="1"/>
    <col min="9735" max="9735" width="21.1640625" bestFit="1" customWidth="1"/>
    <col min="9736" max="9736" width="20.5" customWidth="1"/>
    <col min="9737" max="9737" width="18.5" customWidth="1"/>
    <col min="9738" max="9738" width="23.1640625" bestFit="1" customWidth="1"/>
    <col min="9739" max="9739" width="22.33203125" bestFit="1" customWidth="1"/>
    <col min="9740" max="9740" width="15.5" bestFit="1" customWidth="1"/>
    <col min="9741" max="9741" width="18.5" customWidth="1"/>
    <col min="9984" max="9984" width="2.6640625" customWidth="1"/>
    <col min="9985" max="9985" width="17.1640625" bestFit="1" customWidth="1"/>
    <col min="9986" max="9986" width="3.83203125" customWidth="1"/>
    <col min="9987" max="9988" width="16.5" customWidth="1"/>
    <col min="9989" max="9989" width="18.5" customWidth="1"/>
    <col min="9990" max="9990" width="16.5" bestFit="1" customWidth="1"/>
    <col min="9991" max="9991" width="21.1640625" bestFit="1" customWidth="1"/>
    <col min="9992" max="9992" width="20.5" customWidth="1"/>
    <col min="9993" max="9993" width="18.5" customWidth="1"/>
    <col min="9994" max="9994" width="23.1640625" bestFit="1" customWidth="1"/>
    <col min="9995" max="9995" width="22.33203125" bestFit="1" customWidth="1"/>
    <col min="9996" max="9996" width="15.5" bestFit="1" customWidth="1"/>
    <col min="9997" max="9997" width="18.5" customWidth="1"/>
    <col min="10240" max="10240" width="2.6640625" customWidth="1"/>
    <col min="10241" max="10241" width="17.1640625" bestFit="1" customWidth="1"/>
    <col min="10242" max="10242" width="3.83203125" customWidth="1"/>
    <col min="10243" max="10244" width="16.5" customWidth="1"/>
    <col min="10245" max="10245" width="18.5" customWidth="1"/>
    <col min="10246" max="10246" width="16.5" bestFit="1" customWidth="1"/>
    <col min="10247" max="10247" width="21.1640625" bestFit="1" customWidth="1"/>
    <col min="10248" max="10248" width="20.5" customWidth="1"/>
    <col min="10249" max="10249" width="18.5" customWidth="1"/>
    <col min="10250" max="10250" width="23.1640625" bestFit="1" customWidth="1"/>
    <col min="10251" max="10251" width="22.33203125" bestFit="1" customWidth="1"/>
    <col min="10252" max="10252" width="15.5" bestFit="1" customWidth="1"/>
    <col min="10253" max="10253" width="18.5" customWidth="1"/>
    <col min="10496" max="10496" width="2.6640625" customWidth="1"/>
    <col min="10497" max="10497" width="17.1640625" bestFit="1" customWidth="1"/>
    <col min="10498" max="10498" width="3.83203125" customWidth="1"/>
    <col min="10499" max="10500" width="16.5" customWidth="1"/>
    <col min="10501" max="10501" width="18.5" customWidth="1"/>
    <col min="10502" max="10502" width="16.5" bestFit="1" customWidth="1"/>
    <col min="10503" max="10503" width="21.1640625" bestFit="1" customWidth="1"/>
    <col min="10504" max="10504" width="20.5" customWidth="1"/>
    <col min="10505" max="10505" width="18.5" customWidth="1"/>
    <col min="10506" max="10506" width="23.1640625" bestFit="1" customWidth="1"/>
    <col min="10507" max="10507" width="22.33203125" bestFit="1" customWidth="1"/>
    <col min="10508" max="10508" width="15.5" bestFit="1" customWidth="1"/>
    <col min="10509" max="10509" width="18.5" customWidth="1"/>
    <col min="10752" max="10752" width="2.6640625" customWidth="1"/>
    <col min="10753" max="10753" width="17.1640625" bestFit="1" customWidth="1"/>
    <col min="10754" max="10754" width="3.83203125" customWidth="1"/>
    <col min="10755" max="10756" width="16.5" customWidth="1"/>
    <col min="10757" max="10757" width="18.5" customWidth="1"/>
    <col min="10758" max="10758" width="16.5" bestFit="1" customWidth="1"/>
    <col min="10759" max="10759" width="21.1640625" bestFit="1" customWidth="1"/>
    <col min="10760" max="10760" width="20.5" customWidth="1"/>
    <col min="10761" max="10761" width="18.5" customWidth="1"/>
    <col min="10762" max="10762" width="23.1640625" bestFit="1" customWidth="1"/>
    <col min="10763" max="10763" width="22.33203125" bestFit="1" customWidth="1"/>
    <col min="10764" max="10764" width="15.5" bestFit="1" customWidth="1"/>
    <col min="10765" max="10765" width="18.5" customWidth="1"/>
    <col min="11008" max="11008" width="2.6640625" customWidth="1"/>
    <col min="11009" max="11009" width="17.1640625" bestFit="1" customWidth="1"/>
    <col min="11010" max="11010" width="3.83203125" customWidth="1"/>
    <col min="11011" max="11012" width="16.5" customWidth="1"/>
    <col min="11013" max="11013" width="18.5" customWidth="1"/>
    <col min="11014" max="11014" width="16.5" bestFit="1" customWidth="1"/>
    <col min="11015" max="11015" width="21.1640625" bestFit="1" customWidth="1"/>
    <col min="11016" max="11016" width="20.5" customWidth="1"/>
    <col min="11017" max="11017" width="18.5" customWidth="1"/>
    <col min="11018" max="11018" width="23.1640625" bestFit="1" customWidth="1"/>
    <col min="11019" max="11019" width="22.33203125" bestFit="1" customWidth="1"/>
    <col min="11020" max="11020" width="15.5" bestFit="1" customWidth="1"/>
    <col min="11021" max="11021" width="18.5" customWidth="1"/>
    <col min="11264" max="11264" width="2.6640625" customWidth="1"/>
    <col min="11265" max="11265" width="17.1640625" bestFit="1" customWidth="1"/>
    <col min="11266" max="11266" width="3.83203125" customWidth="1"/>
    <col min="11267" max="11268" width="16.5" customWidth="1"/>
    <col min="11269" max="11269" width="18.5" customWidth="1"/>
    <col min="11270" max="11270" width="16.5" bestFit="1" customWidth="1"/>
    <col min="11271" max="11271" width="21.1640625" bestFit="1" customWidth="1"/>
    <col min="11272" max="11272" width="20.5" customWidth="1"/>
    <col min="11273" max="11273" width="18.5" customWidth="1"/>
    <col min="11274" max="11274" width="23.1640625" bestFit="1" customWidth="1"/>
    <col min="11275" max="11275" width="22.33203125" bestFit="1" customWidth="1"/>
    <col min="11276" max="11276" width="15.5" bestFit="1" customWidth="1"/>
    <col min="11277" max="11277" width="18.5" customWidth="1"/>
    <col min="11520" max="11520" width="2.6640625" customWidth="1"/>
    <col min="11521" max="11521" width="17.1640625" bestFit="1" customWidth="1"/>
    <col min="11522" max="11522" width="3.83203125" customWidth="1"/>
    <col min="11523" max="11524" width="16.5" customWidth="1"/>
    <col min="11525" max="11525" width="18.5" customWidth="1"/>
    <col min="11526" max="11526" width="16.5" bestFit="1" customWidth="1"/>
    <col min="11527" max="11527" width="21.1640625" bestFit="1" customWidth="1"/>
    <col min="11528" max="11528" width="20.5" customWidth="1"/>
    <col min="11529" max="11529" width="18.5" customWidth="1"/>
    <col min="11530" max="11530" width="23.1640625" bestFit="1" customWidth="1"/>
    <col min="11531" max="11531" width="22.33203125" bestFit="1" customWidth="1"/>
    <col min="11532" max="11532" width="15.5" bestFit="1" customWidth="1"/>
    <col min="11533" max="11533" width="18.5" customWidth="1"/>
    <col min="11776" max="11776" width="2.6640625" customWidth="1"/>
    <col min="11777" max="11777" width="17.1640625" bestFit="1" customWidth="1"/>
    <col min="11778" max="11778" width="3.83203125" customWidth="1"/>
    <col min="11779" max="11780" width="16.5" customWidth="1"/>
    <col min="11781" max="11781" width="18.5" customWidth="1"/>
    <col min="11782" max="11782" width="16.5" bestFit="1" customWidth="1"/>
    <col min="11783" max="11783" width="21.1640625" bestFit="1" customWidth="1"/>
    <col min="11784" max="11784" width="20.5" customWidth="1"/>
    <col min="11785" max="11785" width="18.5" customWidth="1"/>
    <col min="11786" max="11786" width="23.1640625" bestFit="1" customWidth="1"/>
    <col min="11787" max="11787" width="22.33203125" bestFit="1" customWidth="1"/>
    <col min="11788" max="11788" width="15.5" bestFit="1" customWidth="1"/>
    <col min="11789" max="11789" width="18.5" customWidth="1"/>
    <col min="12032" max="12032" width="2.6640625" customWidth="1"/>
    <col min="12033" max="12033" width="17.1640625" bestFit="1" customWidth="1"/>
    <col min="12034" max="12034" width="3.83203125" customWidth="1"/>
    <col min="12035" max="12036" width="16.5" customWidth="1"/>
    <col min="12037" max="12037" width="18.5" customWidth="1"/>
    <col min="12038" max="12038" width="16.5" bestFit="1" customWidth="1"/>
    <col min="12039" max="12039" width="21.1640625" bestFit="1" customWidth="1"/>
    <col min="12040" max="12040" width="20.5" customWidth="1"/>
    <col min="12041" max="12041" width="18.5" customWidth="1"/>
    <col min="12042" max="12042" width="23.1640625" bestFit="1" customWidth="1"/>
    <col min="12043" max="12043" width="22.33203125" bestFit="1" customWidth="1"/>
    <col min="12044" max="12044" width="15.5" bestFit="1" customWidth="1"/>
    <col min="12045" max="12045" width="18.5" customWidth="1"/>
    <col min="12288" max="12288" width="2.6640625" customWidth="1"/>
    <col min="12289" max="12289" width="17.1640625" bestFit="1" customWidth="1"/>
    <col min="12290" max="12290" width="3.83203125" customWidth="1"/>
    <col min="12291" max="12292" width="16.5" customWidth="1"/>
    <col min="12293" max="12293" width="18.5" customWidth="1"/>
    <col min="12294" max="12294" width="16.5" bestFit="1" customWidth="1"/>
    <col min="12295" max="12295" width="21.1640625" bestFit="1" customWidth="1"/>
    <col min="12296" max="12296" width="20.5" customWidth="1"/>
    <col min="12297" max="12297" width="18.5" customWidth="1"/>
    <col min="12298" max="12298" width="23.1640625" bestFit="1" customWidth="1"/>
    <col min="12299" max="12299" width="22.33203125" bestFit="1" customWidth="1"/>
    <col min="12300" max="12300" width="15.5" bestFit="1" customWidth="1"/>
    <col min="12301" max="12301" width="18.5" customWidth="1"/>
    <col min="12544" max="12544" width="2.6640625" customWidth="1"/>
    <col min="12545" max="12545" width="17.1640625" bestFit="1" customWidth="1"/>
    <col min="12546" max="12546" width="3.83203125" customWidth="1"/>
    <col min="12547" max="12548" width="16.5" customWidth="1"/>
    <col min="12549" max="12549" width="18.5" customWidth="1"/>
    <col min="12550" max="12550" width="16.5" bestFit="1" customWidth="1"/>
    <col min="12551" max="12551" width="21.1640625" bestFit="1" customWidth="1"/>
    <col min="12552" max="12552" width="20.5" customWidth="1"/>
    <col min="12553" max="12553" width="18.5" customWidth="1"/>
    <col min="12554" max="12554" width="23.1640625" bestFit="1" customWidth="1"/>
    <col min="12555" max="12555" width="22.33203125" bestFit="1" customWidth="1"/>
    <col min="12556" max="12556" width="15.5" bestFit="1" customWidth="1"/>
    <col min="12557" max="12557" width="18.5" customWidth="1"/>
    <col min="12800" max="12800" width="2.6640625" customWidth="1"/>
    <col min="12801" max="12801" width="17.1640625" bestFit="1" customWidth="1"/>
    <col min="12802" max="12802" width="3.83203125" customWidth="1"/>
    <col min="12803" max="12804" width="16.5" customWidth="1"/>
    <col min="12805" max="12805" width="18.5" customWidth="1"/>
    <col min="12806" max="12806" width="16.5" bestFit="1" customWidth="1"/>
    <col min="12807" max="12807" width="21.1640625" bestFit="1" customWidth="1"/>
    <col min="12808" max="12808" width="20.5" customWidth="1"/>
    <col min="12809" max="12809" width="18.5" customWidth="1"/>
    <col min="12810" max="12810" width="23.1640625" bestFit="1" customWidth="1"/>
    <col min="12811" max="12811" width="22.33203125" bestFit="1" customWidth="1"/>
    <col min="12812" max="12812" width="15.5" bestFit="1" customWidth="1"/>
    <col min="12813" max="12813" width="18.5" customWidth="1"/>
    <col min="13056" max="13056" width="2.6640625" customWidth="1"/>
    <col min="13057" max="13057" width="17.1640625" bestFit="1" customWidth="1"/>
    <col min="13058" max="13058" width="3.83203125" customWidth="1"/>
    <col min="13059" max="13060" width="16.5" customWidth="1"/>
    <col min="13061" max="13061" width="18.5" customWidth="1"/>
    <col min="13062" max="13062" width="16.5" bestFit="1" customWidth="1"/>
    <col min="13063" max="13063" width="21.1640625" bestFit="1" customWidth="1"/>
    <col min="13064" max="13064" width="20.5" customWidth="1"/>
    <col min="13065" max="13065" width="18.5" customWidth="1"/>
    <col min="13066" max="13066" width="23.1640625" bestFit="1" customWidth="1"/>
    <col min="13067" max="13067" width="22.33203125" bestFit="1" customWidth="1"/>
    <col min="13068" max="13068" width="15.5" bestFit="1" customWidth="1"/>
    <col min="13069" max="13069" width="18.5" customWidth="1"/>
    <col min="13312" max="13312" width="2.6640625" customWidth="1"/>
    <col min="13313" max="13313" width="17.1640625" bestFit="1" customWidth="1"/>
    <col min="13314" max="13314" width="3.83203125" customWidth="1"/>
    <col min="13315" max="13316" width="16.5" customWidth="1"/>
    <col min="13317" max="13317" width="18.5" customWidth="1"/>
    <col min="13318" max="13318" width="16.5" bestFit="1" customWidth="1"/>
    <col min="13319" max="13319" width="21.1640625" bestFit="1" customWidth="1"/>
    <col min="13320" max="13320" width="20.5" customWidth="1"/>
    <col min="13321" max="13321" width="18.5" customWidth="1"/>
    <col min="13322" max="13322" width="23.1640625" bestFit="1" customWidth="1"/>
    <col min="13323" max="13323" width="22.33203125" bestFit="1" customWidth="1"/>
    <col min="13324" max="13324" width="15.5" bestFit="1" customWidth="1"/>
    <col min="13325" max="13325" width="18.5" customWidth="1"/>
    <col min="13568" max="13568" width="2.6640625" customWidth="1"/>
    <col min="13569" max="13569" width="17.1640625" bestFit="1" customWidth="1"/>
    <col min="13570" max="13570" width="3.83203125" customWidth="1"/>
    <col min="13571" max="13572" width="16.5" customWidth="1"/>
    <col min="13573" max="13573" width="18.5" customWidth="1"/>
    <col min="13574" max="13574" width="16.5" bestFit="1" customWidth="1"/>
    <col min="13575" max="13575" width="21.1640625" bestFit="1" customWidth="1"/>
    <col min="13576" max="13576" width="20.5" customWidth="1"/>
    <col min="13577" max="13577" width="18.5" customWidth="1"/>
    <col min="13578" max="13578" width="23.1640625" bestFit="1" customWidth="1"/>
    <col min="13579" max="13579" width="22.33203125" bestFit="1" customWidth="1"/>
    <col min="13580" max="13580" width="15.5" bestFit="1" customWidth="1"/>
    <col min="13581" max="13581" width="18.5" customWidth="1"/>
    <col min="13824" max="13824" width="2.6640625" customWidth="1"/>
    <col min="13825" max="13825" width="17.1640625" bestFit="1" customWidth="1"/>
    <col min="13826" max="13826" width="3.83203125" customWidth="1"/>
    <col min="13827" max="13828" width="16.5" customWidth="1"/>
    <col min="13829" max="13829" width="18.5" customWidth="1"/>
    <col min="13830" max="13830" width="16.5" bestFit="1" customWidth="1"/>
    <col min="13831" max="13831" width="21.1640625" bestFit="1" customWidth="1"/>
    <col min="13832" max="13832" width="20.5" customWidth="1"/>
    <col min="13833" max="13833" width="18.5" customWidth="1"/>
    <col min="13834" max="13834" width="23.1640625" bestFit="1" customWidth="1"/>
    <col min="13835" max="13835" width="22.33203125" bestFit="1" customWidth="1"/>
    <col min="13836" max="13836" width="15.5" bestFit="1" customWidth="1"/>
    <col min="13837" max="13837" width="18.5" customWidth="1"/>
    <col min="14080" max="14080" width="2.6640625" customWidth="1"/>
    <col min="14081" max="14081" width="17.1640625" bestFit="1" customWidth="1"/>
    <col min="14082" max="14082" width="3.83203125" customWidth="1"/>
    <col min="14083" max="14084" width="16.5" customWidth="1"/>
    <col min="14085" max="14085" width="18.5" customWidth="1"/>
    <col min="14086" max="14086" width="16.5" bestFit="1" customWidth="1"/>
    <col min="14087" max="14087" width="21.1640625" bestFit="1" customWidth="1"/>
    <col min="14088" max="14088" width="20.5" customWidth="1"/>
    <col min="14089" max="14089" width="18.5" customWidth="1"/>
    <col min="14090" max="14090" width="23.1640625" bestFit="1" customWidth="1"/>
    <col min="14091" max="14091" width="22.33203125" bestFit="1" customWidth="1"/>
    <col min="14092" max="14092" width="15.5" bestFit="1" customWidth="1"/>
    <col min="14093" max="14093" width="18.5" customWidth="1"/>
    <col min="14336" max="14336" width="2.6640625" customWidth="1"/>
    <col min="14337" max="14337" width="17.1640625" bestFit="1" customWidth="1"/>
    <col min="14338" max="14338" width="3.83203125" customWidth="1"/>
    <col min="14339" max="14340" width="16.5" customWidth="1"/>
    <col min="14341" max="14341" width="18.5" customWidth="1"/>
    <col min="14342" max="14342" width="16.5" bestFit="1" customWidth="1"/>
    <col min="14343" max="14343" width="21.1640625" bestFit="1" customWidth="1"/>
    <col min="14344" max="14344" width="20.5" customWidth="1"/>
    <col min="14345" max="14345" width="18.5" customWidth="1"/>
    <col min="14346" max="14346" width="23.1640625" bestFit="1" customWidth="1"/>
    <col min="14347" max="14347" width="22.33203125" bestFit="1" customWidth="1"/>
    <col min="14348" max="14348" width="15.5" bestFit="1" customWidth="1"/>
    <col min="14349" max="14349" width="18.5" customWidth="1"/>
    <col min="14592" max="14592" width="2.6640625" customWidth="1"/>
    <col min="14593" max="14593" width="17.1640625" bestFit="1" customWidth="1"/>
    <col min="14594" max="14594" width="3.83203125" customWidth="1"/>
    <col min="14595" max="14596" width="16.5" customWidth="1"/>
    <col min="14597" max="14597" width="18.5" customWidth="1"/>
    <col min="14598" max="14598" width="16.5" bestFit="1" customWidth="1"/>
    <col min="14599" max="14599" width="21.1640625" bestFit="1" customWidth="1"/>
    <col min="14600" max="14600" width="20.5" customWidth="1"/>
    <col min="14601" max="14601" width="18.5" customWidth="1"/>
    <col min="14602" max="14602" width="23.1640625" bestFit="1" customWidth="1"/>
    <col min="14603" max="14603" width="22.33203125" bestFit="1" customWidth="1"/>
    <col min="14604" max="14604" width="15.5" bestFit="1" customWidth="1"/>
    <col min="14605" max="14605" width="18.5" customWidth="1"/>
    <col min="14848" max="14848" width="2.6640625" customWidth="1"/>
    <col min="14849" max="14849" width="17.1640625" bestFit="1" customWidth="1"/>
    <col min="14850" max="14850" width="3.83203125" customWidth="1"/>
    <col min="14851" max="14852" width="16.5" customWidth="1"/>
    <col min="14853" max="14853" width="18.5" customWidth="1"/>
    <col min="14854" max="14854" width="16.5" bestFit="1" customWidth="1"/>
    <col min="14855" max="14855" width="21.1640625" bestFit="1" customWidth="1"/>
    <col min="14856" max="14856" width="20.5" customWidth="1"/>
    <col min="14857" max="14857" width="18.5" customWidth="1"/>
    <col min="14858" max="14858" width="23.1640625" bestFit="1" customWidth="1"/>
    <col min="14859" max="14859" width="22.33203125" bestFit="1" customWidth="1"/>
    <col min="14860" max="14860" width="15.5" bestFit="1" customWidth="1"/>
    <col min="14861" max="14861" width="18.5" customWidth="1"/>
    <col min="15104" max="15104" width="2.6640625" customWidth="1"/>
    <col min="15105" max="15105" width="17.1640625" bestFit="1" customWidth="1"/>
    <col min="15106" max="15106" width="3.83203125" customWidth="1"/>
    <col min="15107" max="15108" width="16.5" customWidth="1"/>
    <col min="15109" max="15109" width="18.5" customWidth="1"/>
    <col min="15110" max="15110" width="16.5" bestFit="1" customWidth="1"/>
    <col min="15111" max="15111" width="21.1640625" bestFit="1" customWidth="1"/>
    <col min="15112" max="15112" width="20.5" customWidth="1"/>
    <col min="15113" max="15113" width="18.5" customWidth="1"/>
    <col min="15114" max="15114" width="23.1640625" bestFit="1" customWidth="1"/>
    <col min="15115" max="15115" width="22.33203125" bestFit="1" customWidth="1"/>
    <col min="15116" max="15116" width="15.5" bestFit="1" customWidth="1"/>
    <col min="15117" max="15117" width="18.5" customWidth="1"/>
    <col min="15360" max="15360" width="2.6640625" customWidth="1"/>
    <col min="15361" max="15361" width="17.1640625" bestFit="1" customWidth="1"/>
    <col min="15362" max="15362" width="3.83203125" customWidth="1"/>
    <col min="15363" max="15364" width="16.5" customWidth="1"/>
    <col min="15365" max="15365" width="18.5" customWidth="1"/>
    <col min="15366" max="15366" width="16.5" bestFit="1" customWidth="1"/>
    <col min="15367" max="15367" width="21.1640625" bestFit="1" customWidth="1"/>
    <col min="15368" max="15368" width="20.5" customWidth="1"/>
    <col min="15369" max="15369" width="18.5" customWidth="1"/>
    <col min="15370" max="15370" width="23.1640625" bestFit="1" customWidth="1"/>
    <col min="15371" max="15371" width="22.33203125" bestFit="1" customWidth="1"/>
    <col min="15372" max="15372" width="15.5" bestFit="1" customWidth="1"/>
    <col min="15373" max="15373" width="18.5" customWidth="1"/>
    <col min="15616" max="15616" width="2.6640625" customWidth="1"/>
    <col min="15617" max="15617" width="17.1640625" bestFit="1" customWidth="1"/>
    <col min="15618" max="15618" width="3.83203125" customWidth="1"/>
    <col min="15619" max="15620" width="16.5" customWidth="1"/>
    <col min="15621" max="15621" width="18.5" customWidth="1"/>
    <col min="15622" max="15622" width="16.5" bestFit="1" customWidth="1"/>
    <col min="15623" max="15623" width="21.1640625" bestFit="1" customWidth="1"/>
    <col min="15624" max="15624" width="20.5" customWidth="1"/>
    <col min="15625" max="15625" width="18.5" customWidth="1"/>
    <col min="15626" max="15626" width="23.1640625" bestFit="1" customWidth="1"/>
    <col min="15627" max="15627" width="22.33203125" bestFit="1" customWidth="1"/>
    <col min="15628" max="15628" width="15.5" bestFit="1" customWidth="1"/>
    <col min="15629" max="15629" width="18.5" customWidth="1"/>
    <col min="15872" max="15872" width="2.6640625" customWidth="1"/>
    <col min="15873" max="15873" width="17.1640625" bestFit="1" customWidth="1"/>
    <col min="15874" max="15874" width="3.83203125" customWidth="1"/>
    <col min="15875" max="15876" width="16.5" customWidth="1"/>
    <col min="15877" max="15877" width="18.5" customWidth="1"/>
    <col min="15878" max="15878" width="16.5" bestFit="1" customWidth="1"/>
    <col min="15879" max="15879" width="21.1640625" bestFit="1" customWidth="1"/>
    <col min="15880" max="15880" width="20.5" customWidth="1"/>
    <col min="15881" max="15881" width="18.5" customWidth="1"/>
    <col min="15882" max="15882" width="23.1640625" bestFit="1" customWidth="1"/>
    <col min="15883" max="15883" width="22.33203125" bestFit="1" customWidth="1"/>
    <col min="15884" max="15884" width="15.5" bestFit="1" customWidth="1"/>
    <col min="15885" max="15885" width="18.5" customWidth="1"/>
    <col min="16128" max="16128" width="2.6640625" customWidth="1"/>
    <col min="16129" max="16129" width="17.1640625" bestFit="1" customWidth="1"/>
    <col min="16130" max="16130" width="3.83203125" customWidth="1"/>
    <col min="16131" max="16132" width="16.5" customWidth="1"/>
    <col min="16133" max="16133" width="18.5" customWidth="1"/>
    <col min="16134" max="16134" width="16.5" bestFit="1" customWidth="1"/>
    <col min="16135" max="16135" width="21.1640625" bestFit="1" customWidth="1"/>
    <col min="16136" max="16136" width="20.5" customWidth="1"/>
    <col min="16137" max="16137" width="18.5" customWidth="1"/>
    <col min="16138" max="16138" width="23.1640625" bestFit="1" customWidth="1"/>
    <col min="16139" max="16139" width="22.33203125" bestFit="1" customWidth="1"/>
    <col min="16140" max="16140" width="15.5" bestFit="1" customWidth="1"/>
    <col min="16141" max="16141" width="18.5" customWidth="1"/>
  </cols>
  <sheetData>
    <row r="1" spans="1:13" ht="12.75">
      <c r="A1" s="299"/>
      <c r="B1" s="298" t="s">
        <v>8</v>
      </c>
      <c r="C1" s="299"/>
      <c r="D1" s="299"/>
      <c r="E1" s="299"/>
      <c r="F1" s="299"/>
      <c r="G1" s="299"/>
      <c r="H1" s="299"/>
      <c r="I1" s="314"/>
      <c r="J1" s="314"/>
      <c r="K1" s="314"/>
      <c r="L1" s="314"/>
      <c r="M1" s="314"/>
    </row>
    <row r="2" spans="1:13" ht="12.75">
      <c r="A2" s="299"/>
      <c r="B2" s="298" t="s">
        <v>745</v>
      </c>
      <c r="C2" s="299"/>
      <c r="D2" s="299"/>
      <c r="E2" s="299"/>
      <c r="F2" s="299"/>
      <c r="G2" s="299"/>
      <c r="H2" s="299"/>
      <c r="I2" s="314"/>
      <c r="J2" s="117"/>
      <c r="K2" s="314"/>
      <c r="L2" s="314"/>
      <c r="M2" s="314"/>
    </row>
    <row r="3" spans="1:13" ht="12.75">
      <c r="A3" s="299"/>
      <c r="B3" s="298" t="s">
        <v>735</v>
      </c>
      <c r="C3" s="299"/>
      <c r="D3" s="299"/>
      <c r="E3" s="299"/>
      <c r="F3" s="299"/>
      <c r="G3" s="299"/>
      <c r="H3" s="301">
        <v>48</v>
      </c>
      <c r="I3" s="303" t="s">
        <v>82</v>
      </c>
      <c r="J3" s="572"/>
      <c r="K3" s="314"/>
      <c r="L3" s="314"/>
      <c r="M3" s="314"/>
    </row>
    <row r="4" spans="1:13" ht="18">
      <c r="A4" s="299"/>
      <c r="B4" s="694" t="s">
        <v>748</v>
      </c>
      <c r="C4" s="553" t="s">
        <v>160</v>
      </c>
      <c r="D4" s="554"/>
      <c r="E4" s="573"/>
      <c r="F4" s="573"/>
      <c r="G4" s="302"/>
      <c r="H4" s="302"/>
      <c r="I4" s="303"/>
      <c r="J4" s="303"/>
      <c r="K4" s="303"/>
      <c r="L4" s="303"/>
      <c r="M4" s="303"/>
    </row>
    <row r="5" spans="1:13" ht="12.75">
      <c r="A5" s="555"/>
      <c r="B5" s="737"/>
      <c r="C5" s="894" t="s">
        <v>740</v>
      </c>
      <c r="D5" s="367"/>
      <c r="E5" s="377" t="s">
        <v>801</v>
      </c>
      <c r="F5" s="377"/>
      <c r="G5" s="377"/>
      <c r="H5" s="377"/>
      <c r="I5" s="894" t="s">
        <v>744</v>
      </c>
      <c r="J5" s="377"/>
      <c r="K5" s="377"/>
      <c r="L5" s="377"/>
      <c r="M5" s="306"/>
    </row>
    <row r="6" spans="1:13" ht="12.75">
      <c r="A6" s="299"/>
      <c r="B6" s="606"/>
      <c r="C6" s="482" t="s">
        <v>736</v>
      </c>
      <c r="D6" s="482" t="s">
        <v>101</v>
      </c>
      <c r="E6" s="482" t="s">
        <v>12</v>
      </c>
      <c r="F6" s="482" t="s">
        <v>13</v>
      </c>
      <c r="G6" s="482" t="s">
        <v>102</v>
      </c>
      <c r="H6" s="482" t="s">
        <v>9</v>
      </c>
      <c r="I6" s="482" t="s">
        <v>12</v>
      </c>
      <c r="J6" s="482" t="s">
        <v>13</v>
      </c>
      <c r="K6" s="482" t="s">
        <v>103</v>
      </c>
      <c r="L6" s="482" t="s">
        <v>737</v>
      </c>
      <c r="M6" s="919" t="s">
        <v>2</v>
      </c>
    </row>
    <row r="7" spans="1:13" ht="12.75">
      <c r="A7" s="314"/>
      <c r="B7" s="916" t="s">
        <v>10</v>
      </c>
      <c r="C7" s="377" t="s">
        <v>738</v>
      </c>
      <c r="D7" s="377" t="s">
        <v>2</v>
      </c>
      <c r="E7" s="377" t="s">
        <v>3</v>
      </c>
      <c r="F7" s="377" t="s">
        <v>3</v>
      </c>
      <c r="G7" s="377" t="s">
        <v>3</v>
      </c>
      <c r="H7" s="377" t="s">
        <v>11</v>
      </c>
      <c r="I7" s="377" t="s">
        <v>17</v>
      </c>
      <c r="J7" s="377" t="s">
        <v>17</v>
      </c>
      <c r="K7" s="377" t="s">
        <v>11</v>
      </c>
      <c r="L7" s="377" t="s">
        <v>739</v>
      </c>
      <c r="M7" s="920" t="s">
        <v>29</v>
      </c>
    </row>
    <row r="8" spans="1:13" ht="12.75">
      <c r="A8" s="314"/>
      <c r="B8" s="917" t="s">
        <v>105</v>
      </c>
      <c r="C8" s="377" t="s">
        <v>23</v>
      </c>
      <c r="D8" s="377" t="s">
        <v>24</v>
      </c>
      <c r="E8" s="377" t="s">
        <v>106</v>
      </c>
      <c r="F8" s="377" t="s">
        <v>114</v>
      </c>
      <c r="G8" s="377" t="s">
        <v>25</v>
      </c>
      <c r="H8" s="377" t="s">
        <v>108</v>
      </c>
      <c r="I8" s="377" t="s">
        <v>109</v>
      </c>
      <c r="J8" s="377" t="s">
        <v>115</v>
      </c>
      <c r="K8" s="377" t="s">
        <v>80</v>
      </c>
      <c r="L8" s="377" t="s">
        <v>111</v>
      </c>
      <c r="M8" s="920" t="s">
        <v>27</v>
      </c>
    </row>
    <row r="9" spans="1:13" ht="12.75">
      <c r="A9" s="314"/>
      <c r="B9" s="918"/>
      <c r="C9" s="557"/>
      <c r="D9" s="557"/>
      <c r="E9" s="557"/>
      <c r="F9" s="557"/>
      <c r="G9" s="557"/>
      <c r="H9" s="557"/>
      <c r="I9" s="557" t="s">
        <v>113</v>
      </c>
      <c r="J9" s="557"/>
      <c r="K9" s="557"/>
      <c r="L9" s="557"/>
      <c r="M9" s="921"/>
    </row>
    <row r="10" spans="1:13" ht="12.75" hidden="1" outlineLevel="1">
      <c r="A10" s="314"/>
      <c r="B10" s="310">
        <v>41639</v>
      </c>
      <c r="C10" s="306"/>
      <c r="D10" s="305"/>
      <c r="E10" s="306"/>
      <c r="F10" s="305"/>
      <c r="G10" s="306"/>
      <c r="H10" s="306"/>
      <c r="I10" s="306"/>
      <c r="J10" s="305"/>
      <c r="K10" s="306"/>
      <c r="L10" s="377"/>
      <c r="M10" s="325"/>
    </row>
    <row r="11" spans="1:13" ht="12.75" hidden="1" outlineLevel="1">
      <c r="A11" s="314"/>
      <c r="B11" s="310">
        <v>41670</v>
      </c>
      <c r="C11" s="306"/>
      <c r="D11" s="305"/>
      <c r="E11" s="306"/>
      <c r="F11" s="305"/>
      <c r="G11" s="306"/>
      <c r="H11" s="306"/>
      <c r="I11" s="306"/>
      <c r="J11" s="305"/>
      <c r="K11" s="306"/>
      <c r="L11" s="377"/>
      <c r="M11" s="325"/>
    </row>
    <row r="12" spans="1:13" ht="12.75" hidden="1" outlineLevel="1">
      <c r="A12" s="314"/>
      <c r="B12" s="310">
        <v>41698</v>
      </c>
      <c r="C12" s="306"/>
      <c r="D12" s="305"/>
      <c r="E12" s="306"/>
      <c r="F12" s="305"/>
      <c r="G12" s="306"/>
      <c r="H12" s="306"/>
      <c r="I12" s="306"/>
      <c r="J12" s="305"/>
      <c r="K12" s="306"/>
      <c r="L12" s="377"/>
      <c r="M12" s="325"/>
    </row>
    <row r="13" spans="1:13" ht="12.75" hidden="1" outlineLevel="1">
      <c r="A13" s="314"/>
      <c r="B13" s="310">
        <v>41729</v>
      </c>
      <c r="C13" s="306"/>
      <c r="D13" s="305"/>
      <c r="E13" s="306"/>
      <c r="F13" s="305"/>
      <c r="G13" s="306"/>
      <c r="H13" s="306"/>
      <c r="I13" s="306"/>
      <c r="J13" s="305"/>
      <c r="K13" s="306"/>
      <c r="L13" s="377"/>
      <c r="M13" s="325"/>
    </row>
    <row r="14" spans="1:13" ht="12.75" hidden="1" outlineLevel="1">
      <c r="A14" s="314"/>
      <c r="B14" s="310">
        <v>41759</v>
      </c>
      <c r="C14" s="306"/>
      <c r="D14" s="305"/>
      <c r="E14" s="306"/>
      <c r="F14" s="305"/>
      <c r="G14" s="306"/>
      <c r="H14" s="306"/>
      <c r="I14" s="306"/>
      <c r="J14" s="305"/>
      <c r="K14" s="306"/>
      <c r="L14" s="377"/>
      <c r="M14" s="325"/>
    </row>
    <row r="15" spans="1:13" ht="12.75" hidden="1" outlineLevel="1">
      <c r="A15" s="314"/>
      <c r="B15" s="310">
        <v>41790</v>
      </c>
      <c r="C15" s="306"/>
      <c r="D15" s="305"/>
      <c r="E15" s="306"/>
      <c r="F15" s="305"/>
      <c r="G15" s="306"/>
      <c r="H15" s="306"/>
      <c r="I15" s="306"/>
      <c r="J15" s="305"/>
      <c r="K15" s="306"/>
      <c r="L15" s="377"/>
      <c r="M15" s="325"/>
    </row>
    <row r="16" spans="1:13" ht="12.75" hidden="1" outlineLevel="1">
      <c r="A16" s="555"/>
      <c r="B16" s="310">
        <v>41820</v>
      </c>
      <c r="C16" s="304"/>
      <c r="D16" s="557"/>
      <c r="E16" s="558"/>
      <c r="F16" s="557"/>
      <c r="G16" s="304"/>
      <c r="H16" s="304"/>
      <c r="J16" s="557"/>
      <c r="K16" s="304"/>
      <c r="L16" s="377"/>
      <c r="M16" s="409"/>
    </row>
    <row r="17" spans="1:13" ht="12.75" hidden="1" outlineLevel="1">
      <c r="A17" s="299"/>
      <c r="B17" s="310">
        <v>41851</v>
      </c>
      <c r="C17" s="559"/>
      <c r="D17" s="564"/>
      <c r="E17" s="565"/>
      <c r="F17" s="565"/>
      <c r="G17" s="564"/>
      <c r="H17" s="566">
        <f t="shared" ref="H17:H69" si="0">D17+G17</f>
        <v>0</v>
      </c>
      <c r="I17" s="567">
        <f>(-C17*0.35)+(E17*0.35)</f>
        <v>0</v>
      </c>
      <c r="J17" s="567">
        <f>J16+I17</f>
        <v>0</v>
      </c>
      <c r="K17" s="564"/>
      <c r="L17" s="568">
        <f>H17+K17</f>
        <v>0</v>
      </c>
      <c r="M17" s="562">
        <f>C17+F17+J17</f>
        <v>0</v>
      </c>
    </row>
    <row r="18" spans="1:13" ht="12.75" hidden="1" customHeight="1" outlineLevel="1">
      <c r="A18" s="299"/>
      <c r="B18" s="313">
        <v>41852</v>
      </c>
      <c r="C18" s="561"/>
      <c r="D18" s="560">
        <f>(0+C18+SUM(C$17:C17)*2)/24</f>
        <v>0</v>
      </c>
      <c r="E18" s="560"/>
      <c r="F18" s="561">
        <f>F17-E18</f>
        <v>0</v>
      </c>
      <c r="G18" s="560">
        <f>(0+F18+SUM(F$17:F17)*2)/24</f>
        <v>0</v>
      </c>
      <c r="H18" s="560">
        <f t="shared" si="0"/>
        <v>0</v>
      </c>
      <c r="I18" s="561">
        <f>+(E18*0.35)</f>
        <v>0</v>
      </c>
      <c r="J18" s="561">
        <f>J17+I18</f>
        <v>0</v>
      </c>
      <c r="K18" s="560">
        <f>(0+J18+SUM(J$17:J17)*2)/24</f>
        <v>0</v>
      </c>
      <c r="L18" s="562">
        <f t="shared" ref="L18:L70" si="1">H18+K18</f>
        <v>0</v>
      </c>
      <c r="M18" s="562">
        <f t="shared" ref="M18:M70" si="2">C18+F18+J18</f>
        <v>0</v>
      </c>
    </row>
    <row r="19" spans="1:13" ht="12.75" hidden="1" customHeight="1" outlineLevel="1">
      <c r="A19" s="299"/>
      <c r="B19" s="313">
        <v>41912</v>
      </c>
      <c r="C19" s="561"/>
      <c r="D19" s="560">
        <f>(0+C19+SUM(C$17:C18)*2)/24</f>
        <v>0</v>
      </c>
      <c r="E19" s="560">
        <f>E18</f>
        <v>0</v>
      </c>
      <c r="F19" s="561">
        <f t="shared" ref="F19:F70" si="3">F18-E19</f>
        <v>0</v>
      </c>
      <c r="G19" s="560">
        <f>(0+F19+SUM(F$17:F18)*2)/24</f>
        <v>0</v>
      </c>
      <c r="H19" s="560">
        <f t="shared" si="0"/>
        <v>0</v>
      </c>
      <c r="I19" s="561">
        <f>+(E19*0.35)</f>
        <v>0</v>
      </c>
      <c r="J19" s="561">
        <f t="shared" ref="J19:J69" si="4">J18+I19</f>
        <v>0</v>
      </c>
      <c r="K19" s="560">
        <f>(0+J19+SUM(J$17:J18)*2)/24</f>
        <v>0</v>
      </c>
      <c r="L19" s="562">
        <f t="shared" si="1"/>
        <v>0</v>
      </c>
      <c r="M19" s="562">
        <f t="shared" si="2"/>
        <v>0</v>
      </c>
    </row>
    <row r="20" spans="1:13" ht="12.75" hidden="1" customHeight="1" outlineLevel="1">
      <c r="A20" s="299"/>
      <c r="B20" s="313">
        <v>41943</v>
      </c>
      <c r="C20" s="561"/>
      <c r="D20" s="560">
        <f>(0+C20+SUM(C$17:C19)*2)/24</f>
        <v>0</v>
      </c>
      <c r="E20" s="560">
        <f>E19</f>
        <v>0</v>
      </c>
      <c r="F20" s="561">
        <f t="shared" si="3"/>
        <v>0</v>
      </c>
      <c r="G20" s="560">
        <f>(0+F20+SUM(F$17:F19)*2)/24</f>
        <v>0</v>
      </c>
      <c r="H20" s="560">
        <f t="shared" si="0"/>
        <v>0</v>
      </c>
      <c r="I20" s="561">
        <f t="shared" ref="I20:I58" si="5">+(E20*0.35)</f>
        <v>0</v>
      </c>
      <c r="J20" s="561">
        <f t="shared" si="4"/>
        <v>0</v>
      </c>
      <c r="K20" s="560">
        <f>(0+J20+SUM(J$17:J19)*2)/24</f>
        <v>0</v>
      </c>
      <c r="L20" s="562">
        <f t="shared" si="1"/>
        <v>0</v>
      </c>
      <c r="M20" s="562">
        <f t="shared" si="2"/>
        <v>0</v>
      </c>
    </row>
    <row r="21" spans="1:13" ht="12.75" hidden="1" outlineLevel="1">
      <c r="A21" s="299"/>
      <c r="B21" s="313">
        <v>41973</v>
      </c>
      <c r="C21" s="561">
        <v>14431226</v>
      </c>
      <c r="D21" s="560">
        <f>(0+C21+SUM(C$17:C20)*2)/24</f>
        <v>601301.08333333337</v>
      </c>
      <c r="E21" s="560">
        <f>E20</f>
        <v>0</v>
      </c>
      <c r="F21" s="561">
        <f>F20-E21</f>
        <v>0</v>
      </c>
      <c r="G21" s="560">
        <f>(0+F21+SUM(F$17:F20)*2)/24</f>
        <v>0</v>
      </c>
      <c r="H21" s="560">
        <f t="shared" si="0"/>
        <v>601301.08333333337</v>
      </c>
      <c r="I21" s="561">
        <f t="shared" si="5"/>
        <v>0</v>
      </c>
      <c r="J21" s="561">
        <f>J20+I21</f>
        <v>0</v>
      </c>
      <c r="K21" s="560">
        <f>(0+J21+SUM(J$17:J20)*2)/24</f>
        <v>0</v>
      </c>
      <c r="L21" s="562">
        <f t="shared" si="1"/>
        <v>601301.08333333337</v>
      </c>
      <c r="M21" s="562">
        <f>C21+F21+J21</f>
        <v>14431226</v>
      </c>
    </row>
    <row r="22" spans="1:13" ht="12.75" hidden="1" outlineLevel="1">
      <c r="A22" s="299"/>
      <c r="B22" s="310">
        <v>42004</v>
      </c>
      <c r="C22" s="560">
        <f t="shared" ref="C22:C85" si="6">C21</f>
        <v>14431226</v>
      </c>
      <c r="D22" s="560">
        <f>(C10+C22+SUM(C$11:C21)*2)/24</f>
        <v>1803903.25</v>
      </c>
      <c r="E22" s="560">
        <f>282625+140907</f>
        <v>423532</v>
      </c>
      <c r="F22" s="560">
        <f t="shared" si="3"/>
        <v>-423532</v>
      </c>
      <c r="G22" s="560">
        <f>(F10+F22+SUM(F$11:F21)*2)/24</f>
        <v>-17647.166666666668</v>
      </c>
      <c r="H22" s="560">
        <f t="shared" si="0"/>
        <v>1786256.0833333333</v>
      </c>
      <c r="I22" s="560">
        <v>-4902692.9000000004</v>
      </c>
      <c r="J22" s="560">
        <f>J21+I22</f>
        <v>-4902692.9000000004</v>
      </c>
      <c r="K22" s="560">
        <f>(0+J22+SUM(J$17:J21)*2)/24</f>
        <v>-204278.87083333335</v>
      </c>
      <c r="L22" s="562">
        <f t="shared" si="1"/>
        <v>1581977.2124999999</v>
      </c>
      <c r="M22" s="562">
        <f t="shared" si="2"/>
        <v>9105001.0999999996</v>
      </c>
    </row>
    <row r="23" spans="1:13" ht="12.75" hidden="1" outlineLevel="1">
      <c r="A23" s="299"/>
      <c r="B23" s="310">
        <v>42035</v>
      </c>
      <c r="C23" s="560">
        <f t="shared" si="6"/>
        <v>14431226</v>
      </c>
      <c r="D23" s="560">
        <f>(C11+C23+SUM(C$11:C22)*2)/24</f>
        <v>3006505.4166666665</v>
      </c>
      <c r="E23" s="560">
        <f>282625-88404.87-140907</f>
        <v>53313.130000000005</v>
      </c>
      <c r="F23" s="560">
        <f t="shared" si="3"/>
        <v>-476845.13</v>
      </c>
      <c r="G23" s="560">
        <f>(F11+F23+SUM(F$11:F22)*2)/24</f>
        <v>-55162.88041666666</v>
      </c>
      <c r="H23" s="560">
        <f>D23+G23</f>
        <v>2951342.5362499999</v>
      </c>
      <c r="I23" s="560">
        <v>18659.599999999999</v>
      </c>
      <c r="J23" s="560">
        <f t="shared" si="4"/>
        <v>-4884033.3000000007</v>
      </c>
      <c r="K23" s="560">
        <f>(0+J23+SUM(J$17:J22)*2)/24</f>
        <v>-612059.12916666677</v>
      </c>
      <c r="L23" s="562">
        <f t="shared" si="1"/>
        <v>2339283.407083333</v>
      </c>
      <c r="M23" s="562">
        <f t="shared" si="2"/>
        <v>9070347.5699999984</v>
      </c>
    </row>
    <row r="24" spans="1:13" ht="12.75" hidden="1" outlineLevel="1">
      <c r="A24" s="299"/>
      <c r="B24" s="310">
        <v>42063</v>
      </c>
      <c r="C24" s="560">
        <f t="shared" si="6"/>
        <v>14431226</v>
      </c>
      <c r="D24" s="560">
        <f>(C12+C24+SUM(C13:C23)*2)/24</f>
        <v>4209107.583333333</v>
      </c>
      <c r="E24" s="560">
        <v>282625</v>
      </c>
      <c r="F24" s="560">
        <f t="shared" si="3"/>
        <v>-759470.13</v>
      </c>
      <c r="G24" s="560">
        <f>(F12+F24+SUM(F$11:F23)*2)/24</f>
        <v>-106676.01625</v>
      </c>
      <c r="H24" s="560">
        <f t="shared" si="0"/>
        <v>4102431.5670833332</v>
      </c>
      <c r="I24" s="560">
        <f>+(E24*0.35)</f>
        <v>98918.75</v>
      </c>
      <c r="J24" s="560">
        <f t="shared" si="4"/>
        <v>-4785114.5500000007</v>
      </c>
      <c r="K24" s="560">
        <f>(0+J24+SUM(J$17:J23)*2)/24</f>
        <v>-1014940.2895833334</v>
      </c>
      <c r="L24" s="562">
        <f t="shared" si="1"/>
        <v>3087491.2774999999</v>
      </c>
      <c r="M24" s="562">
        <f t="shared" si="2"/>
        <v>8886641.3199999984</v>
      </c>
    </row>
    <row r="25" spans="1:13" ht="12.75" hidden="1" outlineLevel="1">
      <c r="A25" s="299"/>
      <c r="B25" s="310">
        <v>42094</v>
      </c>
      <c r="C25" s="560">
        <f t="shared" si="6"/>
        <v>14431226</v>
      </c>
      <c r="D25" s="560">
        <f>(C13+C25+SUM(C14:C24)*2)/24</f>
        <v>5411709.75</v>
      </c>
      <c r="E25" s="560">
        <f t="shared" ref="E25:E65" si="7">E24</f>
        <v>282625</v>
      </c>
      <c r="F25" s="560">
        <f t="shared" si="3"/>
        <v>-1042095.13</v>
      </c>
      <c r="G25" s="560">
        <f t="shared" ref="G25:G31" si="8">(F13+F25+SUM(F14:F24)*2)/24</f>
        <v>-181741.23541666669</v>
      </c>
      <c r="H25" s="560">
        <f t="shared" si="0"/>
        <v>5229968.5145833334</v>
      </c>
      <c r="I25" s="560">
        <f t="shared" si="5"/>
        <v>98918.75</v>
      </c>
      <c r="J25" s="560">
        <f t="shared" si="4"/>
        <v>-4686195.8000000007</v>
      </c>
      <c r="K25" s="560">
        <f>(0+J25+SUM(J$17:J24)*2)/24</f>
        <v>-1409578.2208333334</v>
      </c>
      <c r="L25" s="562">
        <f t="shared" si="1"/>
        <v>3820390.2937500002</v>
      </c>
      <c r="M25" s="562">
        <f t="shared" si="2"/>
        <v>8702935.0699999984</v>
      </c>
    </row>
    <row r="26" spans="1:13" ht="12.75" hidden="1" outlineLevel="1">
      <c r="A26" s="299"/>
      <c r="B26" s="310">
        <v>42124</v>
      </c>
      <c r="C26" s="560">
        <f>+C25-179513-88405</f>
        <v>14163308</v>
      </c>
      <c r="D26" s="560">
        <f>(C14+C26+SUM(C15:C25)*2)/24</f>
        <v>6603148.666666667</v>
      </c>
      <c r="E26" s="560">
        <f t="shared" si="7"/>
        <v>282625</v>
      </c>
      <c r="F26" s="560">
        <f t="shared" si="3"/>
        <v>-1324720.1299999999</v>
      </c>
      <c r="G26" s="560">
        <f t="shared" si="8"/>
        <v>-280358.53791666665</v>
      </c>
      <c r="H26" s="560">
        <f t="shared" si="0"/>
        <v>6322790.1287500001</v>
      </c>
      <c r="I26" s="560">
        <f>+(E26*0.35)+93771</f>
        <v>192689.75</v>
      </c>
      <c r="J26" s="560">
        <f>J25+I26</f>
        <v>-4493506.0500000007</v>
      </c>
      <c r="K26" s="560">
        <f>(0+J26+SUM(J$17:J25)*2)/24</f>
        <v>-1792065.7979166668</v>
      </c>
      <c r="L26" s="562">
        <f t="shared" si="1"/>
        <v>4530724.3308333335</v>
      </c>
      <c r="M26" s="562">
        <f t="shared" si="2"/>
        <v>8345081.8200000003</v>
      </c>
    </row>
    <row r="27" spans="1:13" ht="12.75" hidden="1" outlineLevel="1">
      <c r="A27" s="299"/>
      <c r="B27" s="310">
        <v>42155</v>
      </c>
      <c r="C27" s="560">
        <f t="shared" si="6"/>
        <v>14163308</v>
      </c>
      <c r="D27" s="560">
        <f>(C15+C27+SUM(C16:C26)*2)/24</f>
        <v>7783424.333333333</v>
      </c>
      <c r="E27" s="560">
        <f t="shared" si="7"/>
        <v>282625</v>
      </c>
      <c r="F27" s="560">
        <f t="shared" si="3"/>
        <v>-1607345.13</v>
      </c>
      <c r="G27" s="560">
        <f t="shared" si="8"/>
        <v>-402527.92375000002</v>
      </c>
      <c r="H27" s="560">
        <f t="shared" si="0"/>
        <v>7380896.4095833329</v>
      </c>
      <c r="I27" s="560">
        <f t="shared" si="5"/>
        <v>98918.75</v>
      </c>
      <c r="J27" s="560">
        <f>J26+I27</f>
        <v>-4394587.3000000007</v>
      </c>
      <c r="K27" s="560">
        <f>(0+J27+SUM(J$17:J26)*2)/24</f>
        <v>-2162403.020833334</v>
      </c>
      <c r="L27" s="562">
        <f t="shared" si="1"/>
        <v>5218493.388749999</v>
      </c>
      <c r="M27" s="562">
        <f t="shared" si="2"/>
        <v>8161375.5700000003</v>
      </c>
    </row>
    <row r="28" spans="1:13" ht="12.75" hidden="1" outlineLevel="1">
      <c r="A28" s="299"/>
      <c r="B28" s="310">
        <v>42185</v>
      </c>
      <c r="C28" s="560">
        <f t="shared" si="6"/>
        <v>14163308</v>
      </c>
      <c r="D28" s="560">
        <f>(C16+C28+SUM(C17:C27)*2)/24</f>
        <v>8963700</v>
      </c>
      <c r="E28" s="560">
        <f>E27+4959.6</f>
        <v>287584.59999999998</v>
      </c>
      <c r="F28" s="560">
        <f t="shared" si="3"/>
        <v>-1894929.73</v>
      </c>
      <c r="G28" s="560">
        <f t="shared" si="8"/>
        <v>-548456.04291666672</v>
      </c>
      <c r="H28" s="560">
        <f t="shared" si="0"/>
        <v>8415243.9570833333</v>
      </c>
      <c r="I28" s="560">
        <f>+(E28*0.35)</f>
        <v>100654.60999999999</v>
      </c>
      <c r="J28" s="560">
        <f t="shared" si="4"/>
        <v>-4293932.6900000004</v>
      </c>
      <c r="K28" s="560">
        <f>(0+J28+SUM(J$17:J27)*2)/24</f>
        <v>-2524424.6870833337</v>
      </c>
      <c r="L28" s="562">
        <f t="shared" si="1"/>
        <v>5890819.2699999996</v>
      </c>
      <c r="M28" s="562">
        <f t="shared" si="2"/>
        <v>7974445.5799999991</v>
      </c>
    </row>
    <row r="29" spans="1:13" ht="12.75" hidden="1" outlineLevel="1">
      <c r="A29" s="299"/>
      <c r="B29" s="310">
        <v>42216</v>
      </c>
      <c r="C29" s="560">
        <f t="shared" si="6"/>
        <v>14163308</v>
      </c>
      <c r="D29" s="560">
        <f>(C17+C29+SUM(C$11:C28)*2)/24</f>
        <v>10143975.666666666</v>
      </c>
      <c r="E29" s="560">
        <f>E27</f>
        <v>282625</v>
      </c>
      <c r="F29" s="560">
        <f t="shared" si="3"/>
        <v>-2177554.73</v>
      </c>
      <c r="G29" s="560">
        <f t="shared" si="8"/>
        <v>-718142.89541666675</v>
      </c>
      <c r="H29" s="560">
        <f t="shared" si="0"/>
        <v>9425832.7712499984</v>
      </c>
      <c r="I29" s="560">
        <f t="shared" si="5"/>
        <v>98918.75</v>
      </c>
      <c r="J29" s="560">
        <f t="shared" si="4"/>
        <v>-4195013.9400000004</v>
      </c>
      <c r="K29" s="560">
        <f>(J16+J29+SUM(J17:J28)*2)/24</f>
        <v>-2878130.7966666673</v>
      </c>
      <c r="L29" s="562">
        <f t="shared" si="1"/>
        <v>6547701.9745833315</v>
      </c>
      <c r="M29" s="562">
        <f t="shared" si="2"/>
        <v>7790739.3299999991</v>
      </c>
    </row>
    <row r="30" spans="1:13" ht="12.75" hidden="1" outlineLevel="1">
      <c r="A30" s="299"/>
      <c r="B30" s="310">
        <v>42247</v>
      </c>
      <c r="C30" s="560">
        <f t="shared" si="6"/>
        <v>14163308</v>
      </c>
      <c r="D30" s="560">
        <f>(C17+C30+SUM(C18:C29)*2)/24</f>
        <v>11324251.333333334</v>
      </c>
      <c r="E30" s="560">
        <f t="shared" si="7"/>
        <v>282625</v>
      </c>
      <c r="F30" s="560">
        <f t="shared" si="3"/>
        <v>-2460179.73</v>
      </c>
      <c r="G30" s="560">
        <f t="shared" si="8"/>
        <v>-911381.83125000016</v>
      </c>
      <c r="H30" s="560">
        <f t="shared" si="0"/>
        <v>10412869.502083333</v>
      </c>
      <c r="I30" s="560">
        <f t="shared" si="5"/>
        <v>98918.75</v>
      </c>
      <c r="J30" s="560">
        <f t="shared" si="4"/>
        <v>-4096095.1900000004</v>
      </c>
      <c r="K30" s="560">
        <f>(J17+J30+SUM(J18:J29)*2)/24</f>
        <v>-3223593.677083334</v>
      </c>
      <c r="L30" s="562">
        <f>H30+K30</f>
        <v>7189275.8249999993</v>
      </c>
      <c r="M30" s="562">
        <f t="shared" si="2"/>
        <v>7607033.0799999991</v>
      </c>
    </row>
    <row r="31" spans="1:13" ht="12.75" hidden="1" outlineLevel="1">
      <c r="A31" s="299"/>
      <c r="B31" s="310">
        <v>42277</v>
      </c>
      <c r="C31" s="560">
        <f t="shared" si="6"/>
        <v>14163308</v>
      </c>
      <c r="D31" s="560">
        <f>(C18+C31+SUM(C19:C30)*2)/24</f>
        <v>12504527</v>
      </c>
      <c r="E31" s="560">
        <f t="shared" si="7"/>
        <v>282625</v>
      </c>
      <c r="F31" s="560">
        <f t="shared" si="3"/>
        <v>-2742804.73</v>
      </c>
      <c r="G31" s="560">
        <f t="shared" si="8"/>
        <v>-1128172.8504166668</v>
      </c>
      <c r="H31" s="560">
        <f t="shared" si="0"/>
        <v>11376354.149583332</v>
      </c>
      <c r="I31" s="560">
        <f t="shared" si="5"/>
        <v>98918.75</v>
      </c>
      <c r="J31" s="560">
        <f t="shared" si="4"/>
        <v>-3997176.4400000004</v>
      </c>
      <c r="K31" s="560">
        <f>(J18+J31+SUM(J19:J30)*2)/24</f>
        <v>-3560813.3283333336</v>
      </c>
      <c r="L31" s="562">
        <f t="shared" si="1"/>
        <v>7815540.8212499991</v>
      </c>
      <c r="M31" s="562">
        <f t="shared" si="2"/>
        <v>7423326.8299999991</v>
      </c>
    </row>
    <row r="32" spans="1:13" ht="12.75" hidden="1" outlineLevel="1">
      <c r="A32" s="299"/>
      <c r="B32" s="310">
        <v>42308</v>
      </c>
      <c r="C32" s="560">
        <f t="shared" si="6"/>
        <v>14163308</v>
      </c>
      <c r="D32" s="560">
        <f>(C19+C32+SUM(C21:C31)*2)/24</f>
        <v>13684802.666666666</v>
      </c>
      <c r="E32" s="560">
        <f t="shared" si="7"/>
        <v>282625</v>
      </c>
      <c r="F32" s="560">
        <f t="shared" si="3"/>
        <v>-3025429.73</v>
      </c>
      <c r="G32" s="560">
        <f>(F19+F32+SUM(F21:F31)*2)/24</f>
        <v>-1368515.9529166669</v>
      </c>
      <c r="H32" s="560">
        <f t="shared" si="0"/>
        <v>12316286.713749999</v>
      </c>
      <c r="I32" s="560">
        <f t="shared" si="5"/>
        <v>98918.75</v>
      </c>
      <c r="J32" s="560">
        <f t="shared" si="4"/>
        <v>-3898257.6900000004</v>
      </c>
      <c r="K32" s="560">
        <f>(J19+J32+SUM(J21:J31)*2)/24</f>
        <v>-3889789.7504166667</v>
      </c>
      <c r="L32" s="562">
        <f t="shared" si="1"/>
        <v>8426496.9633333329</v>
      </c>
      <c r="M32" s="562">
        <f t="shared" si="2"/>
        <v>7239620.5799999991</v>
      </c>
    </row>
    <row r="33" spans="1:13" ht="12.75" hidden="1" outlineLevel="1">
      <c r="A33" s="299"/>
      <c r="B33" s="310">
        <v>42338</v>
      </c>
      <c r="C33" s="560">
        <f t="shared" si="6"/>
        <v>14163308</v>
      </c>
      <c r="D33" s="560">
        <f>(C21+C33+SUM(C22:C32)*2)/24</f>
        <v>14263777.25</v>
      </c>
      <c r="E33" s="560">
        <f>E32+3320.43</f>
        <v>285945.43</v>
      </c>
      <c r="F33" s="560">
        <f t="shared" si="3"/>
        <v>-3311375.16</v>
      </c>
      <c r="G33" s="560">
        <f t="shared" ref="G33:G70" si="9">(F21+F33+SUM(F22:F32)*2)/24</f>
        <v>-1632549.4900000002</v>
      </c>
      <c r="H33" s="560">
        <f>D33+G33</f>
        <v>12631227.76</v>
      </c>
      <c r="I33" s="560">
        <f t="shared" si="5"/>
        <v>100080.90049999999</v>
      </c>
      <c r="J33" s="560">
        <f t="shared" si="4"/>
        <v>-3798176.7895000004</v>
      </c>
      <c r="K33" s="560">
        <f t="shared" ref="K33:K58" si="10">(J21+J33+SUM(J22:J32)*2)/24</f>
        <v>-4210474.5203958331</v>
      </c>
      <c r="L33" s="562">
        <f t="shared" si="1"/>
        <v>8420753.2396041676</v>
      </c>
      <c r="M33" s="562">
        <f t="shared" si="2"/>
        <v>7053756.0504999999</v>
      </c>
    </row>
    <row r="34" spans="1:13" ht="12.75" hidden="1" outlineLevel="1">
      <c r="A34" s="299"/>
      <c r="B34" s="310">
        <v>42369</v>
      </c>
      <c r="C34" s="560">
        <f t="shared" si="6"/>
        <v>14163308</v>
      </c>
      <c r="D34" s="560">
        <f t="shared" ref="D34:D39" si="11">(C22+C34+SUM(C23:C33)*2)/24</f>
        <v>14241450.75</v>
      </c>
      <c r="E34" s="560">
        <f>E32</f>
        <v>282625</v>
      </c>
      <c r="F34" s="560">
        <f t="shared" si="3"/>
        <v>-3594000.16</v>
      </c>
      <c r="G34" s="560">
        <f t="shared" si="9"/>
        <v>-1902626.2949999999</v>
      </c>
      <c r="H34" s="560">
        <f t="shared" si="0"/>
        <v>12338824.455</v>
      </c>
      <c r="I34" s="560">
        <f t="shared" si="5"/>
        <v>98918.75</v>
      </c>
      <c r="J34" s="560">
        <f t="shared" si="4"/>
        <v>-3699258.0395000004</v>
      </c>
      <c r="K34" s="560">
        <f t="shared" si="10"/>
        <v>-4318588.7674374999</v>
      </c>
      <c r="L34" s="562">
        <f t="shared" si="1"/>
        <v>8020235.6875625001</v>
      </c>
      <c r="M34" s="562">
        <f t="shared" si="2"/>
        <v>6870049.8004999999</v>
      </c>
    </row>
    <row r="35" spans="1:13" ht="12.75" hidden="1" outlineLevel="1">
      <c r="A35" s="299"/>
      <c r="B35" s="310">
        <v>42400</v>
      </c>
      <c r="C35" s="560">
        <f t="shared" si="6"/>
        <v>14163308</v>
      </c>
      <c r="D35" s="560">
        <f t="shared" si="11"/>
        <v>14219124.25</v>
      </c>
      <c r="E35" s="560">
        <f t="shared" si="7"/>
        <v>282625</v>
      </c>
      <c r="F35" s="560">
        <f t="shared" si="3"/>
        <v>-3876625.16</v>
      </c>
      <c r="G35" s="560">
        <f t="shared" si="9"/>
        <v>-2176386.63625</v>
      </c>
      <c r="H35" s="560">
        <f t="shared" si="0"/>
        <v>12042737.61375</v>
      </c>
      <c r="I35" s="560">
        <f t="shared" si="5"/>
        <v>98918.75</v>
      </c>
      <c r="J35" s="560">
        <f t="shared" si="4"/>
        <v>-3600339.2895000004</v>
      </c>
      <c r="K35" s="560">
        <f t="shared" si="10"/>
        <v>-4214958.3978124997</v>
      </c>
      <c r="L35" s="562">
        <f>H35+K35</f>
        <v>7827779.2159374999</v>
      </c>
      <c r="M35" s="562">
        <f t="shared" si="2"/>
        <v>6686343.5504999999</v>
      </c>
    </row>
    <row r="36" spans="1:13" ht="12.75" hidden="1" outlineLevel="1">
      <c r="A36" s="299"/>
      <c r="B36" s="313">
        <v>42429</v>
      </c>
      <c r="C36" s="561">
        <f t="shared" si="6"/>
        <v>14163308</v>
      </c>
      <c r="D36" s="560">
        <f t="shared" si="11"/>
        <v>14196797.75</v>
      </c>
      <c r="E36" s="560">
        <f t="shared" si="7"/>
        <v>282625</v>
      </c>
      <c r="F36" s="561">
        <f t="shared" si="3"/>
        <v>-4159250.16</v>
      </c>
      <c r="G36" s="560">
        <f t="shared" si="9"/>
        <v>-2459701.6387500004</v>
      </c>
      <c r="H36" s="560">
        <f t="shared" si="0"/>
        <v>11737096.11125</v>
      </c>
      <c r="I36" s="561">
        <f t="shared" si="5"/>
        <v>98918.75</v>
      </c>
      <c r="J36" s="561">
        <f t="shared" si="4"/>
        <v>-3501420.5395000004</v>
      </c>
      <c r="K36" s="560">
        <f t="shared" si="10"/>
        <v>-4107983.8969375002</v>
      </c>
      <c r="L36" s="562">
        <f t="shared" si="1"/>
        <v>7629112.2143124994</v>
      </c>
      <c r="M36" s="562">
        <f t="shared" si="2"/>
        <v>6502637.3004999999</v>
      </c>
    </row>
    <row r="37" spans="1:13" ht="12.75" hidden="1" outlineLevel="1">
      <c r="A37" s="299"/>
      <c r="B37" s="313">
        <v>42460</v>
      </c>
      <c r="C37" s="561">
        <f t="shared" si="6"/>
        <v>14163308</v>
      </c>
      <c r="D37" s="560">
        <f t="shared" si="11"/>
        <v>14174471.25</v>
      </c>
      <c r="E37" s="560">
        <f t="shared" si="7"/>
        <v>282625</v>
      </c>
      <c r="F37" s="561">
        <f t="shared" si="3"/>
        <v>-4441875.16</v>
      </c>
      <c r="G37" s="560">
        <f t="shared" si="9"/>
        <v>-2743016.6412499999</v>
      </c>
      <c r="H37" s="560">
        <f t="shared" si="0"/>
        <v>11431454.608750001</v>
      </c>
      <c r="I37" s="561">
        <f t="shared" si="5"/>
        <v>98918.75</v>
      </c>
      <c r="J37" s="561">
        <f t="shared" si="4"/>
        <v>-3402501.7895000004</v>
      </c>
      <c r="K37" s="560">
        <f t="shared" si="10"/>
        <v>-4001009.3960625003</v>
      </c>
      <c r="L37" s="562">
        <f t="shared" si="1"/>
        <v>7430445.2126874998</v>
      </c>
      <c r="M37" s="562">
        <f t="shared" si="2"/>
        <v>6318931.0504999999</v>
      </c>
    </row>
    <row r="38" spans="1:13" ht="12.75" hidden="1" outlineLevel="1">
      <c r="A38" s="299"/>
      <c r="B38" s="313">
        <v>42490</v>
      </c>
      <c r="C38" s="561">
        <f t="shared" si="6"/>
        <v>14163308</v>
      </c>
      <c r="D38" s="560">
        <f t="shared" si="11"/>
        <v>14163308</v>
      </c>
      <c r="E38" s="560">
        <f t="shared" si="7"/>
        <v>282625</v>
      </c>
      <c r="F38" s="560">
        <f t="shared" si="3"/>
        <v>-4724500.16</v>
      </c>
      <c r="G38" s="560">
        <f t="shared" si="9"/>
        <v>-3026331.6437500003</v>
      </c>
      <c r="H38" s="560">
        <f t="shared" si="0"/>
        <v>11136976.356249999</v>
      </c>
      <c r="I38" s="560">
        <f t="shared" si="5"/>
        <v>98918.75</v>
      </c>
      <c r="J38" s="560">
        <f t="shared" si="4"/>
        <v>-3303583.0395000004</v>
      </c>
      <c r="K38" s="560">
        <f t="shared" si="10"/>
        <v>-3897942.0201875004</v>
      </c>
      <c r="L38" s="562">
        <f t="shared" si="1"/>
        <v>7239034.3360624984</v>
      </c>
      <c r="M38" s="562">
        <f t="shared" si="2"/>
        <v>6135224.8004999999</v>
      </c>
    </row>
    <row r="39" spans="1:13" ht="12.75" hidden="1" outlineLevel="1">
      <c r="A39" s="299"/>
      <c r="B39" s="313">
        <v>42521</v>
      </c>
      <c r="C39" s="561">
        <f t="shared" si="6"/>
        <v>14163308</v>
      </c>
      <c r="D39" s="560">
        <f t="shared" si="11"/>
        <v>14163308</v>
      </c>
      <c r="E39" s="560">
        <f t="shared" si="7"/>
        <v>282625</v>
      </c>
      <c r="F39" s="560">
        <f t="shared" si="3"/>
        <v>-5007125.16</v>
      </c>
      <c r="G39" s="560">
        <f t="shared" si="9"/>
        <v>-3309646.6462500002</v>
      </c>
      <c r="H39" s="560">
        <f t="shared" si="0"/>
        <v>10853661.35375</v>
      </c>
      <c r="I39" s="560">
        <f t="shared" si="5"/>
        <v>98918.75</v>
      </c>
      <c r="J39" s="560">
        <f t="shared" si="4"/>
        <v>-3204664.2895000004</v>
      </c>
      <c r="K39" s="560">
        <f t="shared" si="10"/>
        <v>-3798781.7693125005</v>
      </c>
      <c r="L39" s="562">
        <f t="shared" si="1"/>
        <v>7054879.5844374988</v>
      </c>
      <c r="M39" s="562">
        <f t="shared" si="2"/>
        <v>5951518.5504999999</v>
      </c>
    </row>
    <row r="40" spans="1:13" ht="12.75" hidden="1" outlineLevel="1">
      <c r="A40" s="299"/>
      <c r="B40" s="313">
        <v>42551</v>
      </c>
      <c r="C40" s="561">
        <f t="shared" si="6"/>
        <v>14163308</v>
      </c>
      <c r="D40" s="560">
        <f t="shared" ref="D40:D70" si="12">(C28+C40+SUM(C29:C39)*2)/24</f>
        <v>14163308</v>
      </c>
      <c r="E40" s="560">
        <f t="shared" si="7"/>
        <v>282625</v>
      </c>
      <c r="F40" s="560">
        <f t="shared" si="3"/>
        <v>-5289750.16</v>
      </c>
      <c r="G40" s="560">
        <f t="shared" si="9"/>
        <v>-3592754.9987500007</v>
      </c>
      <c r="H40" s="560">
        <f t="shared" si="0"/>
        <v>10570553.001249999</v>
      </c>
      <c r="I40" s="560">
        <f t="shared" si="5"/>
        <v>98918.75</v>
      </c>
      <c r="J40" s="560">
        <f t="shared" si="4"/>
        <v>-3105745.5395000004</v>
      </c>
      <c r="K40" s="560">
        <f t="shared" si="10"/>
        <v>-3699693.8459375002</v>
      </c>
      <c r="L40" s="562">
        <f t="shared" si="1"/>
        <v>6870859.155312499</v>
      </c>
      <c r="M40" s="562">
        <f t="shared" si="2"/>
        <v>5767812.3004999999</v>
      </c>
    </row>
    <row r="41" spans="1:13" ht="12.75" hidden="1" outlineLevel="1">
      <c r="A41" s="299"/>
      <c r="B41" s="313">
        <v>42582</v>
      </c>
      <c r="C41" s="561">
        <f t="shared" si="6"/>
        <v>14163308</v>
      </c>
      <c r="D41" s="560">
        <f t="shared" si="12"/>
        <v>14163308</v>
      </c>
      <c r="E41" s="560">
        <f t="shared" si="7"/>
        <v>282625</v>
      </c>
      <c r="F41" s="560">
        <f t="shared" si="3"/>
        <v>-5572375.1600000001</v>
      </c>
      <c r="G41" s="560">
        <f t="shared" si="9"/>
        <v>-3875656.7012499999</v>
      </c>
      <c r="H41" s="560">
        <f t="shared" si="0"/>
        <v>10287651.29875</v>
      </c>
      <c r="I41" s="560">
        <f t="shared" si="5"/>
        <v>98918.75</v>
      </c>
      <c r="J41" s="560">
        <f t="shared" si="4"/>
        <v>-3006826.7895000004</v>
      </c>
      <c r="K41" s="560">
        <f t="shared" si="10"/>
        <v>-3600678.2500625006</v>
      </c>
      <c r="L41" s="562">
        <f t="shared" si="1"/>
        <v>6686973.048687499</v>
      </c>
      <c r="M41" s="562">
        <f t="shared" si="2"/>
        <v>5584106.0504999999</v>
      </c>
    </row>
    <row r="42" spans="1:13" ht="12.75" hidden="1" outlineLevel="1">
      <c r="A42" s="299"/>
      <c r="B42" s="313">
        <v>42613</v>
      </c>
      <c r="C42" s="561">
        <f t="shared" si="6"/>
        <v>14163308</v>
      </c>
      <c r="D42" s="560">
        <f t="shared" si="12"/>
        <v>14163308</v>
      </c>
      <c r="E42" s="560">
        <f t="shared" si="7"/>
        <v>282625</v>
      </c>
      <c r="F42" s="560">
        <f t="shared" si="3"/>
        <v>-5855000.1600000001</v>
      </c>
      <c r="G42" s="560">
        <f t="shared" si="9"/>
        <v>-4158558.4037499991</v>
      </c>
      <c r="H42" s="560">
        <f t="shared" si="0"/>
        <v>10004749.596250001</v>
      </c>
      <c r="I42" s="560">
        <f t="shared" si="5"/>
        <v>98918.75</v>
      </c>
      <c r="J42" s="560">
        <f t="shared" si="4"/>
        <v>-2907908.0395000004</v>
      </c>
      <c r="K42" s="560">
        <f t="shared" si="10"/>
        <v>-3501662.6541875005</v>
      </c>
      <c r="L42" s="562">
        <f t="shared" si="1"/>
        <v>6503086.9420625009</v>
      </c>
      <c r="M42" s="562">
        <f t="shared" si="2"/>
        <v>5400399.8004999999</v>
      </c>
    </row>
    <row r="43" spans="1:13" ht="12.75" hidden="1" outlineLevel="1">
      <c r="A43" s="299"/>
      <c r="B43" s="313">
        <v>42643</v>
      </c>
      <c r="C43" s="561">
        <f t="shared" si="6"/>
        <v>14163308</v>
      </c>
      <c r="D43" s="560">
        <f t="shared" si="12"/>
        <v>14163308</v>
      </c>
      <c r="E43" s="560">
        <f t="shared" si="7"/>
        <v>282625</v>
      </c>
      <c r="F43" s="560">
        <f t="shared" si="3"/>
        <v>-6137625.1600000001</v>
      </c>
      <c r="G43" s="560">
        <f t="shared" si="9"/>
        <v>-4441460.1062500002</v>
      </c>
      <c r="H43" s="560">
        <f t="shared" si="0"/>
        <v>9721847.8937500007</v>
      </c>
      <c r="I43" s="560">
        <f t="shared" si="5"/>
        <v>98918.75</v>
      </c>
      <c r="J43" s="560">
        <f t="shared" si="4"/>
        <v>-2808989.2895000004</v>
      </c>
      <c r="K43" s="560">
        <f t="shared" si="10"/>
        <v>-3402647.0583125004</v>
      </c>
      <c r="L43" s="562">
        <f t="shared" si="1"/>
        <v>6319200.8354375008</v>
      </c>
      <c r="M43" s="562">
        <f t="shared" si="2"/>
        <v>5216693.5504999999</v>
      </c>
    </row>
    <row r="44" spans="1:13" ht="12.75" hidden="1" outlineLevel="1">
      <c r="A44" s="299"/>
      <c r="B44" s="313">
        <v>42674</v>
      </c>
      <c r="C44" s="561">
        <f t="shared" si="6"/>
        <v>14163308</v>
      </c>
      <c r="D44" s="560">
        <f t="shared" si="12"/>
        <v>14163308</v>
      </c>
      <c r="E44" s="560">
        <f t="shared" si="7"/>
        <v>282625</v>
      </c>
      <c r="F44" s="560">
        <f t="shared" si="3"/>
        <v>-6420250.1600000001</v>
      </c>
      <c r="G44" s="560">
        <f t="shared" si="9"/>
        <v>-4724361.8087499989</v>
      </c>
      <c r="H44" s="560">
        <f t="shared" si="0"/>
        <v>9438946.1912500001</v>
      </c>
      <c r="I44" s="560">
        <f t="shared" si="5"/>
        <v>98918.75</v>
      </c>
      <c r="J44" s="560">
        <f t="shared" si="4"/>
        <v>-2710070.5395000004</v>
      </c>
      <c r="K44" s="560">
        <f t="shared" si="10"/>
        <v>-3303631.4624375007</v>
      </c>
      <c r="L44" s="562">
        <f t="shared" si="1"/>
        <v>6135314.728812499</v>
      </c>
      <c r="M44" s="562">
        <f t="shared" si="2"/>
        <v>5032987.3004999999</v>
      </c>
    </row>
    <row r="45" spans="1:13" ht="12.75" hidden="1" outlineLevel="1">
      <c r="A45" s="299"/>
      <c r="B45" s="313">
        <v>42704</v>
      </c>
      <c r="C45" s="561">
        <f t="shared" si="6"/>
        <v>14163308</v>
      </c>
      <c r="D45" s="560">
        <f t="shared" si="12"/>
        <v>14163308</v>
      </c>
      <c r="E45" s="560">
        <f t="shared" si="7"/>
        <v>282625</v>
      </c>
      <c r="F45" s="560">
        <f t="shared" si="3"/>
        <v>-6702875.1600000001</v>
      </c>
      <c r="G45" s="560">
        <f t="shared" si="9"/>
        <v>-5007125.1599999992</v>
      </c>
      <c r="H45" s="560">
        <f t="shared" si="0"/>
        <v>9156182.8399999999</v>
      </c>
      <c r="I45" s="560">
        <f t="shared" si="5"/>
        <v>98918.75</v>
      </c>
      <c r="J45" s="560">
        <f t="shared" si="4"/>
        <v>-2611151.7895000004</v>
      </c>
      <c r="K45" s="560">
        <f t="shared" si="10"/>
        <v>-3204664.2895000004</v>
      </c>
      <c r="L45" s="562">
        <f t="shared" si="1"/>
        <v>5951518.5504999999</v>
      </c>
      <c r="M45" s="562">
        <f t="shared" si="2"/>
        <v>4849281.0504999999</v>
      </c>
    </row>
    <row r="46" spans="1:13" ht="12.75" hidden="1" outlineLevel="1">
      <c r="B46" s="313">
        <v>42735</v>
      </c>
      <c r="C46" s="561">
        <f t="shared" si="6"/>
        <v>14163308</v>
      </c>
      <c r="D46" s="560">
        <f t="shared" si="12"/>
        <v>14163308</v>
      </c>
      <c r="E46" s="560">
        <f t="shared" si="7"/>
        <v>282625</v>
      </c>
      <c r="F46" s="560">
        <f t="shared" si="3"/>
        <v>-6985500.1600000001</v>
      </c>
      <c r="G46" s="560">
        <f t="shared" si="9"/>
        <v>-5289750.1599999992</v>
      </c>
      <c r="H46" s="560">
        <f t="shared" si="0"/>
        <v>8873557.8399999999</v>
      </c>
      <c r="I46" s="560">
        <f t="shared" si="5"/>
        <v>98918.75</v>
      </c>
      <c r="J46" s="560">
        <f t="shared" si="4"/>
        <v>-2512233.0395000004</v>
      </c>
      <c r="K46" s="560">
        <f t="shared" si="10"/>
        <v>-3105745.5395000004</v>
      </c>
      <c r="L46" s="562">
        <f t="shared" si="1"/>
        <v>5767812.3004999999</v>
      </c>
      <c r="M46" s="562">
        <f t="shared" si="2"/>
        <v>4665574.8004999999</v>
      </c>
    </row>
    <row r="47" spans="1:13" ht="12.75" hidden="1" outlineLevel="1">
      <c r="A47" s="299"/>
      <c r="B47" s="313">
        <v>42766</v>
      </c>
      <c r="C47" s="561">
        <f t="shared" si="6"/>
        <v>14163308</v>
      </c>
      <c r="D47" s="560">
        <f t="shared" si="12"/>
        <v>14163308</v>
      </c>
      <c r="E47" s="560">
        <f t="shared" si="7"/>
        <v>282625</v>
      </c>
      <c r="F47" s="560">
        <f t="shared" si="3"/>
        <v>-7268125.1600000001</v>
      </c>
      <c r="G47" s="560">
        <f t="shared" si="9"/>
        <v>-5572375.1599999992</v>
      </c>
      <c r="H47" s="560">
        <f t="shared" si="0"/>
        <v>8590932.8399999999</v>
      </c>
      <c r="I47" s="560">
        <f t="shared" si="5"/>
        <v>98918.75</v>
      </c>
      <c r="J47" s="560">
        <f t="shared" si="4"/>
        <v>-2413314.2895000004</v>
      </c>
      <c r="K47" s="560">
        <f t="shared" si="10"/>
        <v>-3006826.7895000014</v>
      </c>
      <c r="L47" s="562">
        <f t="shared" si="1"/>
        <v>5584106.050499998</v>
      </c>
      <c r="M47" s="562">
        <f t="shared" si="2"/>
        <v>4481868.5504999999</v>
      </c>
    </row>
    <row r="48" spans="1:13" ht="12.75" hidden="1" outlineLevel="1">
      <c r="A48" s="299"/>
      <c r="B48" s="313">
        <v>42794</v>
      </c>
      <c r="C48" s="561">
        <f t="shared" si="6"/>
        <v>14163308</v>
      </c>
      <c r="D48" s="560">
        <f t="shared" si="12"/>
        <v>14163308</v>
      </c>
      <c r="E48" s="560">
        <f t="shared" si="7"/>
        <v>282625</v>
      </c>
      <c r="F48" s="560">
        <f t="shared" si="3"/>
        <v>-7550750.1600000001</v>
      </c>
      <c r="G48" s="560">
        <f t="shared" si="9"/>
        <v>-5855000.1599999992</v>
      </c>
      <c r="H48" s="560">
        <f t="shared" si="0"/>
        <v>8308307.8400000008</v>
      </c>
      <c r="I48" s="560">
        <f t="shared" si="5"/>
        <v>98918.75</v>
      </c>
      <c r="J48" s="560">
        <f t="shared" si="4"/>
        <v>-2314395.5395000004</v>
      </c>
      <c r="K48" s="560">
        <f t="shared" si="10"/>
        <v>-2907908.0395000014</v>
      </c>
      <c r="L48" s="562">
        <f t="shared" si="1"/>
        <v>5400399.8004999999</v>
      </c>
      <c r="M48" s="562">
        <f t="shared" si="2"/>
        <v>4298162.3004999999</v>
      </c>
    </row>
    <row r="49" spans="1:13" ht="12.75" hidden="1" outlineLevel="1">
      <c r="A49" s="299"/>
      <c r="B49" s="313">
        <v>42825</v>
      </c>
      <c r="C49" s="561">
        <f t="shared" si="6"/>
        <v>14163308</v>
      </c>
      <c r="D49" s="560">
        <f t="shared" si="12"/>
        <v>14163308</v>
      </c>
      <c r="E49" s="560">
        <f t="shared" si="7"/>
        <v>282625</v>
      </c>
      <c r="F49" s="560">
        <f t="shared" si="3"/>
        <v>-7833375.1600000001</v>
      </c>
      <c r="G49" s="560">
        <f t="shared" si="9"/>
        <v>-6137625.1599999992</v>
      </c>
      <c r="H49" s="560">
        <f t="shared" si="0"/>
        <v>8025682.8400000008</v>
      </c>
      <c r="I49" s="560">
        <f t="shared" si="5"/>
        <v>98918.75</v>
      </c>
      <c r="J49" s="560">
        <f t="shared" si="4"/>
        <v>-2215476.7895000004</v>
      </c>
      <c r="K49" s="560">
        <f t="shared" si="10"/>
        <v>-2808989.2895000014</v>
      </c>
      <c r="L49" s="562">
        <f t="shared" si="1"/>
        <v>5216693.5504999999</v>
      </c>
      <c r="M49" s="562">
        <f t="shared" si="2"/>
        <v>4114456.0504999994</v>
      </c>
    </row>
    <row r="50" spans="1:13" ht="12.75" hidden="1" outlineLevel="1">
      <c r="A50" s="299"/>
      <c r="B50" s="313">
        <v>42855</v>
      </c>
      <c r="C50" s="561">
        <f t="shared" si="6"/>
        <v>14163308</v>
      </c>
      <c r="D50" s="560">
        <f t="shared" si="12"/>
        <v>14163308</v>
      </c>
      <c r="E50" s="560">
        <f t="shared" si="7"/>
        <v>282625</v>
      </c>
      <c r="F50" s="560">
        <f t="shared" si="3"/>
        <v>-8116000.1600000001</v>
      </c>
      <c r="G50" s="560">
        <f t="shared" si="9"/>
        <v>-6420250.1599999992</v>
      </c>
      <c r="H50" s="560">
        <f t="shared" si="0"/>
        <v>7743057.8400000008</v>
      </c>
      <c r="I50" s="560">
        <f t="shared" si="5"/>
        <v>98918.75</v>
      </c>
      <c r="J50" s="560">
        <f t="shared" si="4"/>
        <v>-2116558.0395000004</v>
      </c>
      <c r="K50" s="560">
        <f t="shared" si="10"/>
        <v>-2710070.5395000014</v>
      </c>
      <c r="L50" s="562">
        <f t="shared" si="1"/>
        <v>5032987.3004999999</v>
      </c>
      <c r="M50" s="562">
        <f t="shared" si="2"/>
        <v>3930749.8004999994</v>
      </c>
    </row>
    <row r="51" spans="1:13" ht="12.75" hidden="1" outlineLevel="1">
      <c r="A51" s="299"/>
      <c r="B51" s="313">
        <v>42886</v>
      </c>
      <c r="C51" s="561">
        <f t="shared" si="6"/>
        <v>14163308</v>
      </c>
      <c r="D51" s="560">
        <f t="shared" si="12"/>
        <v>14163308</v>
      </c>
      <c r="E51" s="560">
        <f t="shared" si="7"/>
        <v>282625</v>
      </c>
      <c r="F51" s="560">
        <f t="shared" si="3"/>
        <v>-8398625.1600000001</v>
      </c>
      <c r="G51" s="560">
        <f t="shared" si="9"/>
        <v>-6702875.1599999992</v>
      </c>
      <c r="H51" s="560">
        <f t="shared" si="0"/>
        <v>7460432.8400000008</v>
      </c>
      <c r="I51" s="560">
        <f t="shared" si="5"/>
        <v>98918.75</v>
      </c>
      <c r="J51" s="560">
        <f t="shared" si="4"/>
        <v>-2017639.2895000004</v>
      </c>
      <c r="K51" s="560">
        <f t="shared" si="10"/>
        <v>-2611151.7895000014</v>
      </c>
      <c r="L51" s="562">
        <f t="shared" si="1"/>
        <v>4849281.0504999999</v>
      </c>
      <c r="M51" s="562">
        <f t="shared" si="2"/>
        <v>3747043.5504999994</v>
      </c>
    </row>
    <row r="52" spans="1:13" ht="12.75" hidden="1" outlineLevel="1">
      <c r="A52" s="299"/>
      <c r="B52" s="313">
        <v>42916</v>
      </c>
      <c r="C52" s="561">
        <f t="shared" si="6"/>
        <v>14163308</v>
      </c>
      <c r="D52" s="560">
        <f t="shared" si="12"/>
        <v>14163308</v>
      </c>
      <c r="E52" s="560">
        <f t="shared" si="7"/>
        <v>282625</v>
      </c>
      <c r="F52" s="560">
        <f t="shared" si="3"/>
        <v>-8681250.1600000001</v>
      </c>
      <c r="G52" s="560">
        <f t="shared" si="9"/>
        <v>-6985500.1599999992</v>
      </c>
      <c r="H52" s="560">
        <f t="shared" si="0"/>
        <v>7177807.8400000008</v>
      </c>
      <c r="I52" s="560">
        <f t="shared" si="5"/>
        <v>98918.75</v>
      </c>
      <c r="J52" s="560">
        <f t="shared" si="4"/>
        <v>-1918720.5395000004</v>
      </c>
      <c r="K52" s="560">
        <f t="shared" si="10"/>
        <v>-2512233.0395000009</v>
      </c>
      <c r="L52" s="562">
        <f t="shared" si="1"/>
        <v>4665574.8004999999</v>
      </c>
      <c r="M52" s="562">
        <f t="shared" si="2"/>
        <v>3563337.3004999994</v>
      </c>
    </row>
    <row r="53" spans="1:13" ht="12.75" hidden="1" outlineLevel="1">
      <c r="A53" s="299"/>
      <c r="B53" s="313">
        <v>42947</v>
      </c>
      <c r="C53" s="561">
        <f t="shared" si="6"/>
        <v>14163308</v>
      </c>
      <c r="D53" s="560">
        <f t="shared" si="12"/>
        <v>14163308</v>
      </c>
      <c r="E53" s="560">
        <f t="shared" si="7"/>
        <v>282625</v>
      </c>
      <c r="F53" s="560">
        <f t="shared" si="3"/>
        <v>-8963875.1600000001</v>
      </c>
      <c r="G53" s="560">
        <f t="shared" si="9"/>
        <v>-7268125.1599999992</v>
      </c>
      <c r="H53" s="560">
        <f t="shared" si="0"/>
        <v>6895182.8400000008</v>
      </c>
      <c r="I53" s="560">
        <f t="shared" si="5"/>
        <v>98918.75</v>
      </c>
      <c r="J53" s="560">
        <f t="shared" si="4"/>
        <v>-1819801.7895000004</v>
      </c>
      <c r="K53" s="560">
        <f t="shared" si="10"/>
        <v>-2413314.2895000009</v>
      </c>
      <c r="L53" s="562">
        <f t="shared" si="1"/>
        <v>4481868.5504999999</v>
      </c>
      <c r="M53" s="562">
        <f t="shared" si="2"/>
        <v>3379631.0504999994</v>
      </c>
    </row>
    <row r="54" spans="1:13" ht="12.75" hidden="1" outlineLevel="1">
      <c r="A54" s="299"/>
      <c r="B54" s="313">
        <v>42978</v>
      </c>
      <c r="C54" s="561">
        <f t="shared" si="6"/>
        <v>14163308</v>
      </c>
      <c r="D54" s="560">
        <f t="shared" si="12"/>
        <v>14163308</v>
      </c>
      <c r="E54" s="560">
        <f t="shared" si="7"/>
        <v>282625</v>
      </c>
      <c r="F54" s="560">
        <f t="shared" si="3"/>
        <v>-9246500.1600000001</v>
      </c>
      <c r="G54" s="560">
        <f t="shared" si="9"/>
        <v>-7550750.1599999992</v>
      </c>
      <c r="H54" s="560">
        <f t="shared" si="0"/>
        <v>6612557.8400000008</v>
      </c>
      <c r="I54" s="560">
        <f t="shared" si="5"/>
        <v>98918.75</v>
      </c>
      <c r="J54" s="560">
        <f t="shared" si="4"/>
        <v>-1720883.0395000004</v>
      </c>
      <c r="K54" s="560">
        <f t="shared" si="10"/>
        <v>-2314395.5395000009</v>
      </c>
      <c r="L54" s="562">
        <f t="shared" si="1"/>
        <v>4298162.3004999999</v>
      </c>
      <c r="M54" s="562">
        <f t="shared" si="2"/>
        <v>3195924.8004999994</v>
      </c>
    </row>
    <row r="55" spans="1:13" ht="12.75" hidden="1" outlineLevel="1">
      <c r="A55" s="299"/>
      <c r="B55" s="313">
        <v>43008</v>
      </c>
      <c r="C55" s="561">
        <f t="shared" si="6"/>
        <v>14163308</v>
      </c>
      <c r="D55" s="560">
        <f t="shared" si="12"/>
        <v>14163308</v>
      </c>
      <c r="E55" s="560">
        <f t="shared" si="7"/>
        <v>282625</v>
      </c>
      <c r="F55" s="560">
        <f t="shared" si="3"/>
        <v>-9529125.1600000001</v>
      </c>
      <c r="G55" s="560">
        <f t="shared" si="9"/>
        <v>-7833375.1599999974</v>
      </c>
      <c r="H55" s="560">
        <f t="shared" si="0"/>
        <v>6329932.8400000026</v>
      </c>
      <c r="I55" s="560">
        <f t="shared" si="5"/>
        <v>98918.75</v>
      </c>
      <c r="J55" s="560">
        <f t="shared" si="4"/>
        <v>-1621964.2895000004</v>
      </c>
      <c r="K55" s="560">
        <f t="shared" si="10"/>
        <v>-2215476.7895000009</v>
      </c>
      <c r="L55" s="562">
        <f t="shared" si="1"/>
        <v>4114456.0505000018</v>
      </c>
      <c r="M55" s="562">
        <f t="shared" si="2"/>
        <v>3012218.5504999994</v>
      </c>
    </row>
    <row r="56" spans="1:13" ht="12.75" hidden="1" outlineLevel="1">
      <c r="A56" s="299"/>
      <c r="B56" s="313">
        <v>43039</v>
      </c>
      <c r="C56" s="561">
        <f t="shared" si="6"/>
        <v>14163308</v>
      </c>
      <c r="D56" s="560">
        <f t="shared" si="12"/>
        <v>14163308</v>
      </c>
      <c r="E56" s="560">
        <f t="shared" si="7"/>
        <v>282625</v>
      </c>
      <c r="F56" s="560">
        <f t="shared" si="3"/>
        <v>-9811750.1600000001</v>
      </c>
      <c r="G56" s="560">
        <f t="shared" si="9"/>
        <v>-8116000.1599999974</v>
      </c>
      <c r="H56" s="560">
        <f t="shared" si="0"/>
        <v>6047307.8400000026</v>
      </c>
      <c r="I56" s="560">
        <f t="shared" si="5"/>
        <v>98918.75</v>
      </c>
      <c r="J56" s="560">
        <f t="shared" si="4"/>
        <v>-1523045.5395000004</v>
      </c>
      <c r="K56" s="560">
        <f t="shared" si="10"/>
        <v>-2116558.0395000009</v>
      </c>
      <c r="L56" s="562">
        <f t="shared" si="1"/>
        <v>3930749.8005000018</v>
      </c>
      <c r="M56" s="562">
        <f t="shared" si="2"/>
        <v>2828512.3004999994</v>
      </c>
    </row>
    <row r="57" spans="1:13" ht="12.75" hidden="1" outlineLevel="1">
      <c r="A57" s="299"/>
      <c r="B57" s="313">
        <v>43069</v>
      </c>
      <c r="C57" s="561">
        <f t="shared" si="6"/>
        <v>14163308</v>
      </c>
      <c r="D57" s="560">
        <f t="shared" si="12"/>
        <v>14163308</v>
      </c>
      <c r="E57" s="560">
        <f t="shared" si="7"/>
        <v>282625</v>
      </c>
      <c r="F57" s="560">
        <f t="shared" si="3"/>
        <v>-10094375.16</v>
      </c>
      <c r="G57" s="560">
        <f t="shared" si="9"/>
        <v>-8398625.1599999983</v>
      </c>
      <c r="H57" s="560">
        <f t="shared" si="0"/>
        <v>5764682.8400000017</v>
      </c>
      <c r="I57" s="560">
        <f t="shared" si="5"/>
        <v>98918.75</v>
      </c>
      <c r="J57" s="560">
        <f t="shared" si="4"/>
        <v>-1424126.7895000004</v>
      </c>
      <c r="K57" s="560">
        <f t="shared" si="10"/>
        <v>-2017639.2895000009</v>
      </c>
      <c r="L57" s="562">
        <f t="shared" si="1"/>
        <v>3747043.5505000008</v>
      </c>
      <c r="M57" s="562">
        <f t="shared" si="2"/>
        <v>2644806.0504999994</v>
      </c>
    </row>
    <row r="58" spans="1:13" ht="12.75" hidden="1" outlineLevel="1">
      <c r="A58" s="299"/>
      <c r="B58" s="313">
        <v>43100</v>
      </c>
      <c r="C58" s="561">
        <f t="shared" si="6"/>
        <v>14163308</v>
      </c>
      <c r="D58" s="560">
        <f t="shared" si="12"/>
        <v>14163308</v>
      </c>
      <c r="E58" s="560">
        <f t="shared" si="7"/>
        <v>282625</v>
      </c>
      <c r="F58" s="560">
        <f t="shared" si="3"/>
        <v>-10377000.16</v>
      </c>
      <c r="G58" s="560">
        <f t="shared" si="9"/>
        <v>-8681250.1599999983</v>
      </c>
      <c r="H58" s="560">
        <f t="shared" si="0"/>
        <v>5482057.8400000017</v>
      </c>
      <c r="I58" s="560">
        <f t="shared" si="5"/>
        <v>98918.75</v>
      </c>
      <c r="J58" s="560">
        <f t="shared" si="4"/>
        <v>-1325208.0395000004</v>
      </c>
      <c r="K58" s="560">
        <f t="shared" si="10"/>
        <v>-1918720.5395000007</v>
      </c>
      <c r="L58" s="562">
        <f t="shared" si="1"/>
        <v>3563337.3005000008</v>
      </c>
      <c r="M58" s="562">
        <f t="shared" si="2"/>
        <v>2461099.8004999994</v>
      </c>
    </row>
    <row r="59" spans="1:13" ht="12.75" collapsed="1">
      <c r="B59" s="313">
        <v>43131</v>
      </c>
      <c r="C59" s="561">
        <f t="shared" si="6"/>
        <v>14163308</v>
      </c>
      <c r="D59" s="560">
        <f t="shared" si="12"/>
        <v>14163308</v>
      </c>
      <c r="E59" s="560">
        <f t="shared" si="7"/>
        <v>282625</v>
      </c>
      <c r="F59" s="560">
        <f t="shared" si="3"/>
        <v>-10659625.16</v>
      </c>
      <c r="G59" s="560">
        <f t="shared" si="9"/>
        <v>-8963875.1599999983</v>
      </c>
      <c r="H59" s="560">
        <f t="shared" si="0"/>
        <v>5199432.8400000017</v>
      </c>
      <c r="I59" s="560">
        <f t="shared" ref="I59:I66" si="13">+(E59*0.21)</f>
        <v>59351.25</v>
      </c>
      <c r="J59" s="560">
        <f t="shared" si="4"/>
        <v>-1265856.7895000004</v>
      </c>
      <c r="K59" s="560">
        <f t="shared" ref="K59:K70" si="14">(J47+J59+SUM(J48:J58)*2)/24</f>
        <v>-1821450.4353333339</v>
      </c>
      <c r="L59" s="562">
        <f t="shared" si="1"/>
        <v>3377982.4046666678</v>
      </c>
      <c r="M59" s="562">
        <f t="shared" si="2"/>
        <v>2237826.0504999994</v>
      </c>
    </row>
    <row r="60" spans="1:13" ht="12.75">
      <c r="B60" s="313">
        <v>43159</v>
      </c>
      <c r="C60" s="561">
        <f t="shared" si="6"/>
        <v>14163308</v>
      </c>
      <c r="D60" s="560">
        <f t="shared" si="12"/>
        <v>14163308</v>
      </c>
      <c r="E60" s="560">
        <f t="shared" si="7"/>
        <v>282625</v>
      </c>
      <c r="F60" s="560">
        <f t="shared" si="3"/>
        <v>-10942250.16</v>
      </c>
      <c r="G60" s="560">
        <f t="shared" si="9"/>
        <v>-9246500.1599999983</v>
      </c>
      <c r="H60" s="560">
        <f t="shared" si="0"/>
        <v>4916807.8400000017</v>
      </c>
      <c r="I60" s="560">
        <f t="shared" si="13"/>
        <v>59351.25</v>
      </c>
      <c r="J60" s="560">
        <f t="shared" si="4"/>
        <v>-1206505.5395000004</v>
      </c>
      <c r="K60" s="560">
        <f t="shared" si="14"/>
        <v>-1727477.6228333339</v>
      </c>
      <c r="L60" s="562">
        <f t="shared" si="1"/>
        <v>3189330.2171666678</v>
      </c>
      <c r="M60" s="562">
        <f t="shared" si="2"/>
        <v>2014552.3004999994</v>
      </c>
    </row>
    <row r="61" spans="1:13" ht="12.75">
      <c r="B61" s="313">
        <v>43190</v>
      </c>
      <c r="C61" s="561">
        <f t="shared" si="6"/>
        <v>14163308</v>
      </c>
      <c r="D61" s="560">
        <f t="shared" si="12"/>
        <v>14163308</v>
      </c>
      <c r="E61" s="560">
        <f t="shared" si="7"/>
        <v>282625</v>
      </c>
      <c r="F61" s="560">
        <f t="shared" si="3"/>
        <v>-11224875.16</v>
      </c>
      <c r="G61" s="560">
        <f t="shared" si="9"/>
        <v>-9529125.1599999983</v>
      </c>
      <c r="H61" s="560">
        <f t="shared" si="0"/>
        <v>4634182.8400000017</v>
      </c>
      <c r="I61" s="560">
        <f t="shared" si="13"/>
        <v>59351.25</v>
      </c>
      <c r="J61" s="560">
        <f t="shared" si="4"/>
        <v>-1147154.2895000004</v>
      </c>
      <c r="K61" s="560">
        <f t="shared" si="14"/>
        <v>-1636802.1020000002</v>
      </c>
      <c r="L61" s="562">
        <f t="shared" si="1"/>
        <v>2997380.7380000018</v>
      </c>
      <c r="M61" s="562">
        <f t="shared" si="2"/>
        <v>1791278.5504999994</v>
      </c>
    </row>
    <row r="62" spans="1:13" ht="12.75">
      <c r="B62" s="313">
        <v>43220</v>
      </c>
      <c r="C62" s="561">
        <f t="shared" si="6"/>
        <v>14163308</v>
      </c>
      <c r="D62" s="560">
        <f t="shared" si="12"/>
        <v>14163308</v>
      </c>
      <c r="E62" s="560">
        <f t="shared" si="7"/>
        <v>282625</v>
      </c>
      <c r="F62" s="560">
        <f t="shared" si="3"/>
        <v>-11507500.16</v>
      </c>
      <c r="G62" s="560">
        <f t="shared" si="9"/>
        <v>-9811750.1599999983</v>
      </c>
      <c r="H62" s="560">
        <f t="shared" si="0"/>
        <v>4351557.8400000017</v>
      </c>
      <c r="I62" s="560">
        <f t="shared" si="13"/>
        <v>59351.25</v>
      </c>
      <c r="J62" s="560">
        <f t="shared" si="4"/>
        <v>-1087803.0395000004</v>
      </c>
      <c r="K62" s="560">
        <f t="shared" si="14"/>
        <v>-1549423.8728333337</v>
      </c>
      <c r="L62" s="562">
        <f t="shared" si="1"/>
        <v>2802133.9671666678</v>
      </c>
      <c r="M62" s="562">
        <f t="shared" si="2"/>
        <v>1568004.8004999994</v>
      </c>
    </row>
    <row r="63" spans="1:13" ht="12.75">
      <c r="B63" s="313">
        <v>43251</v>
      </c>
      <c r="C63" s="561">
        <f t="shared" si="6"/>
        <v>14163308</v>
      </c>
      <c r="D63" s="560">
        <f t="shared" si="12"/>
        <v>14163308</v>
      </c>
      <c r="E63" s="560">
        <f t="shared" si="7"/>
        <v>282625</v>
      </c>
      <c r="F63" s="560">
        <f t="shared" si="3"/>
        <v>-11790125.16</v>
      </c>
      <c r="G63" s="560">
        <f t="shared" si="9"/>
        <v>-10094375.159999998</v>
      </c>
      <c r="H63" s="560">
        <f t="shared" si="0"/>
        <v>4068932.8400000017</v>
      </c>
      <c r="I63" s="560">
        <f t="shared" si="13"/>
        <v>59351.25</v>
      </c>
      <c r="J63" s="560">
        <f t="shared" si="4"/>
        <v>-1028451.7895000004</v>
      </c>
      <c r="K63" s="560">
        <f t="shared" si="14"/>
        <v>-1465342.9353333337</v>
      </c>
      <c r="L63" s="562">
        <f t="shared" si="1"/>
        <v>2603589.9046666678</v>
      </c>
      <c r="M63" s="562">
        <f t="shared" si="2"/>
        <v>1344731.0504999994</v>
      </c>
    </row>
    <row r="64" spans="1:13" s="81" customFormat="1" ht="12.75">
      <c r="A64" s="563"/>
      <c r="B64" s="398">
        <v>43281</v>
      </c>
      <c r="C64" s="561">
        <f t="shared" si="6"/>
        <v>14163308</v>
      </c>
      <c r="D64" s="630">
        <f t="shared" si="12"/>
        <v>14163308</v>
      </c>
      <c r="E64" s="630">
        <f t="shared" si="7"/>
        <v>282625</v>
      </c>
      <c r="F64" s="630">
        <f t="shared" si="3"/>
        <v>-12072750.16</v>
      </c>
      <c r="G64" s="630">
        <f t="shared" si="9"/>
        <v>-10377000.159999998</v>
      </c>
      <c r="H64" s="630">
        <f t="shared" si="0"/>
        <v>3786307.8400000017</v>
      </c>
      <c r="I64" s="630">
        <f t="shared" si="13"/>
        <v>59351.25</v>
      </c>
      <c r="J64" s="630">
        <f>J63+I64</f>
        <v>-969100.53950000042</v>
      </c>
      <c r="K64" s="630">
        <f t="shared" si="14"/>
        <v>-1384559.2895000002</v>
      </c>
      <c r="L64" s="630">
        <f t="shared" si="1"/>
        <v>2401748.5505000018</v>
      </c>
      <c r="M64" s="630">
        <f t="shared" si="2"/>
        <v>1121457.3004999994</v>
      </c>
    </row>
    <row r="65" spans="1:14" s="81" customFormat="1" ht="12.75">
      <c r="A65" s="563"/>
      <c r="B65" s="398">
        <v>43312</v>
      </c>
      <c r="C65" s="561">
        <f t="shared" si="6"/>
        <v>14163308</v>
      </c>
      <c r="D65" s="630">
        <f t="shared" si="12"/>
        <v>14163308</v>
      </c>
      <c r="E65" s="630">
        <f t="shared" si="7"/>
        <v>282625</v>
      </c>
      <c r="F65" s="630">
        <f t="shared" si="3"/>
        <v>-12355375.16</v>
      </c>
      <c r="G65" s="630">
        <f t="shared" si="9"/>
        <v>-10659625.159999998</v>
      </c>
      <c r="H65" s="630">
        <f t="shared" si="0"/>
        <v>3503682.8400000017</v>
      </c>
      <c r="I65" s="630">
        <f t="shared" si="13"/>
        <v>59351.25</v>
      </c>
      <c r="J65" s="630">
        <f t="shared" si="4"/>
        <v>-909749.28950000042</v>
      </c>
      <c r="K65" s="630">
        <f t="shared" si="14"/>
        <v>-1307072.9353333334</v>
      </c>
      <c r="L65" s="630">
        <f t="shared" si="1"/>
        <v>2196609.9046666683</v>
      </c>
      <c r="M65" s="630">
        <f t="shared" si="2"/>
        <v>898183.55049999943</v>
      </c>
    </row>
    <row r="66" spans="1:14" s="81" customFormat="1" ht="12.75">
      <c r="A66" s="563"/>
      <c r="B66" s="398">
        <v>43343</v>
      </c>
      <c r="C66" s="561">
        <f t="shared" si="6"/>
        <v>14163308</v>
      </c>
      <c r="D66" s="630">
        <f t="shared" si="12"/>
        <v>14163308</v>
      </c>
      <c r="E66" s="630">
        <v>775303</v>
      </c>
      <c r="F66" s="630">
        <f t="shared" si="3"/>
        <v>-13130678.16</v>
      </c>
      <c r="G66" s="630">
        <f t="shared" si="9"/>
        <v>-10962778.409999998</v>
      </c>
      <c r="H66" s="630">
        <f t="shared" si="0"/>
        <v>3200529.5900000017</v>
      </c>
      <c r="I66" s="630">
        <f t="shared" si="13"/>
        <v>162813.63</v>
      </c>
      <c r="J66" s="630">
        <f t="shared" si="4"/>
        <v>-746935.65950000042</v>
      </c>
      <c r="K66" s="630">
        <f t="shared" si="14"/>
        <v>-1228572.9403333336</v>
      </c>
      <c r="L66" s="630">
        <f t="shared" si="1"/>
        <v>1971956.6496666681</v>
      </c>
      <c r="M66" s="630">
        <f t="shared" si="2"/>
        <v>285694.18049999943</v>
      </c>
    </row>
    <row r="67" spans="1:14" s="81" customFormat="1" ht="12.75">
      <c r="A67" s="563"/>
      <c r="B67" s="398">
        <v>43373</v>
      </c>
      <c r="C67" s="561">
        <f t="shared" si="6"/>
        <v>14163308</v>
      </c>
      <c r="D67" s="630">
        <f t="shared" si="12"/>
        <v>14163308</v>
      </c>
      <c r="E67" s="630">
        <v>370036</v>
      </c>
      <c r="F67" s="630">
        <f t="shared" si="3"/>
        <v>-13500714.16</v>
      </c>
      <c r="G67" s="630">
        <f t="shared" si="9"/>
        <v>-11290102.034999998</v>
      </c>
      <c r="H67" s="630">
        <f t="shared" si="0"/>
        <v>2873205.9650000017</v>
      </c>
      <c r="I67" s="630">
        <v>77707.56</v>
      </c>
      <c r="J67" s="630">
        <f t="shared" si="4"/>
        <v>-669228.09950000048</v>
      </c>
      <c r="K67" s="630">
        <f t="shared" si="14"/>
        <v>-1148294.4582500004</v>
      </c>
      <c r="L67" s="630">
        <f t="shared" si="1"/>
        <v>1724911.5067500013</v>
      </c>
      <c r="M67" s="630">
        <f t="shared" si="2"/>
        <v>-6634.2595000006258</v>
      </c>
    </row>
    <row r="68" spans="1:14" s="81" customFormat="1" ht="12.75">
      <c r="A68" s="563"/>
      <c r="B68" s="398">
        <v>43404</v>
      </c>
      <c r="C68" s="561">
        <f t="shared" si="6"/>
        <v>14163308</v>
      </c>
      <c r="D68" s="630">
        <f t="shared" si="12"/>
        <v>14163308</v>
      </c>
      <c r="E68" s="630">
        <v>344210</v>
      </c>
      <c r="F68" s="630">
        <f t="shared" si="3"/>
        <v>-13844924.16</v>
      </c>
      <c r="G68" s="630">
        <f t="shared" si="9"/>
        <v>-11623633.826666666</v>
      </c>
      <c r="H68" s="630">
        <f t="shared" si="0"/>
        <v>2539674.1733333338</v>
      </c>
      <c r="I68" s="630">
        <v>72284.100000000006</v>
      </c>
      <c r="J68" s="630">
        <f t="shared" si="4"/>
        <v>-596943.9995000005</v>
      </c>
      <c r="K68" s="630">
        <f t="shared" si="14"/>
        <v>-1070009.5528333336</v>
      </c>
      <c r="L68" s="630">
        <f t="shared" si="1"/>
        <v>1469664.6205000002</v>
      </c>
      <c r="M68" s="630">
        <f t="shared" si="2"/>
        <v>-278560.15950000065</v>
      </c>
    </row>
    <row r="69" spans="1:14" s="81" customFormat="1" ht="12.75">
      <c r="A69" s="563"/>
      <c r="B69" s="398">
        <v>43434</v>
      </c>
      <c r="C69" s="561">
        <f t="shared" si="6"/>
        <v>14163308</v>
      </c>
      <c r="D69" s="630">
        <f t="shared" si="12"/>
        <v>14163308</v>
      </c>
      <c r="E69" s="630">
        <v>318384</v>
      </c>
      <c r="F69" s="630">
        <f t="shared" si="3"/>
        <v>-14163308.16</v>
      </c>
      <c r="G69" s="630">
        <f t="shared" si="9"/>
        <v>-11961221.618333332</v>
      </c>
      <c r="H69" s="630">
        <f t="shared" si="0"/>
        <v>2202086.3816666678</v>
      </c>
      <c r="I69" s="630">
        <v>66861</v>
      </c>
      <c r="J69" s="630">
        <f t="shared" si="4"/>
        <v>-530082.9995000005</v>
      </c>
      <c r="K69" s="630">
        <f t="shared" si="14"/>
        <v>-994170.16408333369</v>
      </c>
      <c r="L69" s="630">
        <f t="shared" si="1"/>
        <v>1207916.2175833341</v>
      </c>
      <c r="M69" s="630">
        <f t="shared" si="2"/>
        <v>-530083.15950000065</v>
      </c>
      <c r="N69" s="910"/>
    </row>
    <row r="70" spans="1:14" s="81" customFormat="1" ht="12.75">
      <c r="A70" s="563"/>
      <c r="B70" s="398">
        <v>43465</v>
      </c>
      <c r="C70" s="561">
        <f t="shared" si="6"/>
        <v>14163308</v>
      </c>
      <c r="D70" s="630">
        <f t="shared" si="12"/>
        <v>14163308</v>
      </c>
      <c r="E70" s="630"/>
      <c r="F70" s="630">
        <f t="shared" si="3"/>
        <v>-14163308.16</v>
      </c>
      <c r="G70" s="630">
        <f t="shared" si="9"/>
        <v>-12288523.326666666</v>
      </c>
      <c r="H70" s="630">
        <f>D70+G70</f>
        <v>1874784.6733333338</v>
      </c>
      <c r="I70" s="630">
        <f t="shared" ref="I70" si="15">+(E70*0.21)</f>
        <v>0</v>
      </c>
      <c r="J70" s="630">
        <f t="shared" ref="J70" si="16">J69+I70</f>
        <v>-530082.9995000005</v>
      </c>
      <c r="K70" s="630">
        <f t="shared" si="14"/>
        <v>-923788.12950000027</v>
      </c>
      <c r="L70" s="630">
        <f t="shared" si="1"/>
        <v>950996.54383333353</v>
      </c>
      <c r="M70" s="630">
        <f t="shared" si="2"/>
        <v>-530083.15950000065</v>
      </c>
    </row>
    <row r="71" spans="1:14" s="81" customFormat="1" ht="12.75">
      <c r="A71" s="563"/>
      <c r="B71" s="398">
        <v>43496</v>
      </c>
      <c r="C71" s="561">
        <f t="shared" si="6"/>
        <v>14163308</v>
      </c>
      <c r="D71" s="630">
        <f t="shared" ref="D71:D88" si="17">(C59+C71+SUM(C60:C70)*2)/24</f>
        <v>14163308</v>
      </c>
      <c r="E71" s="630"/>
      <c r="F71" s="630">
        <f t="shared" ref="F71:F88" si="18">F70-E71</f>
        <v>-14163308.16</v>
      </c>
      <c r="G71" s="630">
        <f t="shared" ref="G71:G88" si="19">(F59+F71+SUM(F60:F70)*2)/24</f>
        <v>-12592272.951666666</v>
      </c>
      <c r="H71" s="630">
        <f t="shared" ref="H71:H88" si="20">D71+G71</f>
        <v>1571035.0483333338</v>
      </c>
      <c r="I71" s="630">
        <f t="shared" ref="I71:I88" si="21">+(E71*0.21)</f>
        <v>0</v>
      </c>
      <c r="J71" s="630">
        <f t="shared" ref="J71:J88" si="22">J70+I71</f>
        <v>-530082.9995000005</v>
      </c>
      <c r="K71" s="630">
        <f t="shared" ref="K71:K88" si="23">(J59+J71+SUM(J60:J70)*2)/24</f>
        <v>-860000.67825000035</v>
      </c>
      <c r="L71" s="630">
        <f t="shared" ref="L71:L88" si="24">H71+K71</f>
        <v>711034.37008333346</v>
      </c>
      <c r="M71" s="630">
        <f t="shared" ref="M71:M88" si="25">C71+F71+J71</f>
        <v>-530083.15950000065</v>
      </c>
    </row>
    <row r="72" spans="1:14" s="81" customFormat="1" ht="12.75">
      <c r="A72" s="563"/>
      <c r="B72" s="398">
        <v>43524</v>
      </c>
      <c r="C72" s="561">
        <f t="shared" si="6"/>
        <v>14163308</v>
      </c>
      <c r="D72" s="630">
        <f t="shared" si="17"/>
        <v>14163308</v>
      </c>
      <c r="E72" s="630"/>
      <c r="F72" s="630">
        <f t="shared" si="18"/>
        <v>-14163308.16</v>
      </c>
      <c r="G72" s="630">
        <f t="shared" si="19"/>
        <v>-12872470.493333332</v>
      </c>
      <c r="H72" s="630">
        <f t="shared" si="20"/>
        <v>1290837.5066666678</v>
      </c>
      <c r="I72" s="630">
        <f t="shared" si="21"/>
        <v>0</v>
      </c>
      <c r="J72" s="630">
        <f t="shared" si="22"/>
        <v>-530082.9995000005</v>
      </c>
      <c r="K72" s="630">
        <f t="shared" si="23"/>
        <v>-801159.16450000042</v>
      </c>
      <c r="L72" s="630">
        <f t="shared" si="24"/>
        <v>489678.34216666734</v>
      </c>
      <c r="M72" s="630">
        <f t="shared" si="25"/>
        <v>-530083.15950000065</v>
      </c>
    </row>
    <row r="73" spans="1:14" s="81" customFormat="1" ht="12.75">
      <c r="A73" s="563"/>
      <c r="B73" s="398">
        <v>43555</v>
      </c>
      <c r="C73" s="561">
        <f t="shared" si="6"/>
        <v>14163308</v>
      </c>
      <c r="D73" s="630">
        <f t="shared" si="17"/>
        <v>14163308</v>
      </c>
      <c r="E73" s="630"/>
      <c r="F73" s="630">
        <f t="shared" si="18"/>
        <v>-14163308.16</v>
      </c>
      <c r="G73" s="630">
        <f t="shared" si="19"/>
        <v>-13129115.951666666</v>
      </c>
      <c r="H73" s="630">
        <f t="shared" si="20"/>
        <v>1034192.0483333338</v>
      </c>
      <c r="I73" s="630">
        <f t="shared" si="21"/>
        <v>0</v>
      </c>
      <c r="J73" s="630">
        <f t="shared" si="22"/>
        <v>-530082.9995000005</v>
      </c>
      <c r="K73" s="630">
        <f t="shared" si="23"/>
        <v>-747263.58825000061</v>
      </c>
      <c r="L73" s="630">
        <f t="shared" si="24"/>
        <v>286928.46008333319</v>
      </c>
      <c r="M73" s="630">
        <f t="shared" si="25"/>
        <v>-530083.15950000065</v>
      </c>
    </row>
    <row r="74" spans="1:14" s="81" customFormat="1" ht="12.75">
      <c r="A74" s="563"/>
      <c r="B74" s="398">
        <v>43585</v>
      </c>
      <c r="C74" s="561">
        <f t="shared" si="6"/>
        <v>14163308</v>
      </c>
      <c r="D74" s="630">
        <f t="shared" si="17"/>
        <v>14163308</v>
      </c>
      <c r="E74" s="630"/>
      <c r="F74" s="630">
        <f t="shared" si="18"/>
        <v>-14163308.16</v>
      </c>
      <c r="G74" s="630">
        <f t="shared" si="19"/>
        <v>-13362209.326666666</v>
      </c>
      <c r="H74" s="630">
        <f t="shared" si="20"/>
        <v>801098.67333333381</v>
      </c>
      <c r="I74" s="630">
        <f t="shared" si="21"/>
        <v>0</v>
      </c>
      <c r="J74" s="630">
        <f t="shared" si="22"/>
        <v>-530082.9995000005</v>
      </c>
      <c r="K74" s="630">
        <f t="shared" si="23"/>
        <v>-698313.94950000069</v>
      </c>
      <c r="L74" s="630">
        <f t="shared" si="24"/>
        <v>102784.72383333312</v>
      </c>
      <c r="M74" s="630">
        <f t="shared" si="25"/>
        <v>-530083.15950000065</v>
      </c>
    </row>
    <row r="75" spans="1:14" s="81" customFormat="1" ht="12.75">
      <c r="A75" s="563"/>
      <c r="B75" s="398">
        <v>43616</v>
      </c>
      <c r="C75" s="561">
        <f t="shared" si="6"/>
        <v>14163308</v>
      </c>
      <c r="D75" s="630">
        <f t="shared" si="17"/>
        <v>14163308</v>
      </c>
      <c r="E75" s="630"/>
      <c r="F75" s="630">
        <f t="shared" si="18"/>
        <v>-14163308.16</v>
      </c>
      <c r="G75" s="630">
        <f t="shared" si="19"/>
        <v>-13571750.618333332</v>
      </c>
      <c r="H75" s="630">
        <f t="shared" si="20"/>
        <v>591557.38166666776</v>
      </c>
      <c r="I75" s="630">
        <f t="shared" si="21"/>
        <v>0</v>
      </c>
      <c r="J75" s="630">
        <f t="shared" si="22"/>
        <v>-530082.9995000005</v>
      </c>
      <c r="K75" s="630">
        <f t="shared" si="23"/>
        <v>-654310.24825000064</v>
      </c>
      <c r="L75" s="630">
        <f t="shared" si="24"/>
        <v>-62752.866583332885</v>
      </c>
      <c r="M75" s="630">
        <f t="shared" si="25"/>
        <v>-530083.15950000065</v>
      </c>
    </row>
    <row r="76" spans="1:14" s="81" customFormat="1" ht="12.75">
      <c r="A76" s="563"/>
      <c r="B76" s="313">
        <v>43646</v>
      </c>
      <c r="C76" s="561">
        <f t="shared" si="6"/>
        <v>14163308</v>
      </c>
      <c r="D76" s="560">
        <f t="shared" si="17"/>
        <v>14163308</v>
      </c>
      <c r="E76" s="560"/>
      <c r="F76" s="560">
        <f t="shared" si="18"/>
        <v>-14163308.16</v>
      </c>
      <c r="G76" s="560">
        <f t="shared" si="19"/>
        <v>-13757739.826666666</v>
      </c>
      <c r="H76" s="560">
        <f t="shared" si="20"/>
        <v>405568.17333333381</v>
      </c>
      <c r="I76" s="560">
        <f t="shared" si="21"/>
        <v>0</v>
      </c>
      <c r="J76" s="560">
        <f t="shared" si="22"/>
        <v>-530082.9995000005</v>
      </c>
      <c r="K76" s="560">
        <f t="shared" si="23"/>
        <v>-615252.4845000006</v>
      </c>
      <c r="L76" s="562">
        <f t="shared" si="24"/>
        <v>-209684.3111666668</v>
      </c>
      <c r="M76" s="562">
        <f t="shared" si="25"/>
        <v>-530083.15950000065</v>
      </c>
    </row>
    <row r="77" spans="1:14" s="81" customFormat="1" ht="12.75">
      <c r="A77" s="563"/>
      <c r="B77" s="313">
        <v>43677</v>
      </c>
      <c r="C77" s="561">
        <f t="shared" si="6"/>
        <v>14163308</v>
      </c>
      <c r="D77" s="560">
        <f t="shared" si="17"/>
        <v>14163308</v>
      </c>
      <c r="E77" s="560"/>
      <c r="F77" s="560">
        <f t="shared" si="18"/>
        <v>-14163308.16</v>
      </c>
      <c r="G77" s="560">
        <f t="shared" si="19"/>
        <v>-13920176.951666666</v>
      </c>
      <c r="H77" s="560">
        <f t="shared" si="20"/>
        <v>243131.04833333381</v>
      </c>
      <c r="I77" s="560">
        <f t="shared" si="21"/>
        <v>0</v>
      </c>
      <c r="J77" s="560">
        <f t="shared" si="22"/>
        <v>-530082.9995000005</v>
      </c>
      <c r="K77" s="560">
        <f t="shared" si="23"/>
        <v>-581140.65825000056</v>
      </c>
      <c r="L77" s="562">
        <f t="shared" si="24"/>
        <v>-338009.60991666676</v>
      </c>
      <c r="M77" s="562">
        <f t="shared" si="25"/>
        <v>-530083.15950000065</v>
      </c>
    </row>
    <row r="78" spans="1:14" s="81" customFormat="1" ht="12.75">
      <c r="A78" s="563"/>
      <c r="B78" s="313">
        <v>43708</v>
      </c>
      <c r="C78" s="561">
        <f t="shared" si="6"/>
        <v>14163308</v>
      </c>
      <c r="D78" s="560">
        <f t="shared" si="17"/>
        <v>14163308</v>
      </c>
      <c r="E78" s="560"/>
      <c r="F78" s="560">
        <f t="shared" si="18"/>
        <v>-14163308.16</v>
      </c>
      <c r="G78" s="560">
        <f t="shared" si="19"/>
        <v>-14038533.743333332</v>
      </c>
      <c r="H78" s="560">
        <f t="shared" si="20"/>
        <v>124774.25666666776</v>
      </c>
      <c r="I78" s="560">
        <f t="shared" si="21"/>
        <v>0</v>
      </c>
      <c r="J78" s="560">
        <f t="shared" si="22"/>
        <v>-530082.9995000005</v>
      </c>
      <c r="K78" s="560">
        <f t="shared" si="23"/>
        <v>-556285.70200000051</v>
      </c>
      <c r="L78" s="562">
        <f t="shared" si="24"/>
        <v>-431511.44533333275</v>
      </c>
      <c r="M78" s="562">
        <f t="shared" si="25"/>
        <v>-530083.15950000065</v>
      </c>
    </row>
    <row r="79" spans="1:14" s="81" customFormat="1" ht="12.75">
      <c r="A79" s="563"/>
      <c r="B79" s="313">
        <v>43738</v>
      </c>
      <c r="C79" s="561">
        <f t="shared" si="6"/>
        <v>14163308</v>
      </c>
      <c r="D79" s="560">
        <f t="shared" si="17"/>
        <v>14163308</v>
      </c>
      <c r="E79" s="560"/>
      <c r="F79" s="560">
        <f t="shared" si="18"/>
        <v>-14163308.16</v>
      </c>
      <c r="G79" s="560">
        <f t="shared" si="19"/>
        <v>-14109168.076666666</v>
      </c>
      <c r="H79" s="560">
        <f t="shared" si="20"/>
        <v>54139.923333333805</v>
      </c>
      <c r="I79" s="560">
        <f t="shared" si="21"/>
        <v>0</v>
      </c>
      <c r="J79" s="560">
        <f t="shared" si="22"/>
        <v>-530082.9995000005</v>
      </c>
      <c r="K79" s="560">
        <f t="shared" si="23"/>
        <v>-541452.46200000064</v>
      </c>
      <c r="L79" s="562">
        <f t="shared" si="24"/>
        <v>-487312.53866666683</v>
      </c>
      <c r="M79" s="562">
        <f t="shared" si="25"/>
        <v>-530083.15950000065</v>
      </c>
    </row>
    <row r="80" spans="1:14" s="81" customFormat="1" ht="12.75">
      <c r="A80" s="563"/>
      <c r="B80" s="313">
        <v>43769</v>
      </c>
      <c r="C80" s="561">
        <f t="shared" si="6"/>
        <v>14163308</v>
      </c>
      <c r="D80" s="560">
        <f t="shared" si="17"/>
        <v>14163308</v>
      </c>
      <c r="E80" s="560"/>
      <c r="F80" s="560">
        <f t="shared" si="18"/>
        <v>-14163308.16</v>
      </c>
      <c r="G80" s="560">
        <f t="shared" si="19"/>
        <v>-14150042.159999998</v>
      </c>
      <c r="H80" s="560">
        <f t="shared" si="20"/>
        <v>13265.840000001714</v>
      </c>
      <c r="I80" s="560">
        <f t="shared" si="21"/>
        <v>0</v>
      </c>
      <c r="J80" s="560">
        <f t="shared" si="22"/>
        <v>-530082.9995000005</v>
      </c>
      <c r="K80" s="560">
        <f t="shared" si="23"/>
        <v>-532868.87450000062</v>
      </c>
      <c r="L80" s="562">
        <f t="shared" si="24"/>
        <v>-519603.0344999989</v>
      </c>
      <c r="M80" s="562">
        <f t="shared" si="25"/>
        <v>-530083.15950000065</v>
      </c>
    </row>
    <row r="81" spans="1:13" s="81" customFormat="1" ht="12.75">
      <c r="A81" s="563"/>
      <c r="B81" s="313">
        <v>43799</v>
      </c>
      <c r="C81" s="561">
        <f t="shared" si="6"/>
        <v>14163308</v>
      </c>
      <c r="D81" s="560">
        <f t="shared" si="17"/>
        <v>14163308</v>
      </c>
      <c r="E81" s="560"/>
      <c r="F81" s="560">
        <f t="shared" si="18"/>
        <v>-14163308.16</v>
      </c>
      <c r="G81" s="560">
        <f t="shared" si="19"/>
        <v>-14163308.159999998</v>
      </c>
      <c r="H81" s="560">
        <f t="shared" si="20"/>
        <v>-0.15999999828636646</v>
      </c>
      <c r="I81" s="560">
        <f t="shared" si="21"/>
        <v>0</v>
      </c>
      <c r="J81" s="560">
        <f t="shared" si="22"/>
        <v>-530082.9995000005</v>
      </c>
      <c r="K81" s="560">
        <f t="shared" si="23"/>
        <v>-530082.99950000062</v>
      </c>
      <c r="L81" s="562">
        <f t="shared" si="24"/>
        <v>-530083.1594999989</v>
      </c>
      <c r="M81" s="562">
        <f t="shared" si="25"/>
        <v>-530083.15950000065</v>
      </c>
    </row>
    <row r="82" spans="1:13" s="81" customFormat="1" ht="12.75">
      <c r="A82" s="563"/>
      <c r="B82" s="313">
        <v>43830</v>
      </c>
      <c r="C82" s="561">
        <f t="shared" si="6"/>
        <v>14163308</v>
      </c>
      <c r="D82" s="560">
        <f t="shared" si="17"/>
        <v>14163308</v>
      </c>
      <c r="E82" s="560"/>
      <c r="F82" s="560">
        <f t="shared" si="18"/>
        <v>-14163308.16</v>
      </c>
      <c r="G82" s="560">
        <f t="shared" si="19"/>
        <v>-14163308.159999998</v>
      </c>
      <c r="H82" s="560">
        <f t="shared" si="20"/>
        <v>-0.15999999828636646</v>
      </c>
      <c r="I82" s="560">
        <f t="shared" si="21"/>
        <v>0</v>
      </c>
      <c r="J82" s="560">
        <f t="shared" si="22"/>
        <v>-530082.9995000005</v>
      </c>
      <c r="K82" s="560">
        <f t="shared" si="23"/>
        <v>-530082.99950000062</v>
      </c>
      <c r="L82" s="562">
        <f t="shared" si="24"/>
        <v>-530083.1594999989</v>
      </c>
      <c r="M82" s="562">
        <f t="shared" si="25"/>
        <v>-530083.15950000065</v>
      </c>
    </row>
    <row r="83" spans="1:13" s="81" customFormat="1" ht="12.75">
      <c r="A83" s="563"/>
      <c r="B83" s="313">
        <v>43861</v>
      </c>
      <c r="C83" s="561">
        <f t="shared" si="6"/>
        <v>14163308</v>
      </c>
      <c r="D83" s="560">
        <f t="shared" si="17"/>
        <v>14163308</v>
      </c>
      <c r="E83" s="560"/>
      <c r="F83" s="560">
        <f t="shared" si="18"/>
        <v>-14163308.16</v>
      </c>
      <c r="G83" s="560">
        <f t="shared" si="19"/>
        <v>-14163308.159999998</v>
      </c>
      <c r="H83" s="560">
        <f t="shared" si="20"/>
        <v>-0.15999999828636646</v>
      </c>
      <c r="I83" s="560">
        <f t="shared" si="21"/>
        <v>0</v>
      </c>
      <c r="J83" s="560">
        <f t="shared" si="22"/>
        <v>-530082.9995000005</v>
      </c>
      <c r="K83" s="560">
        <f t="shared" si="23"/>
        <v>-530082.99950000062</v>
      </c>
      <c r="L83" s="562">
        <f t="shared" si="24"/>
        <v>-530083.1594999989</v>
      </c>
      <c r="M83" s="562">
        <f t="shared" si="25"/>
        <v>-530083.15950000065</v>
      </c>
    </row>
    <row r="84" spans="1:13" s="81" customFormat="1" ht="12.75">
      <c r="A84" s="563"/>
      <c r="B84" s="313">
        <v>43890</v>
      </c>
      <c r="C84" s="561">
        <f t="shared" si="6"/>
        <v>14163308</v>
      </c>
      <c r="D84" s="560">
        <f t="shared" si="17"/>
        <v>14163308</v>
      </c>
      <c r="E84" s="560"/>
      <c r="F84" s="560">
        <f t="shared" si="18"/>
        <v>-14163308.16</v>
      </c>
      <c r="G84" s="560">
        <f t="shared" si="19"/>
        <v>-14163308.159999998</v>
      </c>
      <c r="H84" s="560">
        <f t="shared" si="20"/>
        <v>-0.15999999828636646</v>
      </c>
      <c r="I84" s="560">
        <f t="shared" si="21"/>
        <v>0</v>
      </c>
      <c r="J84" s="560">
        <f t="shared" si="22"/>
        <v>-530082.9995000005</v>
      </c>
      <c r="K84" s="560">
        <f t="shared" si="23"/>
        <v>-530082.99950000062</v>
      </c>
      <c r="L84" s="562">
        <f t="shared" si="24"/>
        <v>-530083.1594999989</v>
      </c>
      <c r="M84" s="562">
        <f t="shared" si="25"/>
        <v>-530083.15950000065</v>
      </c>
    </row>
    <row r="85" spans="1:13" s="81" customFormat="1" ht="12.75">
      <c r="A85" s="563"/>
      <c r="B85" s="313">
        <v>43921</v>
      </c>
      <c r="C85" s="561">
        <f t="shared" si="6"/>
        <v>14163308</v>
      </c>
      <c r="D85" s="560">
        <f t="shared" si="17"/>
        <v>14163308</v>
      </c>
      <c r="E85" s="560"/>
      <c r="F85" s="560">
        <f t="shared" si="18"/>
        <v>-14163308.16</v>
      </c>
      <c r="G85" s="560">
        <f t="shared" si="19"/>
        <v>-14163308.159999998</v>
      </c>
      <c r="H85" s="560">
        <f t="shared" si="20"/>
        <v>-0.15999999828636646</v>
      </c>
      <c r="I85" s="560">
        <f t="shared" si="21"/>
        <v>0</v>
      </c>
      <c r="J85" s="560">
        <f t="shared" si="22"/>
        <v>-530082.9995000005</v>
      </c>
      <c r="K85" s="560">
        <f t="shared" si="23"/>
        <v>-530082.99950000062</v>
      </c>
      <c r="L85" s="562">
        <f t="shared" si="24"/>
        <v>-530083.1594999989</v>
      </c>
      <c r="M85" s="562">
        <f t="shared" si="25"/>
        <v>-530083.15950000065</v>
      </c>
    </row>
    <row r="86" spans="1:13" s="81" customFormat="1" ht="12.75">
      <c r="A86" s="563"/>
      <c r="B86" s="313">
        <v>43951</v>
      </c>
      <c r="C86" s="561">
        <f t="shared" ref="C86:C98" si="26">C85</f>
        <v>14163308</v>
      </c>
      <c r="D86" s="560">
        <f t="shared" si="17"/>
        <v>14163308</v>
      </c>
      <c r="E86" s="560"/>
      <c r="F86" s="560">
        <f t="shared" si="18"/>
        <v>-14163308.16</v>
      </c>
      <c r="G86" s="560">
        <f t="shared" si="19"/>
        <v>-14163308.159999998</v>
      </c>
      <c r="H86" s="560">
        <f t="shared" si="20"/>
        <v>-0.15999999828636646</v>
      </c>
      <c r="I86" s="560">
        <f t="shared" si="21"/>
        <v>0</v>
      </c>
      <c r="J86" s="560">
        <f t="shared" si="22"/>
        <v>-530082.9995000005</v>
      </c>
      <c r="K86" s="560">
        <f t="shared" si="23"/>
        <v>-530082.99950000062</v>
      </c>
      <c r="L86" s="562">
        <f t="shared" si="24"/>
        <v>-530083.1594999989</v>
      </c>
      <c r="M86" s="562">
        <f t="shared" si="25"/>
        <v>-530083.15950000065</v>
      </c>
    </row>
    <row r="87" spans="1:13" s="81" customFormat="1" ht="12.75">
      <c r="A87" s="563"/>
      <c r="B87" s="313">
        <v>43982</v>
      </c>
      <c r="C87" s="561">
        <f t="shared" si="26"/>
        <v>14163308</v>
      </c>
      <c r="D87" s="560">
        <f t="shared" si="17"/>
        <v>14163308</v>
      </c>
      <c r="E87" s="560"/>
      <c r="F87" s="560">
        <f t="shared" si="18"/>
        <v>-14163308.16</v>
      </c>
      <c r="G87" s="560">
        <f t="shared" si="19"/>
        <v>-14163308.159999998</v>
      </c>
      <c r="H87" s="560">
        <f t="shared" si="20"/>
        <v>-0.15999999828636646</v>
      </c>
      <c r="I87" s="560">
        <f t="shared" si="21"/>
        <v>0</v>
      </c>
      <c r="J87" s="560">
        <f t="shared" si="22"/>
        <v>-530082.9995000005</v>
      </c>
      <c r="K87" s="560">
        <f t="shared" si="23"/>
        <v>-530082.99950000062</v>
      </c>
      <c r="L87" s="562">
        <f t="shared" si="24"/>
        <v>-530083.1594999989</v>
      </c>
      <c r="M87" s="562">
        <f t="shared" si="25"/>
        <v>-530083.15950000065</v>
      </c>
    </row>
    <row r="88" spans="1:13" s="81" customFormat="1" ht="12.75">
      <c r="A88" s="563"/>
      <c r="B88" s="313">
        <v>44012</v>
      </c>
      <c r="C88" s="561">
        <f t="shared" si="26"/>
        <v>14163308</v>
      </c>
      <c r="D88" s="560">
        <f t="shared" si="17"/>
        <v>14163308</v>
      </c>
      <c r="E88" s="560"/>
      <c r="F88" s="560">
        <f t="shared" si="18"/>
        <v>-14163308.16</v>
      </c>
      <c r="G88" s="560">
        <f t="shared" si="19"/>
        <v>-14163308.159999998</v>
      </c>
      <c r="H88" s="560">
        <f t="shared" si="20"/>
        <v>-0.15999999828636646</v>
      </c>
      <c r="I88" s="560">
        <f t="shared" si="21"/>
        <v>0</v>
      </c>
      <c r="J88" s="560">
        <f t="shared" si="22"/>
        <v>-530082.9995000005</v>
      </c>
      <c r="K88" s="560">
        <f t="shared" si="23"/>
        <v>-530082.99950000062</v>
      </c>
      <c r="L88" s="562">
        <f t="shared" si="24"/>
        <v>-530083.1594999989</v>
      </c>
      <c r="M88" s="562">
        <f t="shared" si="25"/>
        <v>-530083.15950000065</v>
      </c>
    </row>
    <row r="89" spans="1:13" s="81" customFormat="1" ht="12.75">
      <c r="A89" s="563"/>
      <c r="B89" s="313">
        <v>44043</v>
      </c>
      <c r="C89" s="561">
        <f t="shared" si="26"/>
        <v>14163308</v>
      </c>
      <c r="D89" s="560">
        <f t="shared" ref="D89:D98" si="27">(C77+C89+SUM(C78:C88)*2)/24</f>
        <v>14163308</v>
      </c>
      <c r="E89" s="560"/>
      <c r="F89" s="560">
        <f t="shared" ref="F89:F98" si="28">F88-E89</f>
        <v>-14163308.16</v>
      </c>
      <c r="G89" s="560">
        <f t="shared" ref="G89:G98" si="29">(F77+F89+SUM(F78:F88)*2)/24</f>
        <v>-14163308.159999998</v>
      </c>
      <c r="H89" s="560">
        <f t="shared" ref="H89:H98" si="30">D89+G89</f>
        <v>-0.15999999828636646</v>
      </c>
      <c r="I89" s="560">
        <f t="shared" ref="I89:I98" si="31">+(E89*0.21)</f>
        <v>0</v>
      </c>
      <c r="J89" s="560">
        <f t="shared" ref="J89:J98" si="32">J88+I89</f>
        <v>-530082.9995000005</v>
      </c>
      <c r="K89" s="560">
        <f t="shared" ref="K89:K98" si="33">(J77+J89+SUM(J78:J88)*2)/24</f>
        <v>-530082.99950000062</v>
      </c>
      <c r="L89" s="562">
        <f t="shared" ref="L89:L98" si="34">H89+K89</f>
        <v>-530083.1594999989</v>
      </c>
      <c r="M89" s="562">
        <f t="shared" ref="M89:M98" si="35">C89+F89+J89</f>
        <v>-530083.15950000065</v>
      </c>
    </row>
    <row r="90" spans="1:13" s="81" customFormat="1" ht="12.75">
      <c r="A90" s="563"/>
      <c r="B90" s="313">
        <v>44074</v>
      </c>
      <c r="C90" s="561">
        <f t="shared" si="26"/>
        <v>14163308</v>
      </c>
      <c r="D90" s="560">
        <f t="shared" si="27"/>
        <v>14163308</v>
      </c>
      <c r="E90" s="560"/>
      <c r="F90" s="560">
        <f t="shared" si="28"/>
        <v>-14163308.16</v>
      </c>
      <c r="G90" s="560">
        <f t="shared" si="29"/>
        <v>-14163308.159999998</v>
      </c>
      <c r="H90" s="560">
        <f t="shared" si="30"/>
        <v>-0.15999999828636646</v>
      </c>
      <c r="I90" s="560">
        <f t="shared" si="31"/>
        <v>0</v>
      </c>
      <c r="J90" s="560">
        <f t="shared" si="32"/>
        <v>-530082.9995000005</v>
      </c>
      <c r="K90" s="560">
        <f t="shared" si="33"/>
        <v>-530082.99950000062</v>
      </c>
      <c r="L90" s="562">
        <f t="shared" si="34"/>
        <v>-530083.1594999989</v>
      </c>
      <c r="M90" s="562">
        <f t="shared" si="35"/>
        <v>-530083.15950000065</v>
      </c>
    </row>
    <row r="91" spans="1:13" s="81" customFormat="1" ht="12.75">
      <c r="A91" s="563"/>
      <c r="B91" s="313">
        <v>44104</v>
      </c>
      <c r="C91" s="561">
        <f t="shared" si="26"/>
        <v>14163308</v>
      </c>
      <c r="D91" s="560">
        <f t="shared" si="27"/>
        <v>14163308</v>
      </c>
      <c r="E91" s="560"/>
      <c r="F91" s="560">
        <f t="shared" si="28"/>
        <v>-14163308.16</v>
      </c>
      <c r="G91" s="560">
        <f t="shared" si="29"/>
        <v>-14163308.159999998</v>
      </c>
      <c r="H91" s="560">
        <f t="shared" si="30"/>
        <v>-0.15999999828636646</v>
      </c>
      <c r="I91" s="560">
        <f t="shared" si="31"/>
        <v>0</v>
      </c>
      <c r="J91" s="560">
        <f t="shared" si="32"/>
        <v>-530082.9995000005</v>
      </c>
      <c r="K91" s="560">
        <f t="shared" si="33"/>
        <v>-530082.99950000062</v>
      </c>
      <c r="L91" s="562">
        <f t="shared" si="34"/>
        <v>-530083.1594999989</v>
      </c>
      <c r="M91" s="562">
        <f t="shared" si="35"/>
        <v>-530083.15950000065</v>
      </c>
    </row>
    <row r="92" spans="1:13" s="81" customFormat="1" ht="12.75">
      <c r="A92" s="563"/>
      <c r="B92" s="313">
        <v>44135</v>
      </c>
      <c r="C92" s="561">
        <f t="shared" si="26"/>
        <v>14163308</v>
      </c>
      <c r="D92" s="560">
        <f t="shared" si="27"/>
        <v>14163308</v>
      </c>
      <c r="E92" s="560"/>
      <c r="F92" s="560">
        <f t="shared" si="28"/>
        <v>-14163308.16</v>
      </c>
      <c r="G92" s="560">
        <f t="shared" si="29"/>
        <v>-14163308.159999998</v>
      </c>
      <c r="H92" s="560">
        <f t="shared" si="30"/>
        <v>-0.15999999828636646</v>
      </c>
      <c r="I92" s="560">
        <f t="shared" si="31"/>
        <v>0</v>
      </c>
      <c r="J92" s="560">
        <f t="shared" si="32"/>
        <v>-530082.9995000005</v>
      </c>
      <c r="K92" s="560">
        <f t="shared" si="33"/>
        <v>-530082.99950000062</v>
      </c>
      <c r="L92" s="562">
        <f t="shared" si="34"/>
        <v>-530083.1594999989</v>
      </c>
      <c r="M92" s="562">
        <f t="shared" si="35"/>
        <v>-530083.15950000065</v>
      </c>
    </row>
    <row r="93" spans="1:13" s="81" customFormat="1" ht="12.75">
      <c r="A93" s="563"/>
      <c r="B93" s="313">
        <v>44165</v>
      </c>
      <c r="C93" s="561">
        <f t="shared" si="26"/>
        <v>14163308</v>
      </c>
      <c r="D93" s="560">
        <f t="shared" si="27"/>
        <v>14163308</v>
      </c>
      <c r="E93" s="560"/>
      <c r="F93" s="560">
        <f t="shared" si="28"/>
        <v>-14163308.16</v>
      </c>
      <c r="G93" s="560">
        <f t="shared" si="29"/>
        <v>-14163308.159999998</v>
      </c>
      <c r="H93" s="560">
        <f t="shared" si="30"/>
        <v>-0.15999999828636646</v>
      </c>
      <c r="I93" s="560">
        <f t="shared" si="31"/>
        <v>0</v>
      </c>
      <c r="J93" s="560">
        <f t="shared" si="32"/>
        <v>-530082.9995000005</v>
      </c>
      <c r="K93" s="560">
        <f t="shared" si="33"/>
        <v>-530082.99950000062</v>
      </c>
      <c r="L93" s="562">
        <f t="shared" si="34"/>
        <v>-530083.1594999989</v>
      </c>
      <c r="M93" s="562">
        <f t="shared" si="35"/>
        <v>-530083.15950000065</v>
      </c>
    </row>
    <row r="94" spans="1:13" s="81" customFormat="1" ht="12.75">
      <c r="A94" s="563"/>
      <c r="B94" s="313">
        <v>44196</v>
      </c>
      <c r="C94" s="561">
        <f t="shared" si="26"/>
        <v>14163308</v>
      </c>
      <c r="D94" s="560">
        <f t="shared" si="27"/>
        <v>14163308</v>
      </c>
      <c r="E94" s="560"/>
      <c r="F94" s="560">
        <f t="shared" si="28"/>
        <v>-14163308.16</v>
      </c>
      <c r="G94" s="560">
        <f t="shared" si="29"/>
        <v>-14163308.159999998</v>
      </c>
      <c r="H94" s="560">
        <f t="shared" si="30"/>
        <v>-0.15999999828636646</v>
      </c>
      <c r="I94" s="560">
        <f t="shared" si="31"/>
        <v>0</v>
      </c>
      <c r="J94" s="560">
        <f t="shared" si="32"/>
        <v>-530082.9995000005</v>
      </c>
      <c r="K94" s="560">
        <f t="shared" si="33"/>
        <v>-530082.99950000062</v>
      </c>
      <c r="L94" s="562">
        <f t="shared" si="34"/>
        <v>-530083.1594999989</v>
      </c>
      <c r="M94" s="562">
        <f t="shared" si="35"/>
        <v>-530083.15950000065</v>
      </c>
    </row>
    <row r="95" spans="1:13" s="81" customFormat="1" ht="12.75">
      <c r="A95" s="563"/>
      <c r="B95" s="313">
        <v>44227</v>
      </c>
      <c r="C95" s="561">
        <f t="shared" si="26"/>
        <v>14163308</v>
      </c>
      <c r="D95" s="560">
        <f t="shared" si="27"/>
        <v>14163308</v>
      </c>
      <c r="E95" s="560"/>
      <c r="F95" s="560">
        <f t="shared" si="28"/>
        <v>-14163308.16</v>
      </c>
      <c r="G95" s="560">
        <f t="shared" si="29"/>
        <v>-14163308.159999998</v>
      </c>
      <c r="H95" s="560">
        <f t="shared" si="30"/>
        <v>-0.15999999828636646</v>
      </c>
      <c r="I95" s="560">
        <f t="shared" si="31"/>
        <v>0</v>
      </c>
      <c r="J95" s="560">
        <f t="shared" si="32"/>
        <v>-530082.9995000005</v>
      </c>
      <c r="K95" s="560">
        <f t="shared" si="33"/>
        <v>-530082.99950000062</v>
      </c>
      <c r="L95" s="562">
        <f t="shared" si="34"/>
        <v>-530083.1594999989</v>
      </c>
      <c r="M95" s="562">
        <f t="shared" si="35"/>
        <v>-530083.15950000065</v>
      </c>
    </row>
    <row r="96" spans="1:13" s="81" customFormat="1" ht="12.75">
      <c r="A96" s="563"/>
      <c r="B96" s="313">
        <v>44255</v>
      </c>
      <c r="C96" s="561">
        <f t="shared" si="26"/>
        <v>14163308</v>
      </c>
      <c r="D96" s="560">
        <f t="shared" si="27"/>
        <v>14163308</v>
      </c>
      <c r="E96" s="560"/>
      <c r="F96" s="560">
        <f t="shared" si="28"/>
        <v>-14163308.16</v>
      </c>
      <c r="G96" s="560">
        <f t="shared" si="29"/>
        <v>-14163308.159999998</v>
      </c>
      <c r="H96" s="560">
        <f t="shared" si="30"/>
        <v>-0.15999999828636646</v>
      </c>
      <c r="I96" s="560">
        <f t="shared" si="31"/>
        <v>0</v>
      </c>
      <c r="J96" s="560">
        <f t="shared" si="32"/>
        <v>-530082.9995000005</v>
      </c>
      <c r="K96" s="560">
        <f t="shared" si="33"/>
        <v>-530082.99950000062</v>
      </c>
      <c r="L96" s="562">
        <f t="shared" si="34"/>
        <v>-530083.1594999989</v>
      </c>
      <c r="M96" s="562">
        <f t="shared" si="35"/>
        <v>-530083.15950000065</v>
      </c>
    </row>
    <row r="97" spans="1:13" s="81" customFormat="1" ht="12.75">
      <c r="A97" s="563"/>
      <c r="B97" s="313">
        <v>44286</v>
      </c>
      <c r="C97" s="561">
        <f t="shared" si="26"/>
        <v>14163308</v>
      </c>
      <c r="D97" s="560">
        <f t="shared" si="27"/>
        <v>14163308</v>
      </c>
      <c r="E97" s="560"/>
      <c r="F97" s="560">
        <f t="shared" si="28"/>
        <v>-14163308.16</v>
      </c>
      <c r="G97" s="560">
        <f t="shared" si="29"/>
        <v>-14163308.159999998</v>
      </c>
      <c r="H97" s="560">
        <f t="shared" si="30"/>
        <v>-0.15999999828636646</v>
      </c>
      <c r="I97" s="560">
        <f t="shared" si="31"/>
        <v>0</v>
      </c>
      <c r="J97" s="560">
        <f t="shared" si="32"/>
        <v>-530082.9995000005</v>
      </c>
      <c r="K97" s="560">
        <f t="shared" si="33"/>
        <v>-530082.99950000062</v>
      </c>
      <c r="L97" s="562">
        <f t="shared" si="34"/>
        <v>-530083.1594999989</v>
      </c>
      <c r="M97" s="562">
        <f t="shared" si="35"/>
        <v>-530083.15950000065</v>
      </c>
    </row>
    <row r="98" spans="1:13" s="81" customFormat="1" ht="12.75">
      <c r="A98" s="563"/>
      <c r="B98" s="313">
        <v>44316</v>
      </c>
      <c r="C98" s="561">
        <f t="shared" si="26"/>
        <v>14163308</v>
      </c>
      <c r="D98" s="560">
        <f t="shared" si="27"/>
        <v>14163308</v>
      </c>
      <c r="E98" s="560"/>
      <c r="F98" s="560">
        <f t="shared" si="28"/>
        <v>-14163308.16</v>
      </c>
      <c r="G98" s="560">
        <f t="shared" si="29"/>
        <v>-14163308.159999998</v>
      </c>
      <c r="H98" s="560">
        <f t="shared" si="30"/>
        <v>-0.15999999828636646</v>
      </c>
      <c r="I98" s="560">
        <f t="shared" si="31"/>
        <v>0</v>
      </c>
      <c r="J98" s="560">
        <f t="shared" si="32"/>
        <v>-530082.9995000005</v>
      </c>
      <c r="K98" s="560">
        <f t="shared" si="33"/>
        <v>-530082.99950000062</v>
      </c>
      <c r="L98" s="562">
        <f t="shared" si="34"/>
        <v>-530083.1594999989</v>
      </c>
      <c r="M98" s="562">
        <f t="shared" si="35"/>
        <v>-530083.15950000065</v>
      </c>
    </row>
    <row r="99" spans="1:13" s="81" customFormat="1" ht="12.75">
      <c r="A99" s="563"/>
      <c r="B99" s="313"/>
      <c r="C99" s="561"/>
      <c r="D99" s="560"/>
      <c r="E99" s="560"/>
      <c r="F99" s="560"/>
      <c r="G99" s="560"/>
      <c r="H99" s="560"/>
      <c r="I99" s="560"/>
      <c r="J99" s="560"/>
      <c r="K99" s="560"/>
      <c r="L99" s="562"/>
      <c r="M99" s="562"/>
    </row>
    <row r="100" spans="1:13" s="81" customFormat="1" ht="12.75">
      <c r="A100" s="563"/>
      <c r="B100" s="313"/>
      <c r="C100" s="561"/>
      <c r="D100" s="560"/>
      <c r="E100" s="560"/>
      <c r="F100" s="560"/>
      <c r="G100" s="560"/>
      <c r="H100" s="560"/>
      <c r="I100" s="560"/>
      <c r="J100" s="560"/>
      <c r="K100" s="560"/>
      <c r="L100" s="562"/>
      <c r="M100" s="562"/>
    </row>
    <row r="101" spans="1:13" s="81" customFormat="1" ht="12.75">
      <c r="A101" s="563"/>
      <c r="B101" s="313"/>
      <c r="C101" s="561"/>
      <c r="D101" s="560"/>
      <c r="E101" s="560"/>
      <c r="F101" s="560"/>
      <c r="G101" s="560"/>
      <c r="H101" s="560"/>
      <c r="I101" s="560"/>
      <c r="J101" s="560"/>
      <c r="K101" s="560"/>
      <c r="L101" s="562"/>
      <c r="M101" s="562"/>
    </row>
    <row r="102" spans="1:13" s="81" customFormat="1" ht="12.75">
      <c r="A102" s="563"/>
      <c r="B102" s="313"/>
      <c r="C102" s="561"/>
      <c r="D102" s="560"/>
      <c r="E102" s="560"/>
      <c r="F102" s="560"/>
      <c r="G102" s="560"/>
      <c r="H102" s="560"/>
      <c r="I102" s="560"/>
      <c r="J102" s="560"/>
      <c r="K102" s="560"/>
      <c r="L102" s="562"/>
      <c r="M102" s="562"/>
    </row>
    <row r="103" spans="1:13" ht="12.75">
      <c r="B103" s="313"/>
      <c r="C103" s="561"/>
      <c r="D103" s="560"/>
      <c r="E103" s="560"/>
      <c r="F103" s="560"/>
      <c r="G103" s="560"/>
      <c r="H103" s="560"/>
      <c r="I103" s="560"/>
      <c r="J103" s="560"/>
      <c r="K103" s="560"/>
      <c r="L103" s="562"/>
      <c r="M103" s="562"/>
    </row>
    <row r="104" spans="1:13" ht="12.75">
      <c r="B104" s="313"/>
      <c r="C104" s="561"/>
      <c r="D104" s="560"/>
      <c r="E104" s="560"/>
      <c r="F104" s="560"/>
      <c r="G104" s="560"/>
      <c r="H104" s="560"/>
      <c r="I104" s="560"/>
      <c r="J104" s="560"/>
      <c r="K104" s="560"/>
      <c r="L104" s="562"/>
      <c r="M104" s="562"/>
    </row>
    <row r="105" spans="1:13" ht="12.75">
      <c r="B105" s="718" t="s">
        <v>799</v>
      </c>
      <c r="C105" s="561"/>
      <c r="D105" s="560"/>
      <c r="E105" s="560">
        <f>SUM(E59:E70)</f>
        <v>3786308</v>
      </c>
      <c r="F105" s="560"/>
      <c r="G105" s="560"/>
      <c r="H105" s="560"/>
      <c r="I105" s="560"/>
      <c r="J105" s="560"/>
      <c r="K105" s="560"/>
      <c r="L105" s="562"/>
      <c r="M105" s="562"/>
    </row>
    <row r="106" spans="1:13" ht="12.75">
      <c r="B106" s="718" t="s">
        <v>800</v>
      </c>
      <c r="C106" s="560"/>
      <c r="D106" s="560"/>
      <c r="E106" s="560">
        <f>SUM(E87:E98)</f>
        <v>0</v>
      </c>
      <c r="F106" s="560"/>
      <c r="G106" s="560"/>
      <c r="H106" s="560"/>
      <c r="I106" s="560"/>
      <c r="J106" s="560"/>
      <c r="K106" s="560"/>
      <c r="L106" s="562"/>
      <c r="M106" s="562"/>
    </row>
    <row r="107" spans="1:13">
      <c r="B107" s="563"/>
      <c r="C107" s="563"/>
      <c r="D107" s="563"/>
      <c r="E107" s="563"/>
      <c r="F107" s="563"/>
      <c r="G107" s="563"/>
      <c r="H107" s="563"/>
      <c r="I107" s="563"/>
      <c r="J107" s="563"/>
      <c r="K107" s="563"/>
      <c r="L107" s="563"/>
      <c r="M107" s="563"/>
    </row>
    <row r="108" spans="1:13" ht="12.75">
      <c r="A108" s="299"/>
      <c r="B108" s="648"/>
      <c r="C108" s="560"/>
      <c r="D108" s="560"/>
      <c r="E108" s="560"/>
      <c r="F108" s="560"/>
      <c r="G108" s="560"/>
      <c r="H108" s="560"/>
      <c r="I108" s="560"/>
      <c r="J108" s="560"/>
      <c r="K108" s="560"/>
      <c r="L108" s="562"/>
      <c r="M108" s="562"/>
    </row>
    <row r="109" spans="1:13">
      <c r="B109" s="649"/>
      <c r="C109" s="649"/>
      <c r="D109" s="649"/>
      <c r="E109" s="649"/>
      <c r="F109" s="649"/>
      <c r="G109" s="649"/>
      <c r="H109" s="649"/>
      <c r="I109" s="649"/>
      <c r="J109" s="649"/>
      <c r="K109" s="649"/>
      <c r="L109" s="649"/>
      <c r="M109" s="563"/>
    </row>
    <row r="110" spans="1:13">
      <c r="B110" s="563"/>
      <c r="C110" s="563"/>
      <c r="D110" s="563"/>
      <c r="E110" s="563"/>
      <c r="F110" s="563"/>
      <c r="G110" s="563"/>
      <c r="H110" s="563"/>
      <c r="I110" s="563"/>
      <c r="J110" s="563"/>
      <c r="K110" s="563"/>
      <c r="L110" s="563"/>
      <c r="M110" s="563"/>
    </row>
    <row r="111" spans="1:13">
      <c r="B111" s="563"/>
      <c r="C111" s="563"/>
      <c r="D111" s="563"/>
      <c r="E111" s="563"/>
      <c r="F111" s="563"/>
      <c r="G111" s="563"/>
      <c r="H111" s="563"/>
      <c r="I111" s="563"/>
      <c r="J111" s="563"/>
      <c r="K111" s="563"/>
      <c r="L111" s="563"/>
      <c r="M111" s="563"/>
    </row>
    <row r="112" spans="1:13">
      <c r="B112" s="563"/>
      <c r="C112" s="563"/>
      <c r="D112" s="563"/>
      <c r="E112" s="563"/>
      <c r="F112" s="563"/>
      <c r="G112" s="563"/>
      <c r="H112" s="563"/>
      <c r="I112" s="563"/>
      <c r="J112" s="563"/>
      <c r="K112" s="563"/>
      <c r="L112" s="563"/>
      <c r="M112" s="563"/>
    </row>
    <row r="113" spans="2:13">
      <c r="B113" s="563"/>
      <c r="C113" s="563"/>
      <c r="D113" s="563"/>
      <c r="E113" s="563"/>
      <c r="F113" s="563"/>
      <c r="G113" s="563"/>
      <c r="H113" s="563"/>
      <c r="I113" s="563"/>
      <c r="J113" s="563"/>
      <c r="K113" s="563"/>
      <c r="L113" s="563"/>
      <c r="M113" s="563"/>
    </row>
    <row r="114" spans="2:13">
      <c r="B114" s="563"/>
      <c r="C114" s="563"/>
      <c r="D114" s="563"/>
      <c r="E114" s="563"/>
      <c r="F114" s="563"/>
      <c r="G114" s="563"/>
      <c r="H114" s="563"/>
      <c r="I114" s="563"/>
      <c r="J114" s="563"/>
      <c r="K114" s="563"/>
      <c r="L114" s="563"/>
      <c r="M114" s="563"/>
    </row>
    <row r="115" spans="2:13">
      <c r="B115" s="563"/>
      <c r="C115" s="563"/>
      <c r="D115" s="563"/>
      <c r="E115" s="563"/>
      <c r="F115" s="563"/>
      <c r="G115" s="563"/>
      <c r="H115" s="563"/>
      <c r="I115" s="563"/>
      <c r="J115" s="563"/>
      <c r="K115" s="563"/>
      <c r="L115" s="563"/>
      <c r="M115" s="563"/>
    </row>
    <row r="116" spans="2:13">
      <c r="B116" s="563"/>
      <c r="C116" s="563"/>
      <c r="D116" s="563"/>
      <c r="E116" s="563"/>
      <c r="F116" s="563"/>
      <c r="G116" s="563"/>
      <c r="H116" s="563"/>
      <c r="I116" s="563"/>
      <c r="J116" s="563"/>
      <c r="K116" s="563"/>
      <c r="L116" s="563"/>
      <c r="M116" s="563"/>
    </row>
    <row r="117" spans="2:13">
      <c r="B117" s="563"/>
      <c r="C117" s="563"/>
      <c r="D117" s="563"/>
      <c r="E117" s="563"/>
      <c r="F117" s="563"/>
      <c r="G117" s="563"/>
      <c r="H117" s="563"/>
      <c r="I117" s="563"/>
      <c r="J117" s="563"/>
      <c r="K117" s="563"/>
      <c r="L117" s="563"/>
      <c r="M117" s="563"/>
    </row>
    <row r="118" spans="2:13">
      <c r="B118" s="563"/>
      <c r="C118" s="563"/>
      <c r="D118" s="563"/>
      <c r="E118" s="563"/>
      <c r="F118" s="563"/>
      <c r="G118" s="563"/>
      <c r="H118" s="563"/>
      <c r="I118" s="563"/>
      <c r="J118" s="563"/>
      <c r="K118" s="563"/>
      <c r="L118" s="563"/>
      <c r="M118" s="563"/>
    </row>
  </sheetData>
  <printOptions horizontalCentered="1"/>
  <pageMargins left="0.45" right="0.45" top="0.75" bottom="0.5" header="0.05" footer="0.05"/>
  <pageSetup scale="4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1"/>
  <sheetViews>
    <sheetView zoomScaleNormal="100" workbookViewId="0">
      <pane xSplit="2" ySplit="13" topLeftCell="G14" activePane="bottomRight" state="frozen"/>
      <selection activeCell="E87" sqref="E87:E98"/>
      <selection pane="topRight" activeCell="E87" sqref="E87:E98"/>
      <selection pane="bottomLeft" activeCell="E87" sqref="E87:E98"/>
      <selection pane="bottomRight" activeCell="N104" sqref="N104"/>
    </sheetView>
  </sheetViews>
  <sheetFormatPr defaultRowHeight="10.5" outlineLevelRow="1"/>
  <cols>
    <col min="1" max="1" width="2.5" style="344" customWidth="1"/>
    <col min="2" max="2" width="12" style="344" bestFit="1" customWidth="1"/>
    <col min="3" max="3" width="3.5" style="344" customWidth="1"/>
    <col min="4" max="4" width="13.5" style="344" bestFit="1" customWidth="1"/>
    <col min="5" max="5" width="15.1640625" style="344" bestFit="1" customWidth="1"/>
    <col min="6" max="6" width="18.5" style="344" bestFit="1" customWidth="1"/>
    <col min="7" max="7" width="15.6640625" style="344" bestFit="1" customWidth="1"/>
    <col min="8" max="8" width="15.1640625" style="344" bestFit="1" customWidth="1"/>
    <col min="9" max="9" width="15" style="344" bestFit="1" customWidth="1"/>
    <col min="10" max="10" width="15.1640625" style="344" bestFit="1" customWidth="1"/>
    <col min="11" max="11" width="18.33203125" style="344" customWidth="1"/>
    <col min="12" max="12" width="15" style="344" customWidth="1"/>
    <col min="13" max="13" width="17" style="344" bestFit="1" customWidth="1"/>
    <col min="14" max="14" width="16.5" style="344" customWidth="1"/>
    <col min="15" max="15" width="15.1640625" style="344" bestFit="1" customWidth="1"/>
    <col min="16" max="256" width="9.1640625" style="344"/>
    <col min="257" max="257" width="2.5" style="344" customWidth="1"/>
    <col min="258" max="258" width="15.5" style="344" bestFit="1" customWidth="1"/>
    <col min="259" max="259" width="3.5" style="344" customWidth="1"/>
    <col min="260" max="261" width="15" style="344" customWidth="1"/>
    <col min="262" max="262" width="16.6640625" style="344" customWidth="1"/>
    <col min="263" max="263" width="15" style="344" bestFit="1" customWidth="1"/>
    <col min="264" max="264" width="19.1640625" style="344" bestFit="1" customWidth="1"/>
    <col min="265" max="265" width="18.5" style="344" customWidth="1"/>
    <col min="266" max="266" width="16.6640625" style="344" customWidth="1"/>
    <col min="267" max="267" width="21" style="344" bestFit="1" customWidth="1"/>
    <col min="268" max="268" width="20.1640625" style="344" bestFit="1" customWidth="1"/>
    <col min="269" max="269" width="14.1640625" style="344" bestFit="1" customWidth="1"/>
    <col min="270" max="270" width="16.83203125" style="344" customWidth="1"/>
    <col min="271" max="512" width="9.1640625" style="344"/>
    <col min="513" max="513" width="2.5" style="344" customWidth="1"/>
    <col min="514" max="514" width="15.5" style="344" bestFit="1" customWidth="1"/>
    <col min="515" max="515" width="3.5" style="344" customWidth="1"/>
    <col min="516" max="517" width="15" style="344" customWidth="1"/>
    <col min="518" max="518" width="16.6640625" style="344" customWidth="1"/>
    <col min="519" max="519" width="15" style="344" bestFit="1" customWidth="1"/>
    <col min="520" max="520" width="19.1640625" style="344" bestFit="1" customWidth="1"/>
    <col min="521" max="521" width="18.5" style="344" customWidth="1"/>
    <col min="522" max="522" width="16.6640625" style="344" customWidth="1"/>
    <col min="523" max="523" width="21" style="344" bestFit="1" customWidth="1"/>
    <col min="524" max="524" width="20.1640625" style="344" bestFit="1" customWidth="1"/>
    <col min="525" max="525" width="14.1640625" style="344" bestFit="1" customWidth="1"/>
    <col min="526" max="526" width="16.83203125" style="344" customWidth="1"/>
    <col min="527" max="768" width="9.1640625" style="344"/>
    <col min="769" max="769" width="2.5" style="344" customWidth="1"/>
    <col min="770" max="770" width="15.5" style="344" bestFit="1" customWidth="1"/>
    <col min="771" max="771" width="3.5" style="344" customWidth="1"/>
    <col min="772" max="773" width="15" style="344" customWidth="1"/>
    <col min="774" max="774" width="16.6640625" style="344" customWidth="1"/>
    <col min="775" max="775" width="15" style="344" bestFit="1" customWidth="1"/>
    <col min="776" max="776" width="19.1640625" style="344" bestFit="1" customWidth="1"/>
    <col min="777" max="777" width="18.5" style="344" customWidth="1"/>
    <col min="778" max="778" width="16.6640625" style="344" customWidth="1"/>
    <col min="779" max="779" width="21" style="344" bestFit="1" customWidth="1"/>
    <col min="780" max="780" width="20.1640625" style="344" bestFit="1" customWidth="1"/>
    <col min="781" max="781" width="14.1640625" style="344" bestFit="1" customWidth="1"/>
    <col min="782" max="782" width="16.83203125" style="344" customWidth="1"/>
    <col min="783" max="1024" width="9.1640625" style="344"/>
    <col min="1025" max="1025" width="2.5" style="344" customWidth="1"/>
    <col min="1026" max="1026" width="15.5" style="344" bestFit="1" customWidth="1"/>
    <col min="1027" max="1027" width="3.5" style="344" customWidth="1"/>
    <col min="1028" max="1029" width="15" style="344" customWidth="1"/>
    <col min="1030" max="1030" width="16.6640625" style="344" customWidth="1"/>
    <col min="1031" max="1031" width="15" style="344" bestFit="1" customWidth="1"/>
    <col min="1032" max="1032" width="19.1640625" style="344" bestFit="1" customWidth="1"/>
    <col min="1033" max="1033" width="18.5" style="344" customWidth="1"/>
    <col min="1034" max="1034" width="16.6640625" style="344" customWidth="1"/>
    <col min="1035" max="1035" width="21" style="344" bestFit="1" customWidth="1"/>
    <col min="1036" max="1036" width="20.1640625" style="344" bestFit="1" customWidth="1"/>
    <col min="1037" max="1037" width="14.1640625" style="344" bestFit="1" customWidth="1"/>
    <col min="1038" max="1038" width="16.83203125" style="344" customWidth="1"/>
    <col min="1039" max="1280" width="9.1640625" style="344"/>
    <col min="1281" max="1281" width="2.5" style="344" customWidth="1"/>
    <col min="1282" max="1282" width="15.5" style="344" bestFit="1" customWidth="1"/>
    <col min="1283" max="1283" width="3.5" style="344" customWidth="1"/>
    <col min="1284" max="1285" width="15" style="344" customWidth="1"/>
    <col min="1286" max="1286" width="16.6640625" style="344" customWidth="1"/>
    <col min="1287" max="1287" width="15" style="344" bestFit="1" customWidth="1"/>
    <col min="1288" max="1288" width="19.1640625" style="344" bestFit="1" customWidth="1"/>
    <col min="1289" max="1289" width="18.5" style="344" customWidth="1"/>
    <col min="1290" max="1290" width="16.6640625" style="344" customWidth="1"/>
    <col min="1291" max="1291" width="21" style="344" bestFit="1" customWidth="1"/>
    <col min="1292" max="1292" width="20.1640625" style="344" bestFit="1" customWidth="1"/>
    <col min="1293" max="1293" width="14.1640625" style="344" bestFit="1" customWidth="1"/>
    <col min="1294" max="1294" width="16.83203125" style="344" customWidth="1"/>
    <col min="1295" max="1536" width="9.1640625" style="344"/>
    <col min="1537" max="1537" width="2.5" style="344" customWidth="1"/>
    <col min="1538" max="1538" width="15.5" style="344" bestFit="1" customWidth="1"/>
    <col min="1539" max="1539" width="3.5" style="344" customWidth="1"/>
    <col min="1540" max="1541" width="15" style="344" customWidth="1"/>
    <col min="1542" max="1542" width="16.6640625" style="344" customWidth="1"/>
    <col min="1543" max="1543" width="15" style="344" bestFit="1" customWidth="1"/>
    <col min="1544" max="1544" width="19.1640625" style="344" bestFit="1" customWidth="1"/>
    <col min="1545" max="1545" width="18.5" style="344" customWidth="1"/>
    <col min="1546" max="1546" width="16.6640625" style="344" customWidth="1"/>
    <col min="1547" max="1547" width="21" style="344" bestFit="1" customWidth="1"/>
    <col min="1548" max="1548" width="20.1640625" style="344" bestFit="1" customWidth="1"/>
    <col min="1549" max="1549" width="14.1640625" style="344" bestFit="1" customWidth="1"/>
    <col min="1550" max="1550" width="16.83203125" style="344" customWidth="1"/>
    <col min="1551" max="1792" width="9.1640625" style="344"/>
    <col min="1793" max="1793" width="2.5" style="344" customWidth="1"/>
    <col min="1794" max="1794" width="15.5" style="344" bestFit="1" customWidth="1"/>
    <col min="1795" max="1795" width="3.5" style="344" customWidth="1"/>
    <col min="1796" max="1797" width="15" style="344" customWidth="1"/>
    <col min="1798" max="1798" width="16.6640625" style="344" customWidth="1"/>
    <col min="1799" max="1799" width="15" style="344" bestFit="1" customWidth="1"/>
    <col min="1800" max="1800" width="19.1640625" style="344" bestFit="1" customWidth="1"/>
    <col min="1801" max="1801" width="18.5" style="344" customWidth="1"/>
    <col min="1802" max="1802" width="16.6640625" style="344" customWidth="1"/>
    <col min="1803" max="1803" width="21" style="344" bestFit="1" customWidth="1"/>
    <col min="1804" max="1804" width="20.1640625" style="344" bestFit="1" customWidth="1"/>
    <col min="1805" max="1805" width="14.1640625" style="344" bestFit="1" customWidth="1"/>
    <col min="1806" max="1806" width="16.83203125" style="344" customWidth="1"/>
    <col min="1807" max="2048" width="9.1640625" style="344"/>
    <col min="2049" max="2049" width="2.5" style="344" customWidth="1"/>
    <col min="2050" max="2050" width="15.5" style="344" bestFit="1" customWidth="1"/>
    <col min="2051" max="2051" width="3.5" style="344" customWidth="1"/>
    <col min="2052" max="2053" width="15" style="344" customWidth="1"/>
    <col min="2054" max="2054" width="16.6640625" style="344" customWidth="1"/>
    <col min="2055" max="2055" width="15" style="344" bestFit="1" customWidth="1"/>
    <col min="2056" max="2056" width="19.1640625" style="344" bestFit="1" customWidth="1"/>
    <col min="2057" max="2057" width="18.5" style="344" customWidth="1"/>
    <col min="2058" max="2058" width="16.6640625" style="344" customWidth="1"/>
    <col min="2059" max="2059" width="21" style="344" bestFit="1" customWidth="1"/>
    <col min="2060" max="2060" width="20.1640625" style="344" bestFit="1" customWidth="1"/>
    <col min="2061" max="2061" width="14.1640625" style="344" bestFit="1" customWidth="1"/>
    <col min="2062" max="2062" width="16.83203125" style="344" customWidth="1"/>
    <col min="2063" max="2304" width="9.1640625" style="344"/>
    <col min="2305" max="2305" width="2.5" style="344" customWidth="1"/>
    <col min="2306" max="2306" width="15.5" style="344" bestFit="1" customWidth="1"/>
    <col min="2307" max="2307" width="3.5" style="344" customWidth="1"/>
    <col min="2308" max="2309" width="15" style="344" customWidth="1"/>
    <col min="2310" max="2310" width="16.6640625" style="344" customWidth="1"/>
    <col min="2311" max="2311" width="15" style="344" bestFit="1" customWidth="1"/>
    <col min="2312" max="2312" width="19.1640625" style="344" bestFit="1" customWidth="1"/>
    <col min="2313" max="2313" width="18.5" style="344" customWidth="1"/>
    <col min="2314" max="2314" width="16.6640625" style="344" customWidth="1"/>
    <col min="2315" max="2315" width="21" style="344" bestFit="1" customWidth="1"/>
    <col min="2316" max="2316" width="20.1640625" style="344" bestFit="1" customWidth="1"/>
    <col min="2317" max="2317" width="14.1640625" style="344" bestFit="1" customWidth="1"/>
    <col min="2318" max="2318" width="16.83203125" style="344" customWidth="1"/>
    <col min="2319" max="2560" width="9.1640625" style="344"/>
    <col min="2561" max="2561" width="2.5" style="344" customWidth="1"/>
    <col min="2562" max="2562" width="15.5" style="344" bestFit="1" customWidth="1"/>
    <col min="2563" max="2563" width="3.5" style="344" customWidth="1"/>
    <col min="2564" max="2565" width="15" style="344" customWidth="1"/>
    <col min="2566" max="2566" width="16.6640625" style="344" customWidth="1"/>
    <col min="2567" max="2567" width="15" style="344" bestFit="1" customWidth="1"/>
    <col min="2568" max="2568" width="19.1640625" style="344" bestFit="1" customWidth="1"/>
    <col min="2569" max="2569" width="18.5" style="344" customWidth="1"/>
    <col min="2570" max="2570" width="16.6640625" style="344" customWidth="1"/>
    <col min="2571" max="2571" width="21" style="344" bestFit="1" customWidth="1"/>
    <col min="2572" max="2572" width="20.1640625" style="344" bestFit="1" customWidth="1"/>
    <col min="2573" max="2573" width="14.1640625" style="344" bestFit="1" customWidth="1"/>
    <col min="2574" max="2574" width="16.83203125" style="344" customWidth="1"/>
    <col min="2575" max="2816" width="9.1640625" style="344"/>
    <col min="2817" max="2817" width="2.5" style="344" customWidth="1"/>
    <col min="2818" max="2818" width="15.5" style="344" bestFit="1" customWidth="1"/>
    <col min="2819" max="2819" width="3.5" style="344" customWidth="1"/>
    <col min="2820" max="2821" width="15" style="344" customWidth="1"/>
    <col min="2822" max="2822" width="16.6640625" style="344" customWidth="1"/>
    <col min="2823" max="2823" width="15" style="344" bestFit="1" customWidth="1"/>
    <col min="2824" max="2824" width="19.1640625" style="344" bestFit="1" customWidth="1"/>
    <col min="2825" max="2825" width="18.5" style="344" customWidth="1"/>
    <col min="2826" max="2826" width="16.6640625" style="344" customWidth="1"/>
    <col min="2827" max="2827" width="21" style="344" bestFit="1" customWidth="1"/>
    <col min="2828" max="2828" width="20.1640625" style="344" bestFit="1" customWidth="1"/>
    <col min="2829" max="2829" width="14.1640625" style="344" bestFit="1" customWidth="1"/>
    <col min="2830" max="2830" width="16.83203125" style="344" customWidth="1"/>
    <col min="2831" max="3072" width="9.1640625" style="344"/>
    <col min="3073" max="3073" width="2.5" style="344" customWidth="1"/>
    <col min="3074" max="3074" width="15.5" style="344" bestFit="1" customWidth="1"/>
    <col min="3075" max="3075" width="3.5" style="344" customWidth="1"/>
    <col min="3076" max="3077" width="15" style="344" customWidth="1"/>
    <col min="3078" max="3078" width="16.6640625" style="344" customWidth="1"/>
    <col min="3079" max="3079" width="15" style="344" bestFit="1" customWidth="1"/>
    <col min="3080" max="3080" width="19.1640625" style="344" bestFit="1" customWidth="1"/>
    <col min="3081" max="3081" width="18.5" style="344" customWidth="1"/>
    <col min="3082" max="3082" width="16.6640625" style="344" customWidth="1"/>
    <col min="3083" max="3083" width="21" style="344" bestFit="1" customWidth="1"/>
    <col min="3084" max="3084" width="20.1640625" style="344" bestFit="1" customWidth="1"/>
    <col min="3085" max="3085" width="14.1640625" style="344" bestFit="1" customWidth="1"/>
    <col min="3086" max="3086" width="16.83203125" style="344" customWidth="1"/>
    <col min="3087" max="3328" width="9.1640625" style="344"/>
    <col min="3329" max="3329" width="2.5" style="344" customWidth="1"/>
    <col min="3330" max="3330" width="15.5" style="344" bestFit="1" customWidth="1"/>
    <col min="3331" max="3331" width="3.5" style="344" customWidth="1"/>
    <col min="3332" max="3333" width="15" style="344" customWidth="1"/>
    <col min="3334" max="3334" width="16.6640625" style="344" customWidth="1"/>
    <col min="3335" max="3335" width="15" style="344" bestFit="1" customWidth="1"/>
    <col min="3336" max="3336" width="19.1640625" style="344" bestFit="1" customWidth="1"/>
    <col min="3337" max="3337" width="18.5" style="344" customWidth="1"/>
    <col min="3338" max="3338" width="16.6640625" style="344" customWidth="1"/>
    <col min="3339" max="3339" width="21" style="344" bestFit="1" customWidth="1"/>
    <col min="3340" max="3340" width="20.1640625" style="344" bestFit="1" customWidth="1"/>
    <col min="3341" max="3341" width="14.1640625" style="344" bestFit="1" customWidth="1"/>
    <col min="3342" max="3342" width="16.83203125" style="344" customWidth="1"/>
    <col min="3343" max="3584" width="9.1640625" style="344"/>
    <col min="3585" max="3585" width="2.5" style="344" customWidth="1"/>
    <col min="3586" max="3586" width="15.5" style="344" bestFit="1" customWidth="1"/>
    <col min="3587" max="3587" width="3.5" style="344" customWidth="1"/>
    <col min="3588" max="3589" width="15" style="344" customWidth="1"/>
    <col min="3590" max="3590" width="16.6640625" style="344" customWidth="1"/>
    <col min="3591" max="3591" width="15" style="344" bestFit="1" customWidth="1"/>
    <col min="3592" max="3592" width="19.1640625" style="344" bestFit="1" customWidth="1"/>
    <col min="3593" max="3593" width="18.5" style="344" customWidth="1"/>
    <col min="3594" max="3594" width="16.6640625" style="344" customWidth="1"/>
    <col min="3595" max="3595" width="21" style="344" bestFit="1" customWidth="1"/>
    <col min="3596" max="3596" width="20.1640625" style="344" bestFit="1" customWidth="1"/>
    <col min="3597" max="3597" width="14.1640625" style="344" bestFit="1" customWidth="1"/>
    <col min="3598" max="3598" width="16.83203125" style="344" customWidth="1"/>
    <col min="3599" max="3840" width="9.1640625" style="344"/>
    <col min="3841" max="3841" width="2.5" style="344" customWidth="1"/>
    <col min="3842" max="3842" width="15.5" style="344" bestFit="1" customWidth="1"/>
    <col min="3843" max="3843" width="3.5" style="344" customWidth="1"/>
    <col min="3844" max="3845" width="15" style="344" customWidth="1"/>
    <col min="3846" max="3846" width="16.6640625" style="344" customWidth="1"/>
    <col min="3847" max="3847" width="15" style="344" bestFit="1" customWidth="1"/>
    <col min="3848" max="3848" width="19.1640625" style="344" bestFit="1" customWidth="1"/>
    <col min="3849" max="3849" width="18.5" style="344" customWidth="1"/>
    <col min="3850" max="3850" width="16.6640625" style="344" customWidth="1"/>
    <col min="3851" max="3851" width="21" style="344" bestFit="1" customWidth="1"/>
    <col min="3852" max="3852" width="20.1640625" style="344" bestFit="1" customWidth="1"/>
    <col min="3853" max="3853" width="14.1640625" style="344" bestFit="1" customWidth="1"/>
    <col min="3854" max="3854" width="16.83203125" style="344" customWidth="1"/>
    <col min="3855" max="4096" width="9.1640625" style="344"/>
    <col min="4097" max="4097" width="2.5" style="344" customWidth="1"/>
    <col min="4098" max="4098" width="15.5" style="344" bestFit="1" customWidth="1"/>
    <col min="4099" max="4099" width="3.5" style="344" customWidth="1"/>
    <col min="4100" max="4101" width="15" style="344" customWidth="1"/>
    <col min="4102" max="4102" width="16.6640625" style="344" customWidth="1"/>
    <col min="4103" max="4103" width="15" style="344" bestFit="1" customWidth="1"/>
    <col min="4104" max="4104" width="19.1640625" style="344" bestFit="1" customWidth="1"/>
    <col min="4105" max="4105" width="18.5" style="344" customWidth="1"/>
    <col min="4106" max="4106" width="16.6640625" style="344" customWidth="1"/>
    <col min="4107" max="4107" width="21" style="344" bestFit="1" customWidth="1"/>
    <col min="4108" max="4108" width="20.1640625" style="344" bestFit="1" customWidth="1"/>
    <col min="4109" max="4109" width="14.1640625" style="344" bestFit="1" customWidth="1"/>
    <col min="4110" max="4110" width="16.83203125" style="344" customWidth="1"/>
    <col min="4111" max="4352" width="9.1640625" style="344"/>
    <col min="4353" max="4353" width="2.5" style="344" customWidth="1"/>
    <col min="4354" max="4354" width="15.5" style="344" bestFit="1" customWidth="1"/>
    <col min="4355" max="4355" width="3.5" style="344" customWidth="1"/>
    <col min="4356" max="4357" width="15" style="344" customWidth="1"/>
    <col min="4358" max="4358" width="16.6640625" style="344" customWidth="1"/>
    <col min="4359" max="4359" width="15" style="344" bestFit="1" customWidth="1"/>
    <col min="4360" max="4360" width="19.1640625" style="344" bestFit="1" customWidth="1"/>
    <col min="4361" max="4361" width="18.5" style="344" customWidth="1"/>
    <col min="4362" max="4362" width="16.6640625" style="344" customWidth="1"/>
    <col min="4363" max="4363" width="21" style="344" bestFit="1" customWidth="1"/>
    <col min="4364" max="4364" width="20.1640625" style="344" bestFit="1" customWidth="1"/>
    <col min="4365" max="4365" width="14.1640625" style="344" bestFit="1" customWidth="1"/>
    <col min="4366" max="4366" width="16.83203125" style="344" customWidth="1"/>
    <col min="4367" max="4608" width="9.1640625" style="344"/>
    <col min="4609" max="4609" width="2.5" style="344" customWidth="1"/>
    <col min="4610" max="4610" width="15.5" style="344" bestFit="1" customWidth="1"/>
    <col min="4611" max="4611" width="3.5" style="344" customWidth="1"/>
    <col min="4612" max="4613" width="15" style="344" customWidth="1"/>
    <col min="4614" max="4614" width="16.6640625" style="344" customWidth="1"/>
    <col min="4615" max="4615" width="15" style="344" bestFit="1" customWidth="1"/>
    <col min="4616" max="4616" width="19.1640625" style="344" bestFit="1" customWidth="1"/>
    <col min="4617" max="4617" width="18.5" style="344" customWidth="1"/>
    <col min="4618" max="4618" width="16.6640625" style="344" customWidth="1"/>
    <col min="4619" max="4619" width="21" style="344" bestFit="1" customWidth="1"/>
    <col min="4620" max="4620" width="20.1640625" style="344" bestFit="1" customWidth="1"/>
    <col min="4621" max="4621" width="14.1640625" style="344" bestFit="1" customWidth="1"/>
    <col min="4622" max="4622" width="16.83203125" style="344" customWidth="1"/>
    <col min="4623" max="4864" width="9.1640625" style="344"/>
    <col min="4865" max="4865" width="2.5" style="344" customWidth="1"/>
    <col min="4866" max="4866" width="15.5" style="344" bestFit="1" customWidth="1"/>
    <col min="4867" max="4867" width="3.5" style="344" customWidth="1"/>
    <col min="4868" max="4869" width="15" style="344" customWidth="1"/>
    <col min="4870" max="4870" width="16.6640625" style="344" customWidth="1"/>
    <col min="4871" max="4871" width="15" style="344" bestFit="1" customWidth="1"/>
    <col min="4872" max="4872" width="19.1640625" style="344" bestFit="1" customWidth="1"/>
    <col min="4873" max="4873" width="18.5" style="344" customWidth="1"/>
    <col min="4874" max="4874" width="16.6640625" style="344" customWidth="1"/>
    <col min="4875" max="4875" width="21" style="344" bestFit="1" customWidth="1"/>
    <col min="4876" max="4876" width="20.1640625" style="344" bestFit="1" customWidth="1"/>
    <col min="4877" max="4877" width="14.1640625" style="344" bestFit="1" customWidth="1"/>
    <col min="4878" max="4878" width="16.83203125" style="344" customWidth="1"/>
    <col min="4879" max="5120" width="9.1640625" style="344"/>
    <col min="5121" max="5121" width="2.5" style="344" customWidth="1"/>
    <col min="5122" max="5122" width="15.5" style="344" bestFit="1" customWidth="1"/>
    <col min="5123" max="5123" width="3.5" style="344" customWidth="1"/>
    <col min="5124" max="5125" width="15" style="344" customWidth="1"/>
    <col min="5126" max="5126" width="16.6640625" style="344" customWidth="1"/>
    <col min="5127" max="5127" width="15" style="344" bestFit="1" customWidth="1"/>
    <col min="5128" max="5128" width="19.1640625" style="344" bestFit="1" customWidth="1"/>
    <col min="5129" max="5129" width="18.5" style="344" customWidth="1"/>
    <col min="5130" max="5130" width="16.6640625" style="344" customWidth="1"/>
    <col min="5131" max="5131" width="21" style="344" bestFit="1" customWidth="1"/>
    <col min="5132" max="5132" width="20.1640625" style="344" bestFit="1" customWidth="1"/>
    <col min="5133" max="5133" width="14.1640625" style="344" bestFit="1" customWidth="1"/>
    <col min="5134" max="5134" width="16.83203125" style="344" customWidth="1"/>
    <col min="5135" max="5376" width="9.1640625" style="344"/>
    <col min="5377" max="5377" width="2.5" style="344" customWidth="1"/>
    <col min="5378" max="5378" width="15.5" style="344" bestFit="1" customWidth="1"/>
    <col min="5379" max="5379" width="3.5" style="344" customWidth="1"/>
    <col min="5380" max="5381" width="15" style="344" customWidth="1"/>
    <col min="5382" max="5382" width="16.6640625" style="344" customWidth="1"/>
    <col min="5383" max="5383" width="15" style="344" bestFit="1" customWidth="1"/>
    <col min="5384" max="5384" width="19.1640625" style="344" bestFit="1" customWidth="1"/>
    <col min="5385" max="5385" width="18.5" style="344" customWidth="1"/>
    <col min="5386" max="5386" width="16.6640625" style="344" customWidth="1"/>
    <col min="5387" max="5387" width="21" style="344" bestFit="1" customWidth="1"/>
    <col min="5388" max="5388" width="20.1640625" style="344" bestFit="1" customWidth="1"/>
    <col min="5389" max="5389" width="14.1640625" style="344" bestFit="1" customWidth="1"/>
    <col min="5390" max="5390" width="16.83203125" style="344" customWidth="1"/>
    <col min="5391" max="5632" width="9.1640625" style="344"/>
    <col min="5633" max="5633" width="2.5" style="344" customWidth="1"/>
    <col min="5634" max="5634" width="15.5" style="344" bestFit="1" customWidth="1"/>
    <col min="5635" max="5635" width="3.5" style="344" customWidth="1"/>
    <col min="5636" max="5637" width="15" style="344" customWidth="1"/>
    <col min="5638" max="5638" width="16.6640625" style="344" customWidth="1"/>
    <col min="5639" max="5639" width="15" style="344" bestFit="1" customWidth="1"/>
    <col min="5640" max="5640" width="19.1640625" style="344" bestFit="1" customWidth="1"/>
    <col min="5641" max="5641" width="18.5" style="344" customWidth="1"/>
    <col min="5642" max="5642" width="16.6640625" style="344" customWidth="1"/>
    <col min="5643" max="5643" width="21" style="344" bestFit="1" customWidth="1"/>
    <col min="5644" max="5644" width="20.1640625" style="344" bestFit="1" customWidth="1"/>
    <col min="5645" max="5645" width="14.1640625" style="344" bestFit="1" customWidth="1"/>
    <col min="5646" max="5646" width="16.83203125" style="344" customWidth="1"/>
    <col min="5647" max="5888" width="9.1640625" style="344"/>
    <col min="5889" max="5889" width="2.5" style="344" customWidth="1"/>
    <col min="5890" max="5890" width="15.5" style="344" bestFit="1" customWidth="1"/>
    <col min="5891" max="5891" width="3.5" style="344" customWidth="1"/>
    <col min="5892" max="5893" width="15" style="344" customWidth="1"/>
    <col min="5894" max="5894" width="16.6640625" style="344" customWidth="1"/>
    <col min="5895" max="5895" width="15" style="344" bestFit="1" customWidth="1"/>
    <col min="5896" max="5896" width="19.1640625" style="344" bestFit="1" customWidth="1"/>
    <col min="5897" max="5897" width="18.5" style="344" customWidth="1"/>
    <col min="5898" max="5898" width="16.6640625" style="344" customWidth="1"/>
    <col min="5899" max="5899" width="21" style="344" bestFit="1" customWidth="1"/>
    <col min="5900" max="5900" width="20.1640625" style="344" bestFit="1" customWidth="1"/>
    <col min="5901" max="5901" width="14.1640625" style="344" bestFit="1" customWidth="1"/>
    <col min="5902" max="5902" width="16.83203125" style="344" customWidth="1"/>
    <col min="5903" max="6144" width="9.1640625" style="344"/>
    <col min="6145" max="6145" width="2.5" style="344" customWidth="1"/>
    <col min="6146" max="6146" width="15.5" style="344" bestFit="1" customWidth="1"/>
    <col min="6147" max="6147" width="3.5" style="344" customWidth="1"/>
    <col min="6148" max="6149" width="15" style="344" customWidth="1"/>
    <col min="6150" max="6150" width="16.6640625" style="344" customWidth="1"/>
    <col min="6151" max="6151" width="15" style="344" bestFit="1" customWidth="1"/>
    <col min="6152" max="6152" width="19.1640625" style="344" bestFit="1" customWidth="1"/>
    <col min="6153" max="6153" width="18.5" style="344" customWidth="1"/>
    <col min="6154" max="6154" width="16.6640625" style="344" customWidth="1"/>
    <col min="6155" max="6155" width="21" style="344" bestFit="1" customWidth="1"/>
    <col min="6156" max="6156" width="20.1640625" style="344" bestFit="1" customWidth="1"/>
    <col min="6157" max="6157" width="14.1640625" style="344" bestFit="1" customWidth="1"/>
    <col min="6158" max="6158" width="16.83203125" style="344" customWidth="1"/>
    <col min="6159" max="6400" width="9.1640625" style="344"/>
    <col min="6401" max="6401" width="2.5" style="344" customWidth="1"/>
    <col min="6402" max="6402" width="15.5" style="344" bestFit="1" customWidth="1"/>
    <col min="6403" max="6403" width="3.5" style="344" customWidth="1"/>
    <col min="6404" max="6405" width="15" style="344" customWidth="1"/>
    <col min="6406" max="6406" width="16.6640625" style="344" customWidth="1"/>
    <col min="6407" max="6407" width="15" style="344" bestFit="1" customWidth="1"/>
    <col min="6408" max="6408" width="19.1640625" style="344" bestFit="1" customWidth="1"/>
    <col min="6409" max="6409" width="18.5" style="344" customWidth="1"/>
    <col min="6410" max="6410" width="16.6640625" style="344" customWidth="1"/>
    <col min="6411" max="6411" width="21" style="344" bestFit="1" customWidth="1"/>
    <col min="6412" max="6412" width="20.1640625" style="344" bestFit="1" customWidth="1"/>
    <col min="6413" max="6413" width="14.1640625" style="344" bestFit="1" customWidth="1"/>
    <col min="6414" max="6414" width="16.83203125" style="344" customWidth="1"/>
    <col min="6415" max="6656" width="9.1640625" style="344"/>
    <col min="6657" max="6657" width="2.5" style="344" customWidth="1"/>
    <col min="6658" max="6658" width="15.5" style="344" bestFit="1" customWidth="1"/>
    <col min="6659" max="6659" width="3.5" style="344" customWidth="1"/>
    <col min="6660" max="6661" width="15" style="344" customWidth="1"/>
    <col min="6662" max="6662" width="16.6640625" style="344" customWidth="1"/>
    <col min="6663" max="6663" width="15" style="344" bestFit="1" customWidth="1"/>
    <col min="6664" max="6664" width="19.1640625" style="344" bestFit="1" customWidth="1"/>
    <col min="6665" max="6665" width="18.5" style="344" customWidth="1"/>
    <col min="6666" max="6666" width="16.6640625" style="344" customWidth="1"/>
    <col min="6667" max="6667" width="21" style="344" bestFit="1" customWidth="1"/>
    <col min="6668" max="6668" width="20.1640625" style="344" bestFit="1" customWidth="1"/>
    <col min="6669" max="6669" width="14.1640625" style="344" bestFit="1" customWidth="1"/>
    <col min="6670" max="6670" width="16.83203125" style="344" customWidth="1"/>
    <col min="6671" max="6912" width="9.1640625" style="344"/>
    <col min="6913" max="6913" width="2.5" style="344" customWidth="1"/>
    <col min="6914" max="6914" width="15.5" style="344" bestFit="1" customWidth="1"/>
    <col min="6915" max="6915" width="3.5" style="344" customWidth="1"/>
    <col min="6916" max="6917" width="15" style="344" customWidth="1"/>
    <col min="6918" max="6918" width="16.6640625" style="344" customWidth="1"/>
    <col min="6919" max="6919" width="15" style="344" bestFit="1" customWidth="1"/>
    <col min="6920" max="6920" width="19.1640625" style="344" bestFit="1" customWidth="1"/>
    <col min="6921" max="6921" width="18.5" style="344" customWidth="1"/>
    <col min="6922" max="6922" width="16.6640625" style="344" customWidth="1"/>
    <col min="6923" max="6923" width="21" style="344" bestFit="1" customWidth="1"/>
    <col min="6924" max="6924" width="20.1640625" style="344" bestFit="1" customWidth="1"/>
    <col min="6925" max="6925" width="14.1640625" style="344" bestFit="1" customWidth="1"/>
    <col min="6926" max="6926" width="16.83203125" style="344" customWidth="1"/>
    <col min="6927" max="7168" width="9.1640625" style="344"/>
    <col min="7169" max="7169" width="2.5" style="344" customWidth="1"/>
    <col min="7170" max="7170" width="15.5" style="344" bestFit="1" customWidth="1"/>
    <col min="7171" max="7171" width="3.5" style="344" customWidth="1"/>
    <col min="7172" max="7173" width="15" style="344" customWidth="1"/>
    <col min="7174" max="7174" width="16.6640625" style="344" customWidth="1"/>
    <col min="7175" max="7175" width="15" style="344" bestFit="1" customWidth="1"/>
    <col min="7176" max="7176" width="19.1640625" style="344" bestFit="1" customWidth="1"/>
    <col min="7177" max="7177" width="18.5" style="344" customWidth="1"/>
    <col min="7178" max="7178" width="16.6640625" style="344" customWidth="1"/>
    <col min="7179" max="7179" width="21" style="344" bestFit="1" customWidth="1"/>
    <col min="7180" max="7180" width="20.1640625" style="344" bestFit="1" customWidth="1"/>
    <col min="7181" max="7181" width="14.1640625" style="344" bestFit="1" customWidth="1"/>
    <col min="7182" max="7182" width="16.83203125" style="344" customWidth="1"/>
    <col min="7183" max="7424" width="9.1640625" style="344"/>
    <col min="7425" max="7425" width="2.5" style="344" customWidth="1"/>
    <col min="7426" max="7426" width="15.5" style="344" bestFit="1" customWidth="1"/>
    <col min="7427" max="7427" width="3.5" style="344" customWidth="1"/>
    <col min="7428" max="7429" width="15" style="344" customWidth="1"/>
    <col min="7430" max="7430" width="16.6640625" style="344" customWidth="1"/>
    <col min="7431" max="7431" width="15" style="344" bestFit="1" customWidth="1"/>
    <col min="7432" max="7432" width="19.1640625" style="344" bestFit="1" customWidth="1"/>
    <col min="7433" max="7433" width="18.5" style="344" customWidth="1"/>
    <col min="7434" max="7434" width="16.6640625" style="344" customWidth="1"/>
    <col min="7435" max="7435" width="21" style="344" bestFit="1" customWidth="1"/>
    <col min="7436" max="7436" width="20.1640625" style="344" bestFit="1" customWidth="1"/>
    <col min="7437" max="7437" width="14.1640625" style="344" bestFit="1" customWidth="1"/>
    <col min="7438" max="7438" width="16.83203125" style="344" customWidth="1"/>
    <col min="7439" max="7680" width="9.1640625" style="344"/>
    <col min="7681" max="7681" width="2.5" style="344" customWidth="1"/>
    <col min="7682" max="7682" width="15.5" style="344" bestFit="1" customWidth="1"/>
    <col min="7683" max="7683" width="3.5" style="344" customWidth="1"/>
    <col min="7684" max="7685" width="15" style="344" customWidth="1"/>
    <col min="7686" max="7686" width="16.6640625" style="344" customWidth="1"/>
    <col min="7687" max="7687" width="15" style="344" bestFit="1" customWidth="1"/>
    <col min="7688" max="7688" width="19.1640625" style="344" bestFit="1" customWidth="1"/>
    <col min="7689" max="7689" width="18.5" style="344" customWidth="1"/>
    <col min="7690" max="7690" width="16.6640625" style="344" customWidth="1"/>
    <col min="7691" max="7691" width="21" style="344" bestFit="1" customWidth="1"/>
    <col min="7692" max="7692" width="20.1640625" style="344" bestFit="1" customWidth="1"/>
    <col min="7693" max="7693" width="14.1640625" style="344" bestFit="1" customWidth="1"/>
    <col min="7694" max="7694" width="16.83203125" style="344" customWidth="1"/>
    <col min="7695" max="7936" width="9.1640625" style="344"/>
    <col min="7937" max="7937" width="2.5" style="344" customWidth="1"/>
    <col min="7938" max="7938" width="15.5" style="344" bestFit="1" customWidth="1"/>
    <col min="7939" max="7939" width="3.5" style="344" customWidth="1"/>
    <col min="7940" max="7941" width="15" style="344" customWidth="1"/>
    <col min="7942" max="7942" width="16.6640625" style="344" customWidth="1"/>
    <col min="7943" max="7943" width="15" style="344" bestFit="1" customWidth="1"/>
    <col min="7944" max="7944" width="19.1640625" style="344" bestFit="1" customWidth="1"/>
    <col min="7945" max="7945" width="18.5" style="344" customWidth="1"/>
    <col min="7946" max="7946" width="16.6640625" style="344" customWidth="1"/>
    <col min="7947" max="7947" width="21" style="344" bestFit="1" customWidth="1"/>
    <col min="7948" max="7948" width="20.1640625" style="344" bestFit="1" customWidth="1"/>
    <col min="7949" max="7949" width="14.1640625" style="344" bestFit="1" customWidth="1"/>
    <col min="7950" max="7950" width="16.83203125" style="344" customWidth="1"/>
    <col min="7951" max="8192" width="9.1640625" style="344"/>
    <col min="8193" max="8193" width="2.5" style="344" customWidth="1"/>
    <col min="8194" max="8194" width="15.5" style="344" bestFit="1" customWidth="1"/>
    <col min="8195" max="8195" width="3.5" style="344" customWidth="1"/>
    <col min="8196" max="8197" width="15" style="344" customWidth="1"/>
    <col min="8198" max="8198" width="16.6640625" style="344" customWidth="1"/>
    <col min="8199" max="8199" width="15" style="344" bestFit="1" customWidth="1"/>
    <col min="8200" max="8200" width="19.1640625" style="344" bestFit="1" customWidth="1"/>
    <col min="8201" max="8201" width="18.5" style="344" customWidth="1"/>
    <col min="8202" max="8202" width="16.6640625" style="344" customWidth="1"/>
    <col min="8203" max="8203" width="21" style="344" bestFit="1" customWidth="1"/>
    <col min="8204" max="8204" width="20.1640625" style="344" bestFit="1" customWidth="1"/>
    <col min="8205" max="8205" width="14.1640625" style="344" bestFit="1" customWidth="1"/>
    <col min="8206" max="8206" width="16.83203125" style="344" customWidth="1"/>
    <col min="8207" max="8448" width="9.1640625" style="344"/>
    <col min="8449" max="8449" width="2.5" style="344" customWidth="1"/>
    <col min="8450" max="8450" width="15.5" style="344" bestFit="1" customWidth="1"/>
    <col min="8451" max="8451" width="3.5" style="344" customWidth="1"/>
    <col min="8452" max="8453" width="15" style="344" customWidth="1"/>
    <col min="8454" max="8454" width="16.6640625" style="344" customWidth="1"/>
    <col min="8455" max="8455" width="15" style="344" bestFit="1" customWidth="1"/>
    <col min="8456" max="8456" width="19.1640625" style="344" bestFit="1" customWidth="1"/>
    <col min="8457" max="8457" width="18.5" style="344" customWidth="1"/>
    <col min="8458" max="8458" width="16.6640625" style="344" customWidth="1"/>
    <col min="8459" max="8459" width="21" style="344" bestFit="1" customWidth="1"/>
    <col min="8460" max="8460" width="20.1640625" style="344" bestFit="1" customWidth="1"/>
    <col min="8461" max="8461" width="14.1640625" style="344" bestFit="1" customWidth="1"/>
    <col min="8462" max="8462" width="16.83203125" style="344" customWidth="1"/>
    <col min="8463" max="8704" width="9.1640625" style="344"/>
    <col min="8705" max="8705" width="2.5" style="344" customWidth="1"/>
    <col min="8706" max="8706" width="15.5" style="344" bestFit="1" customWidth="1"/>
    <col min="8707" max="8707" width="3.5" style="344" customWidth="1"/>
    <col min="8708" max="8709" width="15" style="344" customWidth="1"/>
    <col min="8710" max="8710" width="16.6640625" style="344" customWidth="1"/>
    <col min="8711" max="8711" width="15" style="344" bestFit="1" customWidth="1"/>
    <col min="8712" max="8712" width="19.1640625" style="344" bestFit="1" customWidth="1"/>
    <col min="8713" max="8713" width="18.5" style="344" customWidth="1"/>
    <col min="8714" max="8714" width="16.6640625" style="344" customWidth="1"/>
    <col min="8715" max="8715" width="21" style="344" bestFit="1" customWidth="1"/>
    <col min="8716" max="8716" width="20.1640625" style="344" bestFit="1" customWidth="1"/>
    <col min="8717" max="8717" width="14.1640625" style="344" bestFit="1" customWidth="1"/>
    <col min="8718" max="8718" width="16.83203125" style="344" customWidth="1"/>
    <col min="8719" max="8960" width="9.1640625" style="344"/>
    <col min="8961" max="8961" width="2.5" style="344" customWidth="1"/>
    <col min="8962" max="8962" width="15.5" style="344" bestFit="1" customWidth="1"/>
    <col min="8963" max="8963" width="3.5" style="344" customWidth="1"/>
    <col min="8964" max="8965" width="15" style="344" customWidth="1"/>
    <col min="8966" max="8966" width="16.6640625" style="344" customWidth="1"/>
    <col min="8967" max="8967" width="15" style="344" bestFit="1" customWidth="1"/>
    <col min="8968" max="8968" width="19.1640625" style="344" bestFit="1" customWidth="1"/>
    <col min="8969" max="8969" width="18.5" style="344" customWidth="1"/>
    <col min="8970" max="8970" width="16.6640625" style="344" customWidth="1"/>
    <col min="8971" max="8971" width="21" style="344" bestFit="1" customWidth="1"/>
    <col min="8972" max="8972" width="20.1640625" style="344" bestFit="1" customWidth="1"/>
    <col min="8973" max="8973" width="14.1640625" style="344" bestFit="1" customWidth="1"/>
    <col min="8974" max="8974" width="16.83203125" style="344" customWidth="1"/>
    <col min="8975" max="9216" width="9.1640625" style="344"/>
    <col min="9217" max="9217" width="2.5" style="344" customWidth="1"/>
    <col min="9218" max="9218" width="15.5" style="344" bestFit="1" customWidth="1"/>
    <col min="9219" max="9219" width="3.5" style="344" customWidth="1"/>
    <col min="9220" max="9221" width="15" style="344" customWidth="1"/>
    <col min="9222" max="9222" width="16.6640625" style="344" customWidth="1"/>
    <col min="9223" max="9223" width="15" style="344" bestFit="1" customWidth="1"/>
    <col min="9224" max="9224" width="19.1640625" style="344" bestFit="1" customWidth="1"/>
    <col min="9225" max="9225" width="18.5" style="344" customWidth="1"/>
    <col min="9226" max="9226" width="16.6640625" style="344" customWidth="1"/>
    <col min="9227" max="9227" width="21" style="344" bestFit="1" customWidth="1"/>
    <col min="9228" max="9228" width="20.1640625" style="344" bestFit="1" customWidth="1"/>
    <col min="9229" max="9229" width="14.1640625" style="344" bestFit="1" customWidth="1"/>
    <col min="9230" max="9230" width="16.83203125" style="344" customWidth="1"/>
    <col min="9231" max="9472" width="9.1640625" style="344"/>
    <col min="9473" max="9473" width="2.5" style="344" customWidth="1"/>
    <col min="9474" max="9474" width="15.5" style="344" bestFit="1" customWidth="1"/>
    <col min="9475" max="9475" width="3.5" style="344" customWidth="1"/>
    <col min="9476" max="9477" width="15" style="344" customWidth="1"/>
    <col min="9478" max="9478" width="16.6640625" style="344" customWidth="1"/>
    <col min="9479" max="9479" width="15" style="344" bestFit="1" customWidth="1"/>
    <col min="9480" max="9480" width="19.1640625" style="344" bestFit="1" customWidth="1"/>
    <col min="9481" max="9481" width="18.5" style="344" customWidth="1"/>
    <col min="9482" max="9482" width="16.6640625" style="344" customWidth="1"/>
    <col min="9483" max="9483" width="21" style="344" bestFit="1" customWidth="1"/>
    <col min="9484" max="9484" width="20.1640625" style="344" bestFit="1" customWidth="1"/>
    <col min="9485" max="9485" width="14.1640625" style="344" bestFit="1" customWidth="1"/>
    <col min="9486" max="9486" width="16.83203125" style="344" customWidth="1"/>
    <col min="9487" max="9728" width="9.1640625" style="344"/>
    <col min="9729" max="9729" width="2.5" style="344" customWidth="1"/>
    <col min="9730" max="9730" width="15.5" style="344" bestFit="1" customWidth="1"/>
    <col min="9731" max="9731" width="3.5" style="344" customWidth="1"/>
    <col min="9732" max="9733" width="15" style="344" customWidth="1"/>
    <col min="9734" max="9734" width="16.6640625" style="344" customWidth="1"/>
    <col min="9735" max="9735" width="15" style="344" bestFit="1" customWidth="1"/>
    <col min="9736" max="9736" width="19.1640625" style="344" bestFit="1" customWidth="1"/>
    <col min="9737" max="9737" width="18.5" style="344" customWidth="1"/>
    <col min="9738" max="9738" width="16.6640625" style="344" customWidth="1"/>
    <col min="9739" max="9739" width="21" style="344" bestFit="1" customWidth="1"/>
    <col min="9740" max="9740" width="20.1640625" style="344" bestFit="1" customWidth="1"/>
    <col min="9741" max="9741" width="14.1640625" style="344" bestFit="1" customWidth="1"/>
    <col min="9742" max="9742" width="16.83203125" style="344" customWidth="1"/>
    <col min="9743" max="9984" width="9.1640625" style="344"/>
    <col min="9985" max="9985" width="2.5" style="344" customWidth="1"/>
    <col min="9986" max="9986" width="15.5" style="344" bestFit="1" customWidth="1"/>
    <col min="9987" max="9987" width="3.5" style="344" customWidth="1"/>
    <col min="9988" max="9989" width="15" style="344" customWidth="1"/>
    <col min="9990" max="9990" width="16.6640625" style="344" customWidth="1"/>
    <col min="9991" max="9991" width="15" style="344" bestFit="1" customWidth="1"/>
    <col min="9992" max="9992" width="19.1640625" style="344" bestFit="1" customWidth="1"/>
    <col min="9993" max="9993" width="18.5" style="344" customWidth="1"/>
    <col min="9994" max="9994" width="16.6640625" style="344" customWidth="1"/>
    <col min="9995" max="9995" width="21" style="344" bestFit="1" customWidth="1"/>
    <col min="9996" max="9996" width="20.1640625" style="344" bestFit="1" customWidth="1"/>
    <col min="9997" max="9997" width="14.1640625" style="344" bestFit="1" customWidth="1"/>
    <col min="9998" max="9998" width="16.83203125" style="344" customWidth="1"/>
    <col min="9999" max="10240" width="9.1640625" style="344"/>
    <col min="10241" max="10241" width="2.5" style="344" customWidth="1"/>
    <col min="10242" max="10242" width="15.5" style="344" bestFit="1" customWidth="1"/>
    <col min="10243" max="10243" width="3.5" style="344" customWidth="1"/>
    <col min="10244" max="10245" width="15" style="344" customWidth="1"/>
    <col min="10246" max="10246" width="16.6640625" style="344" customWidth="1"/>
    <col min="10247" max="10247" width="15" style="344" bestFit="1" customWidth="1"/>
    <col min="10248" max="10248" width="19.1640625" style="344" bestFit="1" customWidth="1"/>
    <col min="10249" max="10249" width="18.5" style="344" customWidth="1"/>
    <col min="10250" max="10250" width="16.6640625" style="344" customWidth="1"/>
    <col min="10251" max="10251" width="21" style="344" bestFit="1" customWidth="1"/>
    <col min="10252" max="10252" width="20.1640625" style="344" bestFit="1" customWidth="1"/>
    <col min="10253" max="10253" width="14.1640625" style="344" bestFit="1" customWidth="1"/>
    <col min="10254" max="10254" width="16.83203125" style="344" customWidth="1"/>
    <col min="10255" max="10496" width="9.1640625" style="344"/>
    <col min="10497" max="10497" width="2.5" style="344" customWidth="1"/>
    <col min="10498" max="10498" width="15.5" style="344" bestFit="1" customWidth="1"/>
    <col min="10499" max="10499" width="3.5" style="344" customWidth="1"/>
    <col min="10500" max="10501" width="15" style="344" customWidth="1"/>
    <col min="10502" max="10502" width="16.6640625" style="344" customWidth="1"/>
    <col min="10503" max="10503" width="15" style="344" bestFit="1" customWidth="1"/>
    <col min="10504" max="10504" width="19.1640625" style="344" bestFit="1" customWidth="1"/>
    <col min="10505" max="10505" width="18.5" style="344" customWidth="1"/>
    <col min="10506" max="10506" width="16.6640625" style="344" customWidth="1"/>
    <col min="10507" max="10507" width="21" style="344" bestFit="1" customWidth="1"/>
    <col min="10508" max="10508" width="20.1640625" style="344" bestFit="1" customWidth="1"/>
    <col min="10509" max="10509" width="14.1640625" style="344" bestFit="1" customWidth="1"/>
    <col min="10510" max="10510" width="16.83203125" style="344" customWidth="1"/>
    <col min="10511" max="10752" width="9.1640625" style="344"/>
    <col min="10753" max="10753" width="2.5" style="344" customWidth="1"/>
    <col min="10754" max="10754" width="15.5" style="344" bestFit="1" customWidth="1"/>
    <col min="10755" max="10755" width="3.5" style="344" customWidth="1"/>
    <col min="10756" max="10757" width="15" style="344" customWidth="1"/>
    <col min="10758" max="10758" width="16.6640625" style="344" customWidth="1"/>
    <col min="10759" max="10759" width="15" style="344" bestFit="1" customWidth="1"/>
    <col min="10760" max="10760" width="19.1640625" style="344" bestFit="1" customWidth="1"/>
    <col min="10761" max="10761" width="18.5" style="344" customWidth="1"/>
    <col min="10762" max="10762" width="16.6640625" style="344" customWidth="1"/>
    <col min="10763" max="10763" width="21" style="344" bestFit="1" customWidth="1"/>
    <col min="10764" max="10764" width="20.1640625" style="344" bestFit="1" customWidth="1"/>
    <col min="10765" max="10765" width="14.1640625" style="344" bestFit="1" customWidth="1"/>
    <col min="10766" max="10766" width="16.83203125" style="344" customWidth="1"/>
    <col min="10767" max="11008" width="9.1640625" style="344"/>
    <col min="11009" max="11009" width="2.5" style="344" customWidth="1"/>
    <col min="11010" max="11010" width="15.5" style="344" bestFit="1" customWidth="1"/>
    <col min="11011" max="11011" width="3.5" style="344" customWidth="1"/>
    <col min="11012" max="11013" width="15" style="344" customWidth="1"/>
    <col min="11014" max="11014" width="16.6640625" style="344" customWidth="1"/>
    <col min="11015" max="11015" width="15" style="344" bestFit="1" customWidth="1"/>
    <col min="11016" max="11016" width="19.1640625" style="344" bestFit="1" customWidth="1"/>
    <col min="11017" max="11017" width="18.5" style="344" customWidth="1"/>
    <col min="11018" max="11018" width="16.6640625" style="344" customWidth="1"/>
    <col min="11019" max="11019" width="21" style="344" bestFit="1" customWidth="1"/>
    <col min="11020" max="11020" width="20.1640625" style="344" bestFit="1" customWidth="1"/>
    <col min="11021" max="11021" width="14.1640625" style="344" bestFit="1" customWidth="1"/>
    <col min="11022" max="11022" width="16.83203125" style="344" customWidth="1"/>
    <col min="11023" max="11264" width="9.1640625" style="344"/>
    <col min="11265" max="11265" width="2.5" style="344" customWidth="1"/>
    <col min="11266" max="11266" width="15.5" style="344" bestFit="1" customWidth="1"/>
    <col min="11267" max="11267" width="3.5" style="344" customWidth="1"/>
    <col min="11268" max="11269" width="15" style="344" customWidth="1"/>
    <col min="11270" max="11270" width="16.6640625" style="344" customWidth="1"/>
    <col min="11271" max="11271" width="15" style="344" bestFit="1" customWidth="1"/>
    <col min="11272" max="11272" width="19.1640625" style="344" bestFit="1" customWidth="1"/>
    <col min="11273" max="11273" width="18.5" style="344" customWidth="1"/>
    <col min="11274" max="11274" width="16.6640625" style="344" customWidth="1"/>
    <col min="11275" max="11275" width="21" style="344" bestFit="1" customWidth="1"/>
    <col min="11276" max="11276" width="20.1640625" style="344" bestFit="1" customWidth="1"/>
    <col min="11277" max="11277" width="14.1640625" style="344" bestFit="1" customWidth="1"/>
    <col min="11278" max="11278" width="16.83203125" style="344" customWidth="1"/>
    <col min="11279" max="11520" width="9.1640625" style="344"/>
    <col min="11521" max="11521" width="2.5" style="344" customWidth="1"/>
    <col min="11522" max="11522" width="15.5" style="344" bestFit="1" customWidth="1"/>
    <col min="11523" max="11523" width="3.5" style="344" customWidth="1"/>
    <col min="11524" max="11525" width="15" style="344" customWidth="1"/>
    <col min="11526" max="11526" width="16.6640625" style="344" customWidth="1"/>
    <col min="11527" max="11527" width="15" style="344" bestFit="1" customWidth="1"/>
    <col min="11528" max="11528" width="19.1640625" style="344" bestFit="1" customWidth="1"/>
    <col min="11529" max="11529" width="18.5" style="344" customWidth="1"/>
    <col min="11530" max="11530" width="16.6640625" style="344" customWidth="1"/>
    <col min="11531" max="11531" width="21" style="344" bestFit="1" customWidth="1"/>
    <col min="11532" max="11532" width="20.1640625" style="344" bestFit="1" customWidth="1"/>
    <col min="11533" max="11533" width="14.1640625" style="344" bestFit="1" customWidth="1"/>
    <col min="11534" max="11534" width="16.83203125" style="344" customWidth="1"/>
    <col min="11535" max="11776" width="9.1640625" style="344"/>
    <col min="11777" max="11777" width="2.5" style="344" customWidth="1"/>
    <col min="11778" max="11778" width="15.5" style="344" bestFit="1" customWidth="1"/>
    <col min="11779" max="11779" width="3.5" style="344" customWidth="1"/>
    <col min="11780" max="11781" width="15" style="344" customWidth="1"/>
    <col min="11782" max="11782" width="16.6640625" style="344" customWidth="1"/>
    <col min="11783" max="11783" width="15" style="344" bestFit="1" customWidth="1"/>
    <col min="11784" max="11784" width="19.1640625" style="344" bestFit="1" customWidth="1"/>
    <col min="11785" max="11785" width="18.5" style="344" customWidth="1"/>
    <col min="11786" max="11786" width="16.6640625" style="344" customWidth="1"/>
    <col min="11787" max="11787" width="21" style="344" bestFit="1" customWidth="1"/>
    <col min="11788" max="11788" width="20.1640625" style="344" bestFit="1" customWidth="1"/>
    <col min="11789" max="11789" width="14.1640625" style="344" bestFit="1" customWidth="1"/>
    <col min="11790" max="11790" width="16.83203125" style="344" customWidth="1"/>
    <col min="11791" max="12032" width="9.1640625" style="344"/>
    <col min="12033" max="12033" width="2.5" style="344" customWidth="1"/>
    <col min="12034" max="12034" width="15.5" style="344" bestFit="1" customWidth="1"/>
    <col min="12035" max="12035" width="3.5" style="344" customWidth="1"/>
    <col min="12036" max="12037" width="15" style="344" customWidth="1"/>
    <col min="12038" max="12038" width="16.6640625" style="344" customWidth="1"/>
    <col min="12039" max="12039" width="15" style="344" bestFit="1" customWidth="1"/>
    <col min="12040" max="12040" width="19.1640625" style="344" bestFit="1" customWidth="1"/>
    <col min="12041" max="12041" width="18.5" style="344" customWidth="1"/>
    <col min="12042" max="12042" width="16.6640625" style="344" customWidth="1"/>
    <col min="12043" max="12043" width="21" style="344" bestFit="1" customWidth="1"/>
    <col min="12044" max="12044" width="20.1640625" style="344" bestFit="1" customWidth="1"/>
    <col min="12045" max="12045" width="14.1640625" style="344" bestFit="1" customWidth="1"/>
    <col min="12046" max="12046" width="16.83203125" style="344" customWidth="1"/>
    <col min="12047" max="12288" width="9.1640625" style="344"/>
    <col min="12289" max="12289" width="2.5" style="344" customWidth="1"/>
    <col min="12290" max="12290" width="15.5" style="344" bestFit="1" customWidth="1"/>
    <col min="12291" max="12291" width="3.5" style="344" customWidth="1"/>
    <col min="12292" max="12293" width="15" style="344" customWidth="1"/>
    <col min="12294" max="12294" width="16.6640625" style="344" customWidth="1"/>
    <col min="12295" max="12295" width="15" style="344" bestFit="1" customWidth="1"/>
    <col min="12296" max="12296" width="19.1640625" style="344" bestFit="1" customWidth="1"/>
    <col min="12297" max="12297" width="18.5" style="344" customWidth="1"/>
    <col min="12298" max="12298" width="16.6640625" style="344" customWidth="1"/>
    <col min="12299" max="12299" width="21" style="344" bestFit="1" customWidth="1"/>
    <col min="12300" max="12300" width="20.1640625" style="344" bestFit="1" customWidth="1"/>
    <col min="12301" max="12301" width="14.1640625" style="344" bestFit="1" customWidth="1"/>
    <col min="12302" max="12302" width="16.83203125" style="344" customWidth="1"/>
    <col min="12303" max="12544" width="9.1640625" style="344"/>
    <col min="12545" max="12545" width="2.5" style="344" customWidth="1"/>
    <col min="12546" max="12546" width="15.5" style="344" bestFit="1" customWidth="1"/>
    <col min="12547" max="12547" width="3.5" style="344" customWidth="1"/>
    <col min="12548" max="12549" width="15" style="344" customWidth="1"/>
    <col min="12550" max="12550" width="16.6640625" style="344" customWidth="1"/>
    <col min="12551" max="12551" width="15" style="344" bestFit="1" customWidth="1"/>
    <col min="12552" max="12552" width="19.1640625" style="344" bestFit="1" customWidth="1"/>
    <col min="12553" max="12553" width="18.5" style="344" customWidth="1"/>
    <col min="12554" max="12554" width="16.6640625" style="344" customWidth="1"/>
    <col min="12555" max="12555" width="21" style="344" bestFit="1" customWidth="1"/>
    <col min="12556" max="12556" width="20.1640625" style="344" bestFit="1" customWidth="1"/>
    <col min="12557" max="12557" width="14.1640625" style="344" bestFit="1" customWidth="1"/>
    <col min="12558" max="12558" width="16.83203125" style="344" customWidth="1"/>
    <col min="12559" max="12800" width="9.1640625" style="344"/>
    <col min="12801" max="12801" width="2.5" style="344" customWidth="1"/>
    <col min="12802" max="12802" width="15.5" style="344" bestFit="1" customWidth="1"/>
    <col min="12803" max="12803" width="3.5" style="344" customWidth="1"/>
    <col min="12804" max="12805" width="15" style="344" customWidth="1"/>
    <col min="12806" max="12806" width="16.6640625" style="344" customWidth="1"/>
    <col min="12807" max="12807" width="15" style="344" bestFit="1" customWidth="1"/>
    <col min="12808" max="12808" width="19.1640625" style="344" bestFit="1" customWidth="1"/>
    <col min="12809" max="12809" width="18.5" style="344" customWidth="1"/>
    <col min="12810" max="12810" width="16.6640625" style="344" customWidth="1"/>
    <col min="12811" max="12811" width="21" style="344" bestFit="1" customWidth="1"/>
    <col min="12812" max="12812" width="20.1640625" style="344" bestFit="1" customWidth="1"/>
    <col min="12813" max="12813" width="14.1640625" style="344" bestFit="1" customWidth="1"/>
    <col min="12814" max="12814" width="16.83203125" style="344" customWidth="1"/>
    <col min="12815" max="13056" width="9.1640625" style="344"/>
    <col min="13057" max="13057" width="2.5" style="344" customWidth="1"/>
    <col min="13058" max="13058" width="15.5" style="344" bestFit="1" customWidth="1"/>
    <col min="13059" max="13059" width="3.5" style="344" customWidth="1"/>
    <col min="13060" max="13061" width="15" style="344" customWidth="1"/>
    <col min="13062" max="13062" width="16.6640625" style="344" customWidth="1"/>
    <col min="13063" max="13063" width="15" style="344" bestFit="1" customWidth="1"/>
    <col min="13064" max="13064" width="19.1640625" style="344" bestFit="1" customWidth="1"/>
    <col min="13065" max="13065" width="18.5" style="344" customWidth="1"/>
    <col min="13066" max="13066" width="16.6640625" style="344" customWidth="1"/>
    <col min="13067" max="13067" width="21" style="344" bestFit="1" customWidth="1"/>
    <col min="13068" max="13068" width="20.1640625" style="344" bestFit="1" customWidth="1"/>
    <col min="13069" max="13069" width="14.1640625" style="344" bestFit="1" customWidth="1"/>
    <col min="13070" max="13070" width="16.83203125" style="344" customWidth="1"/>
    <col min="13071" max="13312" width="9.1640625" style="344"/>
    <col min="13313" max="13313" width="2.5" style="344" customWidth="1"/>
    <col min="13314" max="13314" width="15.5" style="344" bestFit="1" customWidth="1"/>
    <col min="13315" max="13315" width="3.5" style="344" customWidth="1"/>
    <col min="13316" max="13317" width="15" style="344" customWidth="1"/>
    <col min="13318" max="13318" width="16.6640625" style="344" customWidth="1"/>
    <col min="13319" max="13319" width="15" style="344" bestFit="1" customWidth="1"/>
    <col min="13320" max="13320" width="19.1640625" style="344" bestFit="1" customWidth="1"/>
    <col min="13321" max="13321" width="18.5" style="344" customWidth="1"/>
    <col min="13322" max="13322" width="16.6640625" style="344" customWidth="1"/>
    <col min="13323" max="13323" width="21" style="344" bestFit="1" customWidth="1"/>
    <col min="13324" max="13324" width="20.1640625" style="344" bestFit="1" customWidth="1"/>
    <col min="13325" max="13325" width="14.1640625" style="344" bestFit="1" customWidth="1"/>
    <col min="13326" max="13326" width="16.83203125" style="344" customWidth="1"/>
    <col min="13327" max="13568" width="9.1640625" style="344"/>
    <col min="13569" max="13569" width="2.5" style="344" customWidth="1"/>
    <col min="13570" max="13570" width="15.5" style="344" bestFit="1" customWidth="1"/>
    <col min="13571" max="13571" width="3.5" style="344" customWidth="1"/>
    <col min="13572" max="13573" width="15" style="344" customWidth="1"/>
    <col min="13574" max="13574" width="16.6640625" style="344" customWidth="1"/>
    <col min="13575" max="13575" width="15" style="344" bestFit="1" customWidth="1"/>
    <col min="13576" max="13576" width="19.1640625" style="344" bestFit="1" customWidth="1"/>
    <col min="13577" max="13577" width="18.5" style="344" customWidth="1"/>
    <col min="13578" max="13578" width="16.6640625" style="344" customWidth="1"/>
    <col min="13579" max="13579" width="21" style="344" bestFit="1" customWidth="1"/>
    <col min="13580" max="13580" width="20.1640625" style="344" bestFit="1" customWidth="1"/>
    <col min="13581" max="13581" width="14.1640625" style="344" bestFit="1" customWidth="1"/>
    <col min="13582" max="13582" width="16.83203125" style="344" customWidth="1"/>
    <col min="13583" max="13824" width="9.1640625" style="344"/>
    <col min="13825" max="13825" width="2.5" style="344" customWidth="1"/>
    <col min="13826" max="13826" width="15.5" style="344" bestFit="1" customWidth="1"/>
    <col min="13827" max="13827" width="3.5" style="344" customWidth="1"/>
    <col min="13828" max="13829" width="15" style="344" customWidth="1"/>
    <col min="13830" max="13830" width="16.6640625" style="344" customWidth="1"/>
    <col min="13831" max="13831" width="15" style="344" bestFit="1" customWidth="1"/>
    <col min="13832" max="13832" width="19.1640625" style="344" bestFit="1" customWidth="1"/>
    <col min="13833" max="13833" width="18.5" style="344" customWidth="1"/>
    <col min="13834" max="13834" width="16.6640625" style="344" customWidth="1"/>
    <col min="13835" max="13835" width="21" style="344" bestFit="1" customWidth="1"/>
    <col min="13836" max="13836" width="20.1640625" style="344" bestFit="1" customWidth="1"/>
    <col min="13837" max="13837" width="14.1640625" style="344" bestFit="1" customWidth="1"/>
    <col min="13838" max="13838" width="16.83203125" style="344" customWidth="1"/>
    <col min="13839" max="14080" width="9.1640625" style="344"/>
    <col min="14081" max="14081" width="2.5" style="344" customWidth="1"/>
    <col min="14082" max="14082" width="15.5" style="344" bestFit="1" customWidth="1"/>
    <col min="14083" max="14083" width="3.5" style="344" customWidth="1"/>
    <col min="14084" max="14085" width="15" style="344" customWidth="1"/>
    <col min="14086" max="14086" width="16.6640625" style="344" customWidth="1"/>
    <col min="14087" max="14087" width="15" style="344" bestFit="1" customWidth="1"/>
    <col min="14088" max="14088" width="19.1640625" style="344" bestFit="1" customWidth="1"/>
    <col min="14089" max="14089" width="18.5" style="344" customWidth="1"/>
    <col min="14090" max="14090" width="16.6640625" style="344" customWidth="1"/>
    <col min="14091" max="14091" width="21" style="344" bestFit="1" customWidth="1"/>
    <col min="14092" max="14092" width="20.1640625" style="344" bestFit="1" customWidth="1"/>
    <col min="14093" max="14093" width="14.1640625" style="344" bestFit="1" customWidth="1"/>
    <col min="14094" max="14094" width="16.83203125" style="344" customWidth="1"/>
    <col min="14095" max="14336" width="9.1640625" style="344"/>
    <col min="14337" max="14337" width="2.5" style="344" customWidth="1"/>
    <col min="14338" max="14338" width="15.5" style="344" bestFit="1" customWidth="1"/>
    <col min="14339" max="14339" width="3.5" style="344" customWidth="1"/>
    <col min="14340" max="14341" width="15" style="344" customWidth="1"/>
    <col min="14342" max="14342" width="16.6640625" style="344" customWidth="1"/>
    <col min="14343" max="14343" width="15" style="344" bestFit="1" customWidth="1"/>
    <col min="14344" max="14344" width="19.1640625" style="344" bestFit="1" customWidth="1"/>
    <col min="14345" max="14345" width="18.5" style="344" customWidth="1"/>
    <col min="14346" max="14346" width="16.6640625" style="344" customWidth="1"/>
    <col min="14347" max="14347" width="21" style="344" bestFit="1" customWidth="1"/>
    <col min="14348" max="14348" width="20.1640625" style="344" bestFit="1" customWidth="1"/>
    <col min="14349" max="14349" width="14.1640625" style="344" bestFit="1" customWidth="1"/>
    <col min="14350" max="14350" width="16.83203125" style="344" customWidth="1"/>
    <col min="14351" max="14592" width="9.1640625" style="344"/>
    <col min="14593" max="14593" width="2.5" style="344" customWidth="1"/>
    <col min="14594" max="14594" width="15.5" style="344" bestFit="1" customWidth="1"/>
    <col min="14595" max="14595" width="3.5" style="344" customWidth="1"/>
    <col min="14596" max="14597" width="15" style="344" customWidth="1"/>
    <col min="14598" max="14598" width="16.6640625" style="344" customWidth="1"/>
    <col min="14599" max="14599" width="15" style="344" bestFit="1" customWidth="1"/>
    <col min="14600" max="14600" width="19.1640625" style="344" bestFit="1" customWidth="1"/>
    <col min="14601" max="14601" width="18.5" style="344" customWidth="1"/>
    <col min="14602" max="14602" width="16.6640625" style="344" customWidth="1"/>
    <col min="14603" max="14603" width="21" style="344" bestFit="1" customWidth="1"/>
    <col min="14604" max="14604" width="20.1640625" style="344" bestFit="1" customWidth="1"/>
    <col min="14605" max="14605" width="14.1640625" style="344" bestFit="1" customWidth="1"/>
    <col min="14606" max="14606" width="16.83203125" style="344" customWidth="1"/>
    <col min="14607" max="14848" width="9.1640625" style="344"/>
    <col min="14849" max="14849" width="2.5" style="344" customWidth="1"/>
    <col min="14850" max="14850" width="15.5" style="344" bestFit="1" customWidth="1"/>
    <col min="14851" max="14851" width="3.5" style="344" customWidth="1"/>
    <col min="14852" max="14853" width="15" style="344" customWidth="1"/>
    <col min="14854" max="14854" width="16.6640625" style="344" customWidth="1"/>
    <col min="14855" max="14855" width="15" style="344" bestFit="1" customWidth="1"/>
    <col min="14856" max="14856" width="19.1640625" style="344" bestFit="1" customWidth="1"/>
    <col min="14857" max="14857" width="18.5" style="344" customWidth="1"/>
    <col min="14858" max="14858" width="16.6640625" style="344" customWidth="1"/>
    <col min="14859" max="14859" width="21" style="344" bestFit="1" customWidth="1"/>
    <col min="14860" max="14860" width="20.1640625" style="344" bestFit="1" customWidth="1"/>
    <col min="14861" max="14861" width="14.1640625" style="344" bestFit="1" customWidth="1"/>
    <col min="14862" max="14862" width="16.83203125" style="344" customWidth="1"/>
    <col min="14863" max="15104" width="9.1640625" style="344"/>
    <col min="15105" max="15105" width="2.5" style="344" customWidth="1"/>
    <col min="15106" max="15106" width="15.5" style="344" bestFit="1" customWidth="1"/>
    <col min="15107" max="15107" width="3.5" style="344" customWidth="1"/>
    <col min="15108" max="15109" width="15" style="344" customWidth="1"/>
    <col min="15110" max="15110" width="16.6640625" style="344" customWidth="1"/>
    <col min="15111" max="15111" width="15" style="344" bestFit="1" customWidth="1"/>
    <col min="15112" max="15112" width="19.1640625" style="344" bestFit="1" customWidth="1"/>
    <col min="15113" max="15113" width="18.5" style="344" customWidth="1"/>
    <col min="15114" max="15114" width="16.6640625" style="344" customWidth="1"/>
    <col min="15115" max="15115" width="21" style="344" bestFit="1" customWidth="1"/>
    <col min="15116" max="15116" width="20.1640625" style="344" bestFit="1" customWidth="1"/>
    <col min="15117" max="15117" width="14.1640625" style="344" bestFit="1" customWidth="1"/>
    <col min="15118" max="15118" width="16.83203125" style="344" customWidth="1"/>
    <col min="15119" max="15360" width="9.1640625" style="344"/>
    <col min="15361" max="15361" width="2.5" style="344" customWidth="1"/>
    <col min="15362" max="15362" width="15.5" style="344" bestFit="1" customWidth="1"/>
    <col min="15363" max="15363" width="3.5" style="344" customWidth="1"/>
    <col min="15364" max="15365" width="15" style="344" customWidth="1"/>
    <col min="15366" max="15366" width="16.6640625" style="344" customWidth="1"/>
    <col min="15367" max="15367" width="15" style="344" bestFit="1" customWidth="1"/>
    <col min="15368" max="15368" width="19.1640625" style="344" bestFit="1" customWidth="1"/>
    <col min="15369" max="15369" width="18.5" style="344" customWidth="1"/>
    <col min="15370" max="15370" width="16.6640625" style="344" customWidth="1"/>
    <col min="15371" max="15371" width="21" style="344" bestFit="1" customWidth="1"/>
    <col min="15372" max="15372" width="20.1640625" style="344" bestFit="1" customWidth="1"/>
    <col min="15373" max="15373" width="14.1640625" style="344" bestFit="1" customWidth="1"/>
    <col min="15374" max="15374" width="16.83203125" style="344" customWidth="1"/>
    <col min="15375" max="15616" width="9.1640625" style="344"/>
    <col min="15617" max="15617" width="2.5" style="344" customWidth="1"/>
    <col min="15618" max="15618" width="15.5" style="344" bestFit="1" customWidth="1"/>
    <col min="15619" max="15619" width="3.5" style="344" customWidth="1"/>
    <col min="15620" max="15621" width="15" style="344" customWidth="1"/>
    <col min="15622" max="15622" width="16.6640625" style="344" customWidth="1"/>
    <col min="15623" max="15623" width="15" style="344" bestFit="1" customWidth="1"/>
    <col min="15624" max="15624" width="19.1640625" style="344" bestFit="1" customWidth="1"/>
    <col min="15625" max="15625" width="18.5" style="344" customWidth="1"/>
    <col min="15626" max="15626" width="16.6640625" style="344" customWidth="1"/>
    <col min="15627" max="15627" width="21" style="344" bestFit="1" customWidth="1"/>
    <col min="15628" max="15628" width="20.1640625" style="344" bestFit="1" customWidth="1"/>
    <col min="15629" max="15629" width="14.1640625" style="344" bestFit="1" customWidth="1"/>
    <col min="15630" max="15630" width="16.83203125" style="344" customWidth="1"/>
    <col min="15631" max="15872" width="9.1640625" style="344"/>
    <col min="15873" max="15873" width="2.5" style="344" customWidth="1"/>
    <col min="15874" max="15874" width="15.5" style="344" bestFit="1" customWidth="1"/>
    <col min="15875" max="15875" width="3.5" style="344" customWidth="1"/>
    <col min="15876" max="15877" width="15" style="344" customWidth="1"/>
    <col min="15878" max="15878" width="16.6640625" style="344" customWidth="1"/>
    <col min="15879" max="15879" width="15" style="344" bestFit="1" customWidth="1"/>
    <col min="15880" max="15880" width="19.1640625" style="344" bestFit="1" customWidth="1"/>
    <col min="15881" max="15881" width="18.5" style="344" customWidth="1"/>
    <col min="15882" max="15882" width="16.6640625" style="344" customWidth="1"/>
    <col min="15883" max="15883" width="21" style="344" bestFit="1" customWidth="1"/>
    <col min="15884" max="15884" width="20.1640625" style="344" bestFit="1" customWidth="1"/>
    <col min="15885" max="15885" width="14.1640625" style="344" bestFit="1" customWidth="1"/>
    <col min="15886" max="15886" width="16.83203125" style="344" customWidth="1"/>
    <col min="15887" max="16128" width="9.1640625" style="344"/>
    <col min="16129" max="16129" width="2.5" style="344" customWidth="1"/>
    <col min="16130" max="16130" width="15.5" style="344" bestFit="1" customWidth="1"/>
    <col min="16131" max="16131" width="3.5" style="344" customWidth="1"/>
    <col min="16132" max="16133" width="15" style="344" customWidth="1"/>
    <col min="16134" max="16134" width="16.6640625" style="344" customWidth="1"/>
    <col min="16135" max="16135" width="15" style="344" bestFit="1" customWidth="1"/>
    <col min="16136" max="16136" width="19.1640625" style="344" bestFit="1" customWidth="1"/>
    <col min="16137" max="16137" width="18.5" style="344" customWidth="1"/>
    <col min="16138" max="16138" width="16.6640625" style="344" customWidth="1"/>
    <col min="16139" max="16139" width="21" style="344" bestFit="1" customWidth="1"/>
    <col min="16140" max="16140" width="20.1640625" style="344" bestFit="1" customWidth="1"/>
    <col min="16141" max="16141" width="14.1640625" style="344" bestFit="1" customWidth="1"/>
    <col min="16142" max="16142" width="16.83203125" style="344" customWidth="1"/>
    <col min="16143" max="16384" width="9.1640625" style="344"/>
  </cols>
  <sheetData>
    <row r="1" spans="1:17" ht="12.75">
      <c r="A1" s="359" t="s">
        <v>8</v>
      </c>
      <c r="C1" s="360"/>
      <c r="D1" s="360"/>
      <c r="E1" s="360"/>
      <c r="F1" s="360"/>
      <c r="G1" s="360"/>
      <c r="H1" s="361"/>
      <c r="I1" s="361"/>
      <c r="J1" s="361"/>
      <c r="K1" s="362"/>
      <c r="L1" s="362"/>
      <c r="M1" s="362"/>
      <c r="N1" s="362"/>
    </row>
    <row r="2" spans="1:17" ht="14.25" customHeight="1">
      <c r="A2" s="691" t="s">
        <v>746</v>
      </c>
      <c r="C2" s="360"/>
      <c r="D2" s="360"/>
      <c r="E2" s="360"/>
      <c r="F2" s="360"/>
      <c r="G2" s="360"/>
      <c r="H2" s="361"/>
      <c r="I2" s="361"/>
      <c r="J2" s="361"/>
      <c r="K2" s="362"/>
      <c r="L2" s="362"/>
      <c r="M2" s="362"/>
      <c r="N2" s="362"/>
    </row>
    <row r="3" spans="1:17" ht="12.75">
      <c r="A3" s="359" t="s">
        <v>709</v>
      </c>
      <c r="C3" s="360"/>
      <c r="D3" s="360"/>
      <c r="E3" s="360"/>
      <c r="F3" s="360"/>
      <c r="G3" s="360"/>
      <c r="H3" s="361"/>
      <c r="I3" s="361"/>
      <c r="J3" s="361"/>
      <c r="K3" s="362"/>
      <c r="L3" s="362"/>
      <c r="M3" s="362"/>
      <c r="N3" s="362"/>
    </row>
    <row r="4" spans="1:17" s="738" customFormat="1" ht="12.75">
      <c r="A4" s="361"/>
      <c r="B4" s="40"/>
      <c r="C4" s="361"/>
      <c r="D4" s="922"/>
      <c r="E4" s="923" t="s">
        <v>742</v>
      </c>
      <c r="F4" s="361"/>
      <c r="G4" s="361"/>
      <c r="H4" s="361"/>
      <c r="I4" s="361"/>
      <c r="J4" s="361"/>
      <c r="K4" s="737"/>
      <c r="L4" s="737"/>
      <c r="M4" s="737"/>
      <c r="N4" s="737"/>
    </row>
    <row r="5" spans="1:17" s="738" customFormat="1" ht="12.75">
      <c r="A5" s="361"/>
      <c r="B5" s="361"/>
      <c r="C5" s="361"/>
      <c r="D5" s="924" t="s">
        <v>712</v>
      </c>
      <c r="E5" s="924" t="s">
        <v>713</v>
      </c>
      <c r="F5" s="693"/>
      <c r="G5" s="366" t="s">
        <v>752</v>
      </c>
      <c r="H5" s="366"/>
      <c r="I5" s="366"/>
      <c r="J5" s="366"/>
      <c r="K5" s="701" t="s">
        <v>714</v>
      </c>
      <c r="L5" s="367"/>
      <c r="M5" s="367"/>
      <c r="N5" s="367"/>
    </row>
    <row r="6" spans="1:17" ht="13.5" thickBot="1">
      <c r="A6" s="368"/>
      <c r="B6" s="368"/>
      <c r="C6" s="368"/>
      <c r="D6" s="369" t="s">
        <v>78</v>
      </c>
      <c r="E6" s="369" t="s">
        <v>78</v>
      </c>
      <c r="F6" s="370"/>
      <c r="G6" s="371"/>
      <c r="H6" s="372"/>
      <c r="I6" s="372"/>
      <c r="J6" s="372"/>
      <c r="K6" s="369" t="s">
        <v>78</v>
      </c>
      <c r="L6" s="372"/>
      <c r="M6" s="372"/>
      <c r="N6" s="372"/>
    </row>
    <row r="7" spans="1:17" ht="12.75">
      <c r="A7" s="360"/>
      <c r="B7" s="360"/>
      <c r="C7" s="360"/>
      <c r="D7" s="365" t="s">
        <v>79</v>
      </c>
      <c r="E7" s="373" t="s">
        <v>2</v>
      </c>
      <c r="F7" s="374" t="s">
        <v>101</v>
      </c>
      <c r="G7" s="365" t="s">
        <v>12</v>
      </c>
      <c r="H7" s="366" t="s">
        <v>13</v>
      </c>
      <c r="I7" s="366" t="s">
        <v>102</v>
      </c>
      <c r="J7" s="366" t="s">
        <v>11</v>
      </c>
      <c r="K7" s="373" t="s">
        <v>12</v>
      </c>
      <c r="L7" s="373" t="s">
        <v>13</v>
      </c>
      <c r="M7" s="375" t="s">
        <v>103</v>
      </c>
      <c r="N7" s="373" t="s">
        <v>104</v>
      </c>
      <c r="O7" s="326" t="s">
        <v>2</v>
      </c>
    </row>
    <row r="8" spans="1:17" ht="12.75">
      <c r="A8" s="362"/>
      <c r="B8" s="373" t="s">
        <v>626</v>
      </c>
      <c r="C8" s="376"/>
      <c r="D8" s="373" t="s">
        <v>20</v>
      </c>
      <c r="E8" s="373"/>
      <c r="F8" s="375" t="s">
        <v>2</v>
      </c>
      <c r="G8" s="373" t="s">
        <v>3</v>
      </c>
      <c r="H8" s="377" t="s">
        <v>3</v>
      </c>
      <c r="I8" s="377" t="s">
        <v>620</v>
      </c>
      <c r="J8" s="377" t="s">
        <v>9</v>
      </c>
      <c r="K8" s="373" t="s">
        <v>17</v>
      </c>
      <c r="L8" s="375" t="s">
        <v>17</v>
      </c>
      <c r="M8" s="373" t="s">
        <v>11</v>
      </c>
      <c r="N8" s="373" t="s">
        <v>103</v>
      </c>
      <c r="O8" s="328" t="s">
        <v>29</v>
      </c>
    </row>
    <row r="9" spans="1:17" ht="12.75">
      <c r="A9" s="362"/>
      <c r="B9" s="373" t="s">
        <v>6</v>
      </c>
      <c r="C9" s="376"/>
      <c r="D9" s="377" t="s">
        <v>105</v>
      </c>
      <c r="E9" s="377" t="s">
        <v>23</v>
      </c>
      <c r="F9" s="375" t="s">
        <v>24</v>
      </c>
      <c r="G9" s="377" t="s">
        <v>106</v>
      </c>
      <c r="H9" s="375" t="s">
        <v>627</v>
      </c>
      <c r="I9" s="377" t="s">
        <v>25</v>
      </c>
      <c r="J9" s="377" t="s">
        <v>108</v>
      </c>
      <c r="K9" s="377" t="s">
        <v>628</v>
      </c>
      <c r="L9" s="375" t="s">
        <v>629</v>
      </c>
      <c r="M9" s="377" t="s">
        <v>80</v>
      </c>
      <c r="N9" s="377" t="s">
        <v>111</v>
      </c>
      <c r="O9" s="328" t="s">
        <v>27</v>
      </c>
    </row>
    <row r="10" spans="1:17" ht="13.5" thickBot="1">
      <c r="A10" s="368"/>
      <c r="B10" s="378"/>
      <c r="C10" s="378"/>
      <c r="D10" s="372"/>
      <c r="E10" s="372"/>
      <c r="F10" s="379"/>
      <c r="G10" s="692" t="s">
        <v>710</v>
      </c>
      <c r="H10" s="379" t="s">
        <v>630</v>
      </c>
      <c r="I10" s="372"/>
      <c r="J10" s="372"/>
      <c r="K10" s="372" t="s">
        <v>631</v>
      </c>
      <c r="L10" s="380" t="s">
        <v>632</v>
      </c>
      <c r="M10" s="372"/>
      <c r="N10" s="372"/>
      <c r="O10" s="331"/>
    </row>
    <row r="11" spans="1:17" ht="12.75" hidden="1" outlineLevel="1">
      <c r="A11" s="362"/>
      <c r="B11" s="385">
        <v>42004</v>
      </c>
      <c r="C11" s="376"/>
      <c r="D11" s="377"/>
      <c r="E11" s="377"/>
      <c r="F11" s="375"/>
      <c r="G11" s="570"/>
      <c r="H11" s="375"/>
      <c r="I11" s="377"/>
      <c r="J11" s="377"/>
      <c r="K11" s="377"/>
      <c r="L11" s="571"/>
      <c r="M11" s="377"/>
      <c r="N11" s="377"/>
      <c r="O11" s="409"/>
    </row>
    <row r="12" spans="1:17" ht="12.75" hidden="1" outlineLevel="1">
      <c r="A12" s="362"/>
      <c r="B12" s="385">
        <v>42035</v>
      </c>
      <c r="C12" s="376"/>
      <c r="D12" s="377"/>
      <c r="E12" s="377"/>
      <c r="F12" s="375"/>
      <c r="G12" s="570"/>
      <c r="H12" s="375"/>
      <c r="I12" s="377"/>
      <c r="J12" s="377"/>
      <c r="K12" s="377"/>
      <c r="L12" s="571"/>
      <c r="M12" s="377"/>
      <c r="N12" s="377"/>
      <c r="O12" s="409"/>
    </row>
    <row r="13" spans="1:17" ht="12.6" hidden="1" customHeight="1" outlineLevel="1">
      <c r="A13" s="360"/>
      <c r="B13" s="385">
        <v>42063</v>
      </c>
      <c r="C13" s="360"/>
      <c r="D13" s="365"/>
      <c r="E13" s="381"/>
      <c r="F13" s="382"/>
      <c r="G13" s="365"/>
      <c r="H13" s="366"/>
      <c r="I13" s="383"/>
      <c r="J13" s="383"/>
      <c r="K13" s="384"/>
      <c r="L13" s="384"/>
      <c r="M13" s="384"/>
      <c r="N13" s="384"/>
    </row>
    <row r="14" spans="1:17" ht="12.75" hidden="1" outlineLevel="1">
      <c r="A14" s="360"/>
      <c r="B14" s="385">
        <v>42094</v>
      </c>
      <c r="C14" s="386"/>
      <c r="D14" s="387"/>
      <c r="E14" s="388">
        <f>E13+D14</f>
        <v>0</v>
      </c>
      <c r="F14" s="389"/>
      <c r="G14" s="381"/>
      <c r="H14" s="390"/>
      <c r="I14" s="383"/>
      <c r="J14" s="383"/>
      <c r="K14" s="391">
        <f>(-D14*0.35)+(G14*0.35)</f>
        <v>0</v>
      </c>
      <c r="L14" s="391">
        <f>L13+K14</f>
        <v>0</v>
      </c>
      <c r="M14" s="391"/>
      <c r="N14" s="384"/>
    </row>
    <row r="15" spans="1:17" ht="12.75" hidden="1" outlineLevel="1">
      <c r="A15" s="360"/>
      <c r="B15" s="385">
        <v>41759</v>
      </c>
      <c r="C15" s="386"/>
      <c r="D15" s="392">
        <v>-209506.55064940077</v>
      </c>
      <c r="E15" s="392">
        <f>E14+D15</f>
        <v>-209506.55064940077</v>
      </c>
      <c r="F15" s="389"/>
      <c r="G15" s="381"/>
      <c r="H15" s="390"/>
      <c r="I15" s="383"/>
      <c r="J15" s="383"/>
      <c r="K15" s="391">
        <f t="shared" ref="K15:K43" si="0">(-D15*0.35)+(G15*0.35)</f>
        <v>73327.29272729026</v>
      </c>
      <c r="L15" s="391">
        <f t="shared" ref="L15:L44" si="1">L14+K15</f>
        <v>73327.29272729026</v>
      </c>
      <c r="M15" s="391"/>
      <c r="N15" s="384"/>
      <c r="O15" s="399">
        <f>E15+H15+L15</f>
        <v>-136179.2579221105</v>
      </c>
      <c r="Q15" s="462"/>
    </row>
    <row r="16" spans="1:17" ht="12.75" hidden="1" outlineLevel="1">
      <c r="A16" s="360"/>
      <c r="B16" s="385">
        <v>41790</v>
      </c>
      <c r="C16" s="385"/>
      <c r="D16" s="393">
        <v>-897885.21706886054</v>
      </c>
      <c r="E16" s="393">
        <f>E15+D16</f>
        <v>-1107391.7677182613</v>
      </c>
      <c r="F16" s="389"/>
      <c r="G16" s="394"/>
      <c r="H16" s="383"/>
      <c r="I16" s="383"/>
      <c r="J16" s="383"/>
      <c r="K16" s="389">
        <f t="shared" si="0"/>
        <v>314259.82597410114</v>
      </c>
      <c r="L16" s="389">
        <f t="shared" si="1"/>
        <v>387587.11870139139</v>
      </c>
      <c r="M16" s="389"/>
      <c r="N16" s="384"/>
      <c r="O16" s="399">
        <f t="shared" ref="O16:O68" si="2">E16+H16+L16</f>
        <v>-719804.64901686995</v>
      </c>
      <c r="P16" s="345"/>
      <c r="Q16" s="462"/>
    </row>
    <row r="17" spans="1:30" ht="12.75" hidden="1" outlineLevel="1">
      <c r="A17" s="360"/>
      <c r="B17" s="395">
        <v>41820</v>
      </c>
      <c r="C17" s="385"/>
      <c r="D17" s="393">
        <v>-897885.21706886054</v>
      </c>
      <c r="E17" s="393">
        <f t="shared" ref="E17:E80" si="3">E16+D17</f>
        <v>-2005276.9847871219</v>
      </c>
      <c r="F17" s="389"/>
      <c r="G17" s="393"/>
      <c r="H17" s="389"/>
      <c r="I17" s="383"/>
      <c r="J17" s="383"/>
      <c r="K17" s="389">
        <f>(-D17*0.35)+(G17*0.35)</f>
        <v>314259.82597410114</v>
      </c>
      <c r="L17" s="389">
        <f t="shared" si="1"/>
        <v>701846.94467549259</v>
      </c>
      <c r="M17" s="389"/>
      <c r="N17" s="384"/>
      <c r="O17" s="399">
        <f t="shared" si="2"/>
        <v>-1303430.0401116293</v>
      </c>
      <c r="P17" s="345"/>
      <c r="Q17" s="462"/>
    </row>
    <row r="18" spans="1:30" ht="12.75" hidden="1" outlineLevel="1">
      <c r="A18" s="360"/>
      <c r="B18" s="385">
        <v>41851</v>
      </c>
      <c r="C18" s="396"/>
      <c r="D18" s="393">
        <v>-897885.21706886054</v>
      </c>
      <c r="E18" s="393">
        <f t="shared" si="3"/>
        <v>-2903162.2018559827</v>
      </c>
      <c r="F18" s="389"/>
      <c r="G18" s="393"/>
      <c r="H18" s="389"/>
      <c r="I18" s="383"/>
      <c r="J18" s="383"/>
      <c r="K18" s="389">
        <f t="shared" si="0"/>
        <v>314259.82597410114</v>
      </c>
      <c r="L18" s="389">
        <f t="shared" si="1"/>
        <v>1016106.7706495938</v>
      </c>
      <c r="M18" s="393"/>
      <c r="N18" s="384"/>
      <c r="O18" s="399">
        <f t="shared" si="2"/>
        <v>-1887055.4312063889</v>
      </c>
      <c r="P18" s="345"/>
      <c r="Q18" s="462"/>
    </row>
    <row r="19" spans="1:30" ht="12.75" hidden="1" outlineLevel="1">
      <c r="A19" s="360"/>
      <c r="B19" s="385">
        <v>41882</v>
      </c>
      <c r="C19" s="385"/>
      <c r="D19" s="393">
        <v>-897885.21706886054</v>
      </c>
      <c r="E19" s="393">
        <f t="shared" si="3"/>
        <v>-3801047.418924843</v>
      </c>
      <c r="F19" s="389"/>
      <c r="G19" s="393"/>
      <c r="H19" s="389"/>
      <c r="I19" s="389"/>
      <c r="J19" s="383"/>
      <c r="K19" s="389">
        <f>(-D19*0.35)+(G19*0.35)</f>
        <v>314259.82597410114</v>
      </c>
      <c r="L19" s="389">
        <f t="shared" si="1"/>
        <v>1330366.596623695</v>
      </c>
      <c r="M19" s="393"/>
      <c r="N19" s="384"/>
      <c r="O19" s="399">
        <f t="shared" si="2"/>
        <v>-2470680.822301148</v>
      </c>
      <c r="P19" s="345"/>
      <c r="Q19" s="462"/>
    </row>
    <row r="20" spans="1:30" ht="12.75" hidden="1" outlineLevel="1">
      <c r="A20" s="360"/>
      <c r="B20" s="385">
        <v>41912</v>
      </c>
      <c r="C20" s="385"/>
      <c r="D20" s="393">
        <v>-897885.21706886054</v>
      </c>
      <c r="E20" s="393">
        <f t="shared" si="3"/>
        <v>-4698932.6359937033</v>
      </c>
      <c r="F20" s="389"/>
      <c r="G20" s="393"/>
      <c r="H20" s="389"/>
      <c r="I20" s="389"/>
      <c r="J20" s="389"/>
      <c r="K20" s="389">
        <f>(-D20*0.35)+(G20*0.35)</f>
        <v>314259.82597410114</v>
      </c>
      <c r="L20" s="389">
        <f t="shared" si="1"/>
        <v>1644626.4225977962</v>
      </c>
      <c r="M20" s="393"/>
      <c r="N20" s="384"/>
      <c r="O20" s="399">
        <f t="shared" si="2"/>
        <v>-3054306.2133959071</v>
      </c>
      <c r="Q20" s="462"/>
    </row>
    <row r="21" spans="1:30" ht="12.75" hidden="1" outlineLevel="1">
      <c r="A21" s="360"/>
      <c r="B21" s="385">
        <v>41943</v>
      </c>
      <c r="C21" s="385"/>
      <c r="D21" s="393">
        <v>-897885.21706886054</v>
      </c>
      <c r="E21" s="393">
        <f t="shared" si="3"/>
        <v>-5596817.8530625636</v>
      </c>
      <c r="F21" s="389"/>
      <c r="G21" s="393"/>
      <c r="H21" s="389"/>
      <c r="I21" s="389"/>
      <c r="J21" s="389"/>
      <c r="K21" s="389">
        <f t="shared" si="0"/>
        <v>314259.82597410114</v>
      </c>
      <c r="L21" s="389">
        <f t="shared" si="1"/>
        <v>1958886.2485718974</v>
      </c>
      <c r="M21" s="393"/>
      <c r="N21" s="384"/>
      <c r="O21" s="399">
        <f>E21+H21+L21</f>
        <v>-3637931.6044906662</v>
      </c>
      <c r="Q21" s="462"/>
    </row>
    <row r="22" spans="1:30" ht="12.75" hidden="1" outlineLevel="1">
      <c r="A22" s="360"/>
      <c r="B22" s="385">
        <v>41973</v>
      </c>
      <c r="C22" s="385"/>
      <c r="D22" s="393">
        <v>-897885.21706886054</v>
      </c>
      <c r="E22" s="393">
        <f t="shared" si="3"/>
        <v>-6494703.0701314239</v>
      </c>
      <c r="F22" s="389">
        <f>(E14+E22+SUM(E15:E21)*2)/24</f>
        <v>-1964123.9123381323</v>
      </c>
      <c r="G22" s="393"/>
      <c r="H22" s="389"/>
      <c r="I22" s="389"/>
      <c r="J22" s="389">
        <f>F22+I22</f>
        <v>-1964123.9123381323</v>
      </c>
      <c r="K22" s="389">
        <f t="shared" si="0"/>
        <v>314259.82597410114</v>
      </c>
      <c r="L22" s="389">
        <f>L21+K22</f>
        <v>2273146.0745459986</v>
      </c>
      <c r="M22" s="389">
        <f>(L14+L22+SUM(L15:L21)*2)/24</f>
        <v>687443.36931834638</v>
      </c>
      <c r="N22" s="397">
        <f>M22+J22</f>
        <v>-1276680.543019786</v>
      </c>
      <c r="O22" s="399">
        <f t="shared" si="2"/>
        <v>-4221556.9955854248</v>
      </c>
      <c r="Q22" s="462"/>
    </row>
    <row r="23" spans="1:30" ht="12.75" hidden="1" outlineLevel="1">
      <c r="A23" s="360"/>
      <c r="B23" s="385">
        <v>42004</v>
      </c>
      <c r="C23" s="385"/>
      <c r="D23" s="393"/>
      <c r="E23" s="393">
        <f t="shared" si="3"/>
        <v>-6494703.0701314239</v>
      </c>
      <c r="F23" s="389">
        <f>(E11+E23+SUM(E12:E22)*2)/24</f>
        <v>-2505349.1681824178</v>
      </c>
      <c r="G23" s="393">
        <f>E23/47</f>
        <v>-138185.17170492391</v>
      </c>
      <c r="H23" s="389">
        <f>H22-G23</f>
        <v>138185.17170492391</v>
      </c>
      <c r="I23" s="389">
        <f>(H15+H23+SUM(H16:H22)*2)/24</f>
        <v>5757.7154877051626</v>
      </c>
      <c r="J23" s="389">
        <f>F23+I23</f>
        <v>-2499591.4526947127</v>
      </c>
      <c r="K23" s="389">
        <f t="shared" si="0"/>
        <v>-48364.810096723362</v>
      </c>
      <c r="L23" s="389">
        <f t="shared" si="1"/>
        <v>2224781.2644492751</v>
      </c>
      <c r="M23" s="389">
        <f>(L11+L23+SUM(L12:L22)*2)/24</f>
        <v>874857.00844314939</v>
      </c>
      <c r="N23" s="397">
        <f>M23+J23</f>
        <v>-1624734.4442515634</v>
      </c>
      <c r="O23" s="575">
        <f>E23+H23+L23</f>
        <v>-4131736.6339772251</v>
      </c>
      <c r="P23" s="551"/>
      <c r="Q23" s="462"/>
      <c r="R23" s="551"/>
      <c r="S23" s="551"/>
      <c r="T23" s="551"/>
      <c r="U23" s="551"/>
      <c r="V23" s="551"/>
      <c r="W23" s="551"/>
      <c r="X23" s="551"/>
      <c r="Y23" s="551"/>
      <c r="Z23" s="551"/>
      <c r="AA23" s="551"/>
      <c r="AB23" s="551"/>
      <c r="AC23" s="551"/>
      <c r="AD23" s="551"/>
    </row>
    <row r="24" spans="1:30" ht="12.75" hidden="1" outlineLevel="1">
      <c r="A24" s="360"/>
      <c r="B24" s="385">
        <v>42035</v>
      </c>
      <c r="C24" s="385"/>
      <c r="D24" s="393"/>
      <c r="E24" s="393">
        <f t="shared" si="3"/>
        <v>-6494703.0701314239</v>
      </c>
      <c r="F24" s="389">
        <f t="shared" ref="F24:F29" si="4">(E12+E24+SUM(E13:E23)*2)/24</f>
        <v>-3046574.4240267035</v>
      </c>
      <c r="G24" s="393">
        <f t="shared" ref="G24:G34" si="5">E24/47</f>
        <v>-138185.17170492391</v>
      </c>
      <c r="H24" s="389">
        <f t="shared" ref="H24:H68" si="6">H23-G24</f>
        <v>276370.34340984782</v>
      </c>
      <c r="I24" s="389">
        <f>(H15+H24+SUM(H16:H23)*2)/24</f>
        <v>23030.86195082065</v>
      </c>
      <c r="J24" s="389">
        <f t="shared" ref="J24:J44" si="7">F24+I24</f>
        <v>-3023543.5620758827</v>
      </c>
      <c r="K24" s="389">
        <f>(-D24*0.35)+(G24*0.35)</f>
        <v>-48364.810096723362</v>
      </c>
      <c r="L24" s="389">
        <f t="shared" si="1"/>
        <v>2176416.4543525516</v>
      </c>
      <c r="M24" s="389">
        <f t="shared" ref="M24:M31" si="8">(L12+L24+SUM(L13:L23)*2)/24</f>
        <v>1058240.2467265588</v>
      </c>
      <c r="N24" s="397">
        <f t="shared" ref="N24" si="9">M24+J24</f>
        <v>-1965303.3153493239</v>
      </c>
      <c r="O24" s="575">
        <f t="shared" si="2"/>
        <v>-4041916.2723690248</v>
      </c>
      <c r="P24" s="551"/>
      <c r="Q24" s="462"/>
      <c r="R24" s="551"/>
      <c r="S24" s="551"/>
      <c r="T24" s="551"/>
      <c r="U24" s="551"/>
      <c r="V24" s="551"/>
      <c r="W24" s="551"/>
      <c r="X24" s="551"/>
      <c r="Y24" s="551"/>
      <c r="Z24" s="551"/>
      <c r="AA24" s="551"/>
      <c r="AB24" s="551"/>
      <c r="AC24" s="551"/>
      <c r="AD24" s="551"/>
    </row>
    <row r="25" spans="1:30" ht="12.75" hidden="1" outlineLevel="1">
      <c r="A25" s="360"/>
      <c r="B25" s="385">
        <v>42063</v>
      </c>
      <c r="C25" s="385"/>
      <c r="D25" s="393"/>
      <c r="E25" s="393">
        <f t="shared" si="3"/>
        <v>-6494703.0701314239</v>
      </c>
      <c r="F25" s="389">
        <f t="shared" si="4"/>
        <v>-3587799.6798709887</v>
      </c>
      <c r="G25" s="393">
        <f t="shared" si="5"/>
        <v>-138185.17170492391</v>
      </c>
      <c r="H25" s="389">
        <f>H24-G25</f>
        <v>414555.51511477173</v>
      </c>
      <c r="I25" s="389">
        <f>(H15+H25+SUM(H16:H24)*2)/24</f>
        <v>51819.439389346466</v>
      </c>
      <c r="J25" s="389">
        <f t="shared" si="7"/>
        <v>-3535980.2404816421</v>
      </c>
      <c r="K25" s="389">
        <f t="shared" si="0"/>
        <v>-48364.810096723362</v>
      </c>
      <c r="L25" s="389">
        <f t="shared" si="1"/>
        <v>2128051.6442558281</v>
      </c>
      <c r="M25" s="389">
        <f t="shared" si="8"/>
        <v>1237593.0841685748</v>
      </c>
      <c r="N25" s="397">
        <f>M25+J25</f>
        <v>-2298387.1563130673</v>
      </c>
      <c r="O25" s="575">
        <f t="shared" si="2"/>
        <v>-3952095.9107608236</v>
      </c>
      <c r="P25" s="551"/>
      <c r="Q25" s="462"/>
      <c r="R25" s="551"/>
      <c r="S25" s="551"/>
      <c r="T25" s="551"/>
      <c r="U25" s="551"/>
      <c r="V25" s="551"/>
      <c r="W25" s="551"/>
      <c r="X25" s="551"/>
      <c r="Y25" s="551"/>
      <c r="Z25" s="551"/>
      <c r="AA25" s="551"/>
      <c r="AB25" s="551"/>
      <c r="AC25" s="551"/>
      <c r="AD25" s="551"/>
    </row>
    <row r="26" spans="1:30" s="551" customFormat="1" ht="12.75" hidden="1" outlineLevel="1">
      <c r="A26" s="360"/>
      <c r="B26" s="385">
        <v>42094</v>
      </c>
      <c r="C26" s="385"/>
      <c r="D26" s="393"/>
      <c r="E26" s="393">
        <f t="shared" si="3"/>
        <v>-6494703.0701314239</v>
      </c>
      <c r="F26" s="389">
        <f t="shared" si="4"/>
        <v>-4129024.9357152735</v>
      </c>
      <c r="G26" s="393">
        <f t="shared" si="5"/>
        <v>-138185.17170492391</v>
      </c>
      <c r="H26" s="389">
        <f t="shared" si="6"/>
        <v>552740.68681969563</v>
      </c>
      <c r="I26" s="389">
        <f>(H15+H26+SUM(H16:H25)*2)/24</f>
        <v>92123.447803282601</v>
      </c>
      <c r="J26" s="389">
        <f t="shared" si="7"/>
        <v>-4036901.4879119908</v>
      </c>
      <c r="K26" s="389">
        <f t="shared" si="0"/>
        <v>-48364.810096723362</v>
      </c>
      <c r="L26" s="389">
        <f t="shared" si="1"/>
        <v>2079686.8341591049</v>
      </c>
      <c r="M26" s="389">
        <f t="shared" si="8"/>
        <v>1412915.5207691968</v>
      </c>
      <c r="N26" s="397">
        <f t="shared" ref="N26:N39" si="10">M26+J26</f>
        <v>-2623985.9671427943</v>
      </c>
      <c r="O26" s="575">
        <f t="shared" si="2"/>
        <v>-3862275.5491526229</v>
      </c>
      <c r="Q26" s="462"/>
    </row>
    <row r="27" spans="1:30" s="551" customFormat="1" ht="12.75" hidden="1" outlineLevel="1">
      <c r="A27" s="360"/>
      <c r="B27" s="385">
        <v>42124</v>
      </c>
      <c r="C27" s="385"/>
      <c r="D27" s="393"/>
      <c r="E27" s="393">
        <f t="shared" si="3"/>
        <v>-6494703.0701314239</v>
      </c>
      <c r="F27" s="389">
        <f t="shared" si="4"/>
        <v>-4661520.7519491669</v>
      </c>
      <c r="G27" s="393">
        <f t="shared" si="5"/>
        <v>-138185.17170492391</v>
      </c>
      <c r="H27" s="389">
        <f t="shared" si="6"/>
        <v>690925.8585246196</v>
      </c>
      <c r="I27" s="389">
        <f>(H15+H27+SUM(H16:H26)*2)/24</f>
        <v>143942.88719262907</v>
      </c>
      <c r="J27" s="389">
        <f t="shared" si="7"/>
        <v>-4517577.8647565376</v>
      </c>
      <c r="K27" s="389">
        <f t="shared" si="0"/>
        <v>-48364.810096723362</v>
      </c>
      <c r="L27" s="389">
        <f t="shared" si="1"/>
        <v>2031322.0240623816</v>
      </c>
      <c r="M27" s="389">
        <f t="shared" si="8"/>
        <v>1581152.2526647884</v>
      </c>
      <c r="N27" s="397">
        <f t="shared" si="10"/>
        <v>-2936425.612091749</v>
      </c>
      <c r="O27" s="575">
        <f t="shared" si="2"/>
        <v>-3772455.1875444227</v>
      </c>
      <c r="Q27" s="462"/>
    </row>
    <row r="28" spans="1:30" s="551" customFormat="1" ht="12.75" hidden="1" outlineLevel="1">
      <c r="A28" s="360"/>
      <c r="B28" s="385">
        <v>42155</v>
      </c>
      <c r="C28" s="385"/>
      <c r="D28" s="393"/>
      <c r="E28" s="393">
        <f t="shared" si="3"/>
        <v>-6494703.0701314239</v>
      </c>
      <c r="F28" s="389">
        <f t="shared" si="4"/>
        <v>-5147875.2445281325</v>
      </c>
      <c r="G28" s="393">
        <f t="shared" si="5"/>
        <v>-138185.17170492391</v>
      </c>
      <c r="H28" s="389">
        <f t="shared" si="6"/>
        <v>829111.03022954357</v>
      </c>
      <c r="I28" s="389">
        <f>(H16+H28+SUM(H17:H27)*2)/24</f>
        <v>207277.75755738586</v>
      </c>
      <c r="J28" s="389">
        <f t="shared" si="7"/>
        <v>-4940597.4869707469</v>
      </c>
      <c r="K28" s="389">
        <f t="shared" si="0"/>
        <v>-48364.810096723362</v>
      </c>
      <c r="L28" s="389">
        <f t="shared" si="1"/>
        <v>1982957.2139656583</v>
      </c>
      <c r="M28" s="389">
        <f t="shared" si="8"/>
        <v>1729209.1204397616</v>
      </c>
      <c r="N28" s="397">
        <f t="shared" si="10"/>
        <v>-3211388.3665309856</v>
      </c>
      <c r="O28" s="575">
        <f t="shared" si="2"/>
        <v>-3682634.8259362224</v>
      </c>
      <c r="Q28" s="462"/>
    </row>
    <row r="29" spans="1:30" ht="12.75" hidden="1" outlineLevel="1">
      <c r="A29" s="360"/>
      <c r="B29" s="385">
        <v>42185</v>
      </c>
      <c r="C29" s="385"/>
      <c r="D29" s="393"/>
      <c r="E29" s="393">
        <f>E28+D29</f>
        <v>-6494703.0701314239</v>
      </c>
      <c r="F29" s="389">
        <f t="shared" si="4"/>
        <v>-5559405.9690180263</v>
      </c>
      <c r="G29" s="393">
        <f t="shared" si="5"/>
        <v>-138185.17170492391</v>
      </c>
      <c r="H29" s="389">
        <f t="shared" si="6"/>
        <v>967296.20193446754</v>
      </c>
      <c r="I29" s="389">
        <f>(H17+H29+SUM(H18:H28)*2)/24</f>
        <v>282128.05889755301</v>
      </c>
      <c r="J29" s="389">
        <f t="shared" si="7"/>
        <v>-5277277.9101204732</v>
      </c>
      <c r="K29" s="389">
        <f>(-D29*0.35)+(G29*0.35)</f>
        <v>-48364.810096723362</v>
      </c>
      <c r="L29" s="389">
        <f t="shared" si="1"/>
        <v>1934592.4038689351</v>
      </c>
      <c r="M29" s="389">
        <f t="shared" si="8"/>
        <v>1847047.2685421659</v>
      </c>
      <c r="N29" s="397">
        <f t="shared" si="10"/>
        <v>-3430230.6415783074</v>
      </c>
      <c r="O29" s="575">
        <f t="shared" si="2"/>
        <v>-3592814.4643280217</v>
      </c>
      <c r="P29" s="551"/>
      <c r="Q29" s="462"/>
      <c r="R29" s="551"/>
      <c r="S29" s="551"/>
      <c r="T29" s="551"/>
      <c r="U29" s="551"/>
      <c r="V29" s="551"/>
      <c r="W29" s="551"/>
      <c r="X29" s="551"/>
      <c r="Y29" s="551"/>
      <c r="Z29" s="551"/>
      <c r="AA29" s="551"/>
      <c r="AB29" s="551"/>
      <c r="AC29" s="551"/>
      <c r="AD29" s="551"/>
    </row>
    <row r="30" spans="1:30" ht="12.75" hidden="1" outlineLevel="1">
      <c r="A30" s="360"/>
      <c r="B30" s="385">
        <v>42216</v>
      </c>
      <c r="C30" s="385"/>
      <c r="D30" s="393"/>
      <c r="E30" s="393">
        <f t="shared" si="3"/>
        <v>-6494703.0701314239</v>
      </c>
      <c r="F30" s="389">
        <f>(E18+E30+SUM(E19:E29)*2)/24</f>
        <v>-5896112.9254188491</v>
      </c>
      <c r="G30" s="393">
        <f t="shared" si="5"/>
        <v>-138185.17170492391</v>
      </c>
      <c r="H30" s="389">
        <f t="shared" si="6"/>
        <v>1105481.3736393915</v>
      </c>
      <c r="I30" s="389">
        <f>(H18+H30+SUM(H19:H29)*2)/24</f>
        <v>368493.7912131304</v>
      </c>
      <c r="J30" s="389">
        <f t="shared" si="7"/>
        <v>-5527619.1342057185</v>
      </c>
      <c r="K30" s="389">
        <f>(-D30*0.35)+(G30*0.35)</f>
        <v>-48364.810096723362</v>
      </c>
      <c r="L30" s="389">
        <f t="shared" si="1"/>
        <v>1886227.5937722118</v>
      </c>
      <c r="M30" s="389">
        <f>(L18+L30+SUM(L19:L29)*2)/24</f>
        <v>1934666.696972002</v>
      </c>
      <c r="N30" s="397">
        <f>M30+J30</f>
        <v>-3592952.4372337162</v>
      </c>
      <c r="O30" s="575">
        <f t="shared" si="2"/>
        <v>-3502994.1027198201</v>
      </c>
      <c r="P30" s="551"/>
      <c r="Q30" s="462"/>
      <c r="R30" s="551"/>
      <c r="S30" s="551"/>
      <c r="T30" s="551"/>
      <c r="U30" s="551"/>
      <c r="V30" s="551"/>
      <c r="W30" s="551"/>
      <c r="X30" s="551"/>
      <c r="Y30" s="551"/>
      <c r="Z30" s="551"/>
      <c r="AA30" s="551"/>
      <c r="AB30" s="551"/>
      <c r="AC30" s="551"/>
      <c r="AD30" s="551"/>
    </row>
    <row r="31" spans="1:30" s="551" customFormat="1" ht="12.75" hidden="1" outlineLevel="1">
      <c r="A31" s="360"/>
      <c r="B31" s="385">
        <v>42247</v>
      </c>
      <c r="C31" s="385"/>
      <c r="D31" s="393"/>
      <c r="E31" s="393">
        <f t="shared" si="3"/>
        <v>-6494703.0701314239</v>
      </c>
      <c r="F31" s="389">
        <f>(E19+E31+SUM(E20:E30)*2)/24</f>
        <v>-6157996.113730601</v>
      </c>
      <c r="G31" s="393">
        <f t="shared" si="5"/>
        <v>-138185.17170492391</v>
      </c>
      <c r="H31" s="389">
        <f t="shared" si="6"/>
        <v>1243666.5453443155</v>
      </c>
      <c r="I31" s="389">
        <f t="shared" ref="I31:I39" si="11">(H19+H31+SUM(H20:H30)*2)/24</f>
        <v>466374.95450411824</v>
      </c>
      <c r="J31" s="389">
        <f t="shared" si="7"/>
        <v>-5691621.1592264827</v>
      </c>
      <c r="K31" s="389">
        <f>(-D31*0.35)+(G31*0.35)</f>
        <v>-48364.810096723362</v>
      </c>
      <c r="L31" s="389">
        <f t="shared" si="1"/>
        <v>1837862.7836754886</v>
      </c>
      <c r="M31" s="389">
        <f t="shared" si="8"/>
        <v>1992067.4057292689</v>
      </c>
      <c r="N31" s="397">
        <f t="shared" si="10"/>
        <v>-3699553.7534972141</v>
      </c>
      <c r="O31" s="575">
        <f t="shared" si="2"/>
        <v>-3413173.7411116199</v>
      </c>
      <c r="Q31" s="462"/>
    </row>
    <row r="32" spans="1:30" s="551" customFormat="1" ht="12.75" hidden="1" outlineLevel="1">
      <c r="A32" s="360"/>
      <c r="B32" s="385">
        <v>42277</v>
      </c>
      <c r="C32" s="385"/>
      <c r="D32" s="393"/>
      <c r="E32" s="393">
        <f t="shared" si="3"/>
        <v>-6494703.0701314239</v>
      </c>
      <c r="F32" s="389">
        <f t="shared" ref="F32:F39" si="12">(E20+E32+SUM(E21:E31)*2)/24</f>
        <v>-6345055.5339532802</v>
      </c>
      <c r="G32" s="393">
        <f t="shared" si="5"/>
        <v>-138185.17170492391</v>
      </c>
      <c r="H32" s="389">
        <f t="shared" si="6"/>
        <v>1381851.7170492394</v>
      </c>
      <c r="I32" s="389">
        <f t="shared" si="11"/>
        <v>575771.5487705163</v>
      </c>
      <c r="J32" s="389">
        <f t="shared" si="7"/>
        <v>-5769283.985182764</v>
      </c>
      <c r="K32" s="389">
        <f t="shared" si="0"/>
        <v>-48364.810096723362</v>
      </c>
      <c r="L32" s="389">
        <f t="shared" si="1"/>
        <v>1789497.9735787653</v>
      </c>
      <c r="M32" s="389">
        <f t="shared" ref="M32:M39" si="13">(L20+L32+SUM(L21:L31)*2)/24</f>
        <v>2019249.3948139676</v>
      </c>
      <c r="N32" s="397">
        <f t="shared" si="10"/>
        <v>-3750034.5903687961</v>
      </c>
      <c r="O32" s="575">
        <f t="shared" si="2"/>
        <v>-3323353.3795034196</v>
      </c>
      <c r="Q32" s="462"/>
    </row>
    <row r="33" spans="1:30" ht="12.75" hidden="1" outlineLevel="1">
      <c r="A33" s="360"/>
      <c r="B33" s="385">
        <v>42308</v>
      </c>
      <c r="C33" s="385"/>
      <c r="D33" s="393"/>
      <c r="E33" s="393">
        <f t="shared" si="3"/>
        <v>-6494703.0701314239</v>
      </c>
      <c r="F33" s="389">
        <f t="shared" si="12"/>
        <v>-6457291.1860868866</v>
      </c>
      <c r="G33" s="393">
        <f t="shared" si="5"/>
        <v>-138185.17170492391</v>
      </c>
      <c r="H33" s="389">
        <f t="shared" si="6"/>
        <v>1520036.8887541634</v>
      </c>
      <c r="I33" s="389">
        <f t="shared" si="11"/>
        <v>696683.5740123248</v>
      </c>
      <c r="J33" s="389">
        <f t="shared" si="7"/>
        <v>-5760607.6120745614</v>
      </c>
      <c r="K33" s="389">
        <f t="shared" si="0"/>
        <v>-48364.810096723362</v>
      </c>
      <c r="L33" s="389">
        <f t="shared" si="1"/>
        <v>1741133.163482042</v>
      </c>
      <c r="M33" s="389">
        <f t="shared" si="13"/>
        <v>2016212.6642260973</v>
      </c>
      <c r="N33" s="397">
        <f t="shared" si="10"/>
        <v>-3744394.9478484644</v>
      </c>
      <c r="O33" s="575">
        <f t="shared" si="2"/>
        <v>-3233533.017895218</v>
      </c>
      <c r="P33" s="551"/>
      <c r="Q33" s="462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551"/>
      <c r="AD33" s="551"/>
    </row>
    <row r="34" spans="1:30" ht="12.75" hidden="1" outlineLevel="1">
      <c r="A34" s="360"/>
      <c r="B34" s="385">
        <v>42338</v>
      </c>
      <c r="C34" s="385"/>
      <c r="D34" s="393"/>
      <c r="E34" s="393">
        <f t="shared" si="3"/>
        <v>-6494703.0701314239</v>
      </c>
      <c r="F34" s="389">
        <f>(E22+E34+SUM(E23:E33)*2)/24</f>
        <v>-6494703.070131422</v>
      </c>
      <c r="G34" s="393">
        <f t="shared" si="5"/>
        <v>-138185.17170492391</v>
      </c>
      <c r="H34" s="389">
        <f t="shared" si="6"/>
        <v>1658222.0604590874</v>
      </c>
      <c r="I34" s="389">
        <f>(H22+H34+SUM(H23:H33)*2)/24</f>
        <v>829111.03022954368</v>
      </c>
      <c r="J34" s="389">
        <f t="shared" si="7"/>
        <v>-5665592.0399018787</v>
      </c>
      <c r="K34" s="389">
        <f t="shared" si="0"/>
        <v>-48364.810096723362</v>
      </c>
      <c r="L34" s="389">
        <f t="shared" si="1"/>
        <v>1692768.3533853188</v>
      </c>
      <c r="M34" s="389">
        <f>(L22+L34+SUM(L23:L33)*2)/24</f>
        <v>1982957.2139656583</v>
      </c>
      <c r="N34" s="397">
        <f>M34+J34</f>
        <v>-3682634.8259362206</v>
      </c>
      <c r="O34" s="575">
        <f t="shared" si="2"/>
        <v>-3143712.6562870173</v>
      </c>
      <c r="P34" s="551"/>
      <c r="Q34" s="462"/>
      <c r="R34" s="551"/>
      <c r="S34" s="551"/>
      <c r="T34" s="551"/>
      <c r="U34" s="551"/>
      <c r="V34" s="551"/>
      <c r="W34" s="551"/>
      <c r="X34" s="551"/>
      <c r="Y34" s="551"/>
      <c r="Z34" s="551"/>
      <c r="AA34" s="551"/>
      <c r="AB34" s="551"/>
      <c r="AC34" s="551"/>
      <c r="AD34" s="551"/>
    </row>
    <row r="35" spans="1:30" s="551" customFormat="1" ht="12.75" hidden="1" outlineLevel="1">
      <c r="A35" s="360"/>
      <c r="B35" s="386">
        <v>42369</v>
      </c>
      <c r="C35" s="386"/>
      <c r="D35" s="392"/>
      <c r="E35" s="392">
        <f t="shared" si="3"/>
        <v>-6494703.0701314239</v>
      </c>
      <c r="F35" s="389">
        <f t="shared" si="12"/>
        <v>-6494703.070131422</v>
      </c>
      <c r="G35" s="392">
        <f>E35/47</f>
        <v>-138185.17170492391</v>
      </c>
      <c r="H35" s="391">
        <f t="shared" si="6"/>
        <v>1796407.2321640113</v>
      </c>
      <c r="I35" s="389">
        <f t="shared" si="11"/>
        <v>967296.20193446754</v>
      </c>
      <c r="J35" s="389">
        <f t="shared" si="7"/>
        <v>-5527406.868196955</v>
      </c>
      <c r="K35" s="391">
        <f t="shared" si="0"/>
        <v>-48364.810096723362</v>
      </c>
      <c r="L35" s="391">
        <f t="shared" si="1"/>
        <v>1644403.5432885955</v>
      </c>
      <c r="M35" s="389">
        <f t="shared" si="13"/>
        <v>1934592.4038689351</v>
      </c>
      <c r="N35" s="397">
        <f t="shared" si="10"/>
        <v>-3592814.4643280199</v>
      </c>
      <c r="O35" s="399">
        <f t="shared" si="2"/>
        <v>-3053892.294678817</v>
      </c>
      <c r="Q35" s="462"/>
    </row>
    <row r="36" spans="1:30" s="551" customFormat="1" ht="12.75" hidden="1" outlineLevel="1">
      <c r="A36" s="360"/>
      <c r="B36" s="386">
        <v>42400</v>
      </c>
      <c r="C36" s="386"/>
      <c r="D36" s="392"/>
      <c r="E36" s="392">
        <f t="shared" si="3"/>
        <v>-6494703.0701314239</v>
      </c>
      <c r="F36" s="389">
        <f t="shared" si="12"/>
        <v>-6494703.070131422</v>
      </c>
      <c r="G36" s="392">
        <f t="shared" ref="G36:G68" si="14">E36/47</f>
        <v>-138185.17170492391</v>
      </c>
      <c r="H36" s="391">
        <f>H35-G36</f>
        <v>1934592.4038689353</v>
      </c>
      <c r="I36" s="389">
        <f t="shared" si="11"/>
        <v>1105481.3736393915</v>
      </c>
      <c r="J36" s="389">
        <f t="shared" si="7"/>
        <v>-5389221.6964920303</v>
      </c>
      <c r="K36" s="391">
        <f t="shared" si="0"/>
        <v>-48364.810096723362</v>
      </c>
      <c r="L36" s="391">
        <f t="shared" si="1"/>
        <v>1596038.7331918722</v>
      </c>
      <c r="M36" s="389">
        <f t="shared" si="13"/>
        <v>1886227.593772212</v>
      </c>
      <c r="N36" s="397">
        <f t="shared" si="10"/>
        <v>-3502994.1027198182</v>
      </c>
      <c r="O36" s="399">
        <f t="shared" si="2"/>
        <v>-2964071.9330706168</v>
      </c>
      <c r="Q36" s="462"/>
    </row>
    <row r="37" spans="1:30" ht="12.75" hidden="1" outlineLevel="1">
      <c r="A37" s="360"/>
      <c r="B37" s="386">
        <v>42428</v>
      </c>
      <c r="C37" s="386"/>
      <c r="D37" s="392"/>
      <c r="E37" s="392">
        <f t="shared" si="3"/>
        <v>-6494703.0701314239</v>
      </c>
      <c r="F37" s="389">
        <f t="shared" si="12"/>
        <v>-6494703.070131422</v>
      </c>
      <c r="G37" s="392">
        <f t="shared" si="14"/>
        <v>-138185.17170492391</v>
      </c>
      <c r="H37" s="391">
        <f t="shared" si="6"/>
        <v>2072777.5755738593</v>
      </c>
      <c r="I37" s="389">
        <f t="shared" si="11"/>
        <v>1243666.5453443155</v>
      </c>
      <c r="J37" s="389">
        <f t="shared" si="7"/>
        <v>-5251036.5247871066</v>
      </c>
      <c r="K37" s="391">
        <f t="shared" si="0"/>
        <v>-48364.810096723362</v>
      </c>
      <c r="L37" s="391">
        <f t="shared" si="1"/>
        <v>1547673.923095149</v>
      </c>
      <c r="M37" s="389">
        <f t="shared" si="13"/>
        <v>1837862.7836754888</v>
      </c>
      <c r="N37" s="397">
        <f t="shared" si="10"/>
        <v>-3413173.7411116175</v>
      </c>
      <c r="O37" s="399">
        <f t="shared" si="2"/>
        <v>-2874251.5714624161</v>
      </c>
      <c r="P37" s="551"/>
      <c r="Q37" s="462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  <c r="AC37" s="551"/>
      <c r="AD37" s="551"/>
    </row>
    <row r="38" spans="1:30" ht="12.75" hidden="1" outlineLevel="1">
      <c r="A38" s="360"/>
      <c r="B38" s="386">
        <v>42460</v>
      </c>
      <c r="C38" s="386"/>
      <c r="D38" s="392"/>
      <c r="E38" s="392">
        <f t="shared" si="3"/>
        <v>-6494703.0701314239</v>
      </c>
      <c r="F38" s="389">
        <f t="shared" si="12"/>
        <v>-6494703.070131422</v>
      </c>
      <c r="G38" s="392">
        <f t="shared" si="14"/>
        <v>-138185.17170492391</v>
      </c>
      <c r="H38" s="391">
        <f t="shared" si="6"/>
        <v>2210962.747278783</v>
      </c>
      <c r="I38" s="389">
        <f>(H26+H38+SUM(H27:H37)*2)/24</f>
        <v>1381851.7170492394</v>
      </c>
      <c r="J38" s="389">
        <f t="shared" si="7"/>
        <v>-5112851.3530821828</v>
      </c>
      <c r="K38" s="391">
        <f t="shared" si="0"/>
        <v>-48364.810096723362</v>
      </c>
      <c r="L38" s="391">
        <f t="shared" si="1"/>
        <v>1499309.1129984257</v>
      </c>
      <c r="M38" s="389">
        <f t="shared" si="13"/>
        <v>1789497.9735787653</v>
      </c>
      <c r="N38" s="397">
        <f t="shared" si="10"/>
        <v>-3323353.3795034178</v>
      </c>
      <c r="O38" s="399">
        <f t="shared" si="2"/>
        <v>-2784431.2098542154</v>
      </c>
      <c r="Q38" s="462"/>
    </row>
    <row r="39" spans="1:30" s="551" customFormat="1" ht="12.75" hidden="1" outlineLevel="1">
      <c r="A39" s="360"/>
      <c r="B39" s="385">
        <v>42490</v>
      </c>
      <c r="C39" s="386"/>
      <c r="D39" s="392"/>
      <c r="E39" s="392">
        <f t="shared" si="3"/>
        <v>-6494703.0701314239</v>
      </c>
      <c r="F39" s="389">
        <f t="shared" si="12"/>
        <v>-6494703.070131422</v>
      </c>
      <c r="G39" s="392">
        <f>E39/47</f>
        <v>-138185.17170492391</v>
      </c>
      <c r="H39" s="391">
        <f t="shared" si="6"/>
        <v>2349147.9189837067</v>
      </c>
      <c r="I39" s="389">
        <f t="shared" si="11"/>
        <v>1520036.8887541636</v>
      </c>
      <c r="J39" s="389">
        <f t="shared" si="7"/>
        <v>-4974666.1813772582</v>
      </c>
      <c r="K39" s="391">
        <f t="shared" si="0"/>
        <v>-48364.810096723362</v>
      </c>
      <c r="L39" s="391">
        <f t="shared" si="1"/>
        <v>1450944.3029017025</v>
      </c>
      <c r="M39" s="389">
        <f t="shared" si="13"/>
        <v>1741133.163482042</v>
      </c>
      <c r="N39" s="397">
        <f t="shared" si="10"/>
        <v>-3233533.0178952161</v>
      </c>
      <c r="O39" s="399">
        <f t="shared" si="2"/>
        <v>-2694610.8482460147</v>
      </c>
      <c r="Q39" s="462"/>
    </row>
    <row r="40" spans="1:30" ht="12.75" hidden="1" outlineLevel="1">
      <c r="A40" s="361"/>
      <c r="B40" s="385">
        <v>42521</v>
      </c>
      <c r="C40" s="398"/>
      <c r="D40" s="391"/>
      <c r="E40" s="389">
        <f t="shared" si="3"/>
        <v>-6494703.0701314239</v>
      </c>
      <c r="F40" s="389">
        <f>(E28+E40+SUM(E29:E39)*2)/24</f>
        <v>-6494703.070131422</v>
      </c>
      <c r="G40" s="392">
        <f t="shared" si="14"/>
        <v>-138185.17170492391</v>
      </c>
      <c r="H40" s="389">
        <f t="shared" si="6"/>
        <v>2487333.0906886305</v>
      </c>
      <c r="I40" s="389">
        <f>(H28+H40+SUM(H29:H39)*2)/24</f>
        <v>1658222.0604590876</v>
      </c>
      <c r="J40" s="389">
        <f t="shared" si="7"/>
        <v>-4836481.0096723344</v>
      </c>
      <c r="K40" s="389">
        <f t="shared" si="0"/>
        <v>-48364.810096723362</v>
      </c>
      <c r="L40" s="389">
        <f t="shared" si="1"/>
        <v>1402579.4928049792</v>
      </c>
      <c r="M40" s="389">
        <f>(L28+L40+SUM(L29:L39)*2)/24</f>
        <v>1692768.353385319</v>
      </c>
      <c r="N40" s="397">
        <f>M40+J40</f>
        <v>-3143712.6562870154</v>
      </c>
      <c r="O40" s="399">
        <f t="shared" si="2"/>
        <v>-2604790.486637814</v>
      </c>
      <c r="Q40" s="462"/>
    </row>
    <row r="41" spans="1:30" s="551" customFormat="1" ht="12.75" hidden="1" outlineLevel="1">
      <c r="A41" s="361"/>
      <c r="B41" s="395">
        <v>42551</v>
      </c>
      <c r="C41" s="398"/>
      <c r="D41" s="391"/>
      <c r="E41" s="389">
        <f t="shared" si="3"/>
        <v>-6494703.0701314239</v>
      </c>
      <c r="F41" s="389">
        <f t="shared" ref="F41:F45" si="15">(E29+E41+SUM(E30:E40)*2)/24</f>
        <v>-6494703.070131422</v>
      </c>
      <c r="G41" s="392">
        <f t="shared" si="14"/>
        <v>-138185.17170492391</v>
      </c>
      <c r="H41" s="389">
        <f t="shared" si="6"/>
        <v>2625518.2623935542</v>
      </c>
      <c r="I41" s="389">
        <f t="shared" ref="I41:I44" si="16">(H29+H41+SUM(H30:H40)*2)/24</f>
        <v>1796407.2321640113</v>
      </c>
      <c r="J41" s="389">
        <f t="shared" si="7"/>
        <v>-4698295.8379674107</v>
      </c>
      <c r="K41" s="389">
        <f t="shared" si="0"/>
        <v>-48364.810096723362</v>
      </c>
      <c r="L41" s="389">
        <f t="shared" si="1"/>
        <v>1354214.6827082559</v>
      </c>
      <c r="M41" s="389">
        <f t="shared" ref="M41:M45" si="17">(L29+L41+SUM(L30:L40)*2)/24</f>
        <v>1644403.5432885957</v>
      </c>
      <c r="N41" s="397">
        <f t="shared" ref="N41:N87" si="18">M41+J41</f>
        <v>-3053892.2946788147</v>
      </c>
      <c r="O41" s="399">
        <f t="shared" si="2"/>
        <v>-2514970.1250296137</v>
      </c>
      <c r="Q41" s="462"/>
    </row>
    <row r="42" spans="1:30" ht="12.75" hidden="1" outlineLevel="1">
      <c r="A42" s="361"/>
      <c r="B42" s="386">
        <v>42582</v>
      </c>
      <c r="C42" s="398"/>
      <c r="D42" s="391"/>
      <c r="E42" s="389">
        <f t="shared" si="3"/>
        <v>-6494703.0701314239</v>
      </c>
      <c r="F42" s="389">
        <f t="shared" si="15"/>
        <v>-6494703.070131422</v>
      </c>
      <c r="G42" s="392">
        <f t="shared" si="14"/>
        <v>-138185.17170492391</v>
      </c>
      <c r="H42" s="389">
        <f t="shared" si="6"/>
        <v>2763703.4340984779</v>
      </c>
      <c r="I42" s="389">
        <f t="shared" si="16"/>
        <v>1934592.4038689351</v>
      </c>
      <c r="J42" s="389">
        <f t="shared" si="7"/>
        <v>-4560110.6662624869</v>
      </c>
      <c r="K42" s="389">
        <f t="shared" si="0"/>
        <v>-48364.810096723362</v>
      </c>
      <c r="L42" s="389">
        <f t="shared" si="1"/>
        <v>1305849.8726115327</v>
      </c>
      <c r="M42" s="389">
        <f t="shared" si="17"/>
        <v>1596038.7331918722</v>
      </c>
      <c r="N42" s="397">
        <f t="shared" si="18"/>
        <v>-2964071.9330706149</v>
      </c>
      <c r="O42" s="399">
        <f t="shared" si="2"/>
        <v>-2425149.7634214135</v>
      </c>
      <c r="Q42" s="462"/>
    </row>
    <row r="43" spans="1:30" ht="12.75" hidden="1" outlineLevel="1">
      <c r="A43" s="361"/>
      <c r="B43" s="386">
        <v>42613</v>
      </c>
      <c r="C43" s="398"/>
      <c r="D43" s="391"/>
      <c r="E43" s="389">
        <f t="shared" si="3"/>
        <v>-6494703.0701314239</v>
      </c>
      <c r="F43" s="389">
        <f t="shared" si="15"/>
        <v>-6494703.070131422</v>
      </c>
      <c r="G43" s="392">
        <f t="shared" si="14"/>
        <v>-138185.17170492391</v>
      </c>
      <c r="H43" s="389">
        <f t="shared" si="6"/>
        <v>2901888.6058034017</v>
      </c>
      <c r="I43" s="389">
        <f>(H31+H43+SUM(H32:H42)*2)/24</f>
        <v>2072777.5755738588</v>
      </c>
      <c r="J43" s="389">
        <f>F43+I43</f>
        <v>-4421925.4945575632</v>
      </c>
      <c r="K43" s="389">
        <f t="shared" si="0"/>
        <v>-48364.810096723362</v>
      </c>
      <c r="L43" s="389">
        <f t="shared" si="1"/>
        <v>1257485.0625148094</v>
      </c>
      <c r="M43" s="389">
        <f t="shared" si="17"/>
        <v>1547673.923095149</v>
      </c>
      <c r="N43" s="397">
        <f t="shared" si="18"/>
        <v>-2874251.5714624142</v>
      </c>
      <c r="O43" s="399">
        <f>E43+H43+L43</f>
        <v>-2335329.4018132128</v>
      </c>
      <c r="Q43" s="462"/>
    </row>
    <row r="44" spans="1:30" ht="12.75" hidden="1" outlineLevel="1">
      <c r="A44" s="361"/>
      <c r="B44" s="386">
        <v>42643</v>
      </c>
      <c r="C44" s="398"/>
      <c r="D44" s="391"/>
      <c r="E44" s="389">
        <f t="shared" si="3"/>
        <v>-6494703.0701314239</v>
      </c>
      <c r="F44" s="389">
        <f t="shared" si="15"/>
        <v>-6494703.070131422</v>
      </c>
      <c r="G44" s="392">
        <f t="shared" si="14"/>
        <v>-138185.17170492391</v>
      </c>
      <c r="H44" s="389">
        <f t="shared" si="6"/>
        <v>3040073.7775083254</v>
      </c>
      <c r="I44" s="389">
        <f t="shared" si="16"/>
        <v>2210962.747278783</v>
      </c>
      <c r="J44" s="389">
        <f t="shared" si="7"/>
        <v>-4283740.3228526395</v>
      </c>
      <c r="K44" s="389">
        <f>(-D44*0.35)+(G44*0.35)</f>
        <v>-48364.810096723362</v>
      </c>
      <c r="L44" s="389">
        <f t="shared" si="1"/>
        <v>1209120.2524180862</v>
      </c>
      <c r="M44" s="389">
        <f t="shared" si="17"/>
        <v>1499309.1129984257</v>
      </c>
      <c r="N44" s="397">
        <f t="shared" si="18"/>
        <v>-2784431.2098542135</v>
      </c>
      <c r="O44" s="399">
        <f t="shared" si="2"/>
        <v>-2245509.0402050121</v>
      </c>
      <c r="Q44" s="462"/>
    </row>
    <row r="45" spans="1:30" ht="12.75" hidden="1" outlineLevel="1">
      <c r="A45" s="361"/>
      <c r="B45" s="386">
        <v>42674</v>
      </c>
      <c r="C45" s="398"/>
      <c r="D45" s="391"/>
      <c r="E45" s="389">
        <f t="shared" si="3"/>
        <v>-6494703.0701314239</v>
      </c>
      <c r="F45" s="389">
        <f t="shared" si="15"/>
        <v>-6494703.070131422</v>
      </c>
      <c r="G45" s="392">
        <f t="shared" si="14"/>
        <v>-138185.17170492391</v>
      </c>
      <c r="H45" s="389">
        <f t="shared" si="6"/>
        <v>3178258.9492132491</v>
      </c>
      <c r="I45" s="389">
        <f>(H33+H45+SUM(H34:H44)*2)/24</f>
        <v>2349147.9189837067</v>
      </c>
      <c r="J45" s="389">
        <f>F45+I45</f>
        <v>-4145555.1511477153</v>
      </c>
      <c r="K45" s="389">
        <f>(-D45*0.35)+(G45*0.35)</f>
        <v>-48364.810096723362</v>
      </c>
      <c r="L45" s="389">
        <f>L44+K45</f>
        <v>1160755.4423213629</v>
      </c>
      <c r="M45" s="389">
        <f t="shared" si="17"/>
        <v>1450944.3029017027</v>
      </c>
      <c r="N45" s="397">
        <f t="shared" si="18"/>
        <v>-2694610.8482460128</v>
      </c>
      <c r="O45" s="399">
        <f t="shared" si="2"/>
        <v>-2155688.6785968118</v>
      </c>
      <c r="Q45" s="462"/>
    </row>
    <row r="46" spans="1:30" ht="12.75" hidden="1" outlineLevel="1">
      <c r="A46" s="361"/>
      <c r="B46" s="386">
        <v>42704</v>
      </c>
      <c r="C46" s="398"/>
      <c r="D46" s="391"/>
      <c r="E46" s="389">
        <f t="shared" si="3"/>
        <v>-6494703.0701314239</v>
      </c>
      <c r="F46" s="389">
        <f t="shared" ref="F46:F73" si="19">(E34+E46+SUM(E35:E45)*2)/24</f>
        <v>-6494703.070131422</v>
      </c>
      <c r="G46" s="392">
        <f t="shared" si="14"/>
        <v>-138185.17170492391</v>
      </c>
      <c r="H46" s="389">
        <f t="shared" si="6"/>
        <v>3316444.1209181729</v>
      </c>
      <c r="I46" s="389">
        <f t="shared" ref="I46:I88" si="20">(H34+H46+SUM(H35:H45)*2)/24</f>
        <v>2487333.0906886305</v>
      </c>
      <c r="J46" s="389">
        <f t="shared" ref="J46:J68" si="21">F46+I46</f>
        <v>-4007369.9794427915</v>
      </c>
      <c r="K46" s="389">
        <f t="shared" ref="K46:K59" si="22">(-D46*0.35)+(G46*0.35)</f>
        <v>-48364.810096723362</v>
      </c>
      <c r="L46" s="389">
        <f t="shared" ref="L46:L88" si="23">L45+K46</f>
        <v>1112390.6322246396</v>
      </c>
      <c r="M46" s="389">
        <f t="shared" ref="M46:M88" si="24">(L34+L46+SUM(L35:L45)*2)/24</f>
        <v>1402579.4928049792</v>
      </c>
      <c r="N46" s="397">
        <f t="shared" si="18"/>
        <v>-2604790.4866378121</v>
      </c>
      <c r="O46" s="399">
        <f t="shared" si="2"/>
        <v>-2065868.3169886114</v>
      </c>
      <c r="Q46" s="462"/>
    </row>
    <row r="47" spans="1:30" ht="12.75" hidden="1" outlineLevel="1">
      <c r="A47" s="360"/>
      <c r="B47" s="386">
        <v>42735</v>
      </c>
      <c r="C47" s="385"/>
      <c r="D47" s="392"/>
      <c r="E47" s="389">
        <f t="shared" si="3"/>
        <v>-6494703.0701314239</v>
      </c>
      <c r="F47" s="389">
        <f t="shared" si="19"/>
        <v>-6494703.070131422</v>
      </c>
      <c r="G47" s="392">
        <f t="shared" si="14"/>
        <v>-138185.17170492391</v>
      </c>
      <c r="H47" s="389">
        <f t="shared" si="6"/>
        <v>3454629.2926230966</v>
      </c>
      <c r="I47" s="389">
        <f t="shared" si="20"/>
        <v>2625518.2623935542</v>
      </c>
      <c r="J47" s="389">
        <f t="shared" si="21"/>
        <v>-3869184.8077378678</v>
      </c>
      <c r="K47" s="389">
        <f t="shared" si="22"/>
        <v>-48364.810096723362</v>
      </c>
      <c r="L47" s="389">
        <f t="shared" si="23"/>
        <v>1064025.8221279164</v>
      </c>
      <c r="M47" s="389">
        <f t="shared" si="24"/>
        <v>1354214.6827082562</v>
      </c>
      <c r="N47" s="397">
        <f t="shared" si="18"/>
        <v>-2514970.1250296114</v>
      </c>
      <c r="O47" s="399">
        <f t="shared" si="2"/>
        <v>-1976047.9553804109</v>
      </c>
      <c r="Q47" s="462"/>
    </row>
    <row r="48" spans="1:30" ht="12.75" hidden="1" outlineLevel="1">
      <c r="A48" s="360"/>
      <c r="B48" s="386">
        <v>42766</v>
      </c>
      <c r="C48" s="385"/>
      <c r="D48" s="392"/>
      <c r="E48" s="389">
        <f t="shared" si="3"/>
        <v>-6494703.0701314239</v>
      </c>
      <c r="F48" s="389">
        <f t="shared" si="19"/>
        <v>-6494703.070131422</v>
      </c>
      <c r="G48" s="392">
        <f t="shared" si="14"/>
        <v>-138185.17170492391</v>
      </c>
      <c r="H48" s="389">
        <f t="shared" si="6"/>
        <v>3592814.4643280203</v>
      </c>
      <c r="I48" s="389">
        <f t="shared" si="20"/>
        <v>2763703.4340984779</v>
      </c>
      <c r="J48" s="389">
        <f t="shared" si="21"/>
        <v>-3730999.6360329441</v>
      </c>
      <c r="K48" s="389">
        <f t="shared" si="22"/>
        <v>-48364.810096723362</v>
      </c>
      <c r="L48" s="389">
        <f t="shared" si="23"/>
        <v>1015661.012031193</v>
      </c>
      <c r="M48" s="389">
        <f t="shared" si="24"/>
        <v>1305849.8726115327</v>
      </c>
      <c r="N48" s="397">
        <f t="shared" si="18"/>
        <v>-2425149.7634214116</v>
      </c>
      <c r="O48" s="399">
        <f t="shared" si="2"/>
        <v>-1886227.5937722106</v>
      </c>
      <c r="Q48" s="462"/>
    </row>
    <row r="49" spans="1:17" ht="12.75" hidden="1" outlineLevel="1">
      <c r="A49" s="360"/>
      <c r="B49" s="386">
        <v>42794</v>
      </c>
      <c r="C49" s="385"/>
      <c r="D49" s="392"/>
      <c r="E49" s="389">
        <f t="shared" si="3"/>
        <v>-6494703.0701314239</v>
      </c>
      <c r="F49" s="389">
        <f t="shared" si="19"/>
        <v>-6494703.070131422</v>
      </c>
      <c r="G49" s="392">
        <f t="shared" si="14"/>
        <v>-138185.17170492391</v>
      </c>
      <c r="H49" s="389">
        <f t="shared" si="6"/>
        <v>3730999.6360329441</v>
      </c>
      <c r="I49" s="389">
        <f t="shared" si="20"/>
        <v>2901888.6058034017</v>
      </c>
      <c r="J49" s="389">
        <f t="shared" si="21"/>
        <v>-3592814.4643280203</v>
      </c>
      <c r="K49" s="389">
        <f t="shared" si="22"/>
        <v>-48364.810096723362</v>
      </c>
      <c r="L49" s="389">
        <f t="shared" si="23"/>
        <v>967296.20193446963</v>
      </c>
      <c r="M49" s="389">
        <f t="shared" si="24"/>
        <v>1257485.0625148097</v>
      </c>
      <c r="N49" s="397">
        <f t="shared" si="18"/>
        <v>-2335329.4018132109</v>
      </c>
      <c r="O49" s="399">
        <f t="shared" si="2"/>
        <v>-1796407.2321640102</v>
      </c>
      <c r="Q49" s="462"/>
    </row>
    <row r="50" spans="1:17" ht="12.75" hidden="1" outlineLevel="1">
      <c r="A50" s="360"/>
      <c r="B50" s="386">
        <v>42825</v>
      </c>
      <c r="C50" s="385"/>
      <c r="D50" s="392"/>
      <c r="E50" s="389">
        <f t="shared" si="3"/>
        <v>-6494703.0701314239</v>
      </c>
      <c r="F50" s="389">
        <f t="shared" si="19"/>
        <v>-6494703.070131422</v>
      </c>
      <c r="G50" s="392">
        <f t="shared" si="14"/>
        <v>-138185.17170492391</v>
      </c>
      <c r="H50" s="389">
        <f t="shared" si="6"/>
        <v>3869184.8077378678</v>
      </c>
      <c r="I50" s="389">
        <f t="shared" si="20"/>
        <v>3040073.7775083254</v>
      </c>
      <c r="J50" s="389">
        <f t="shared" si="21"/>
        <v>-3454629.2926230966</v>
      </c>
      <c r="K50" s="389">
        <f t="shared" si="22"/>
        <v>-48364.810096723362</v>
      </c>
      <c r="L50" s="389">
        <f t="shared" si="23"/>
        <v>918931.39183774625</v>
      </c>
      <c r="M50" s="389">
        <f t="shared" si="24"/>
        <v>1209120.2524180862</v>
      </c>
      <c r="N50" s="397">
        <f t="shared" si="18"/>
        <v>-2245509.0402050102</v>
      </c>
      <c r="O50" s="399">
        <f t="shared" si="2"/>
        <v>-1706586.8705558097</v>
      </c>
      <c r="Q50" s="462"/>
    </row>
    <row r="51" spans="1:17" ht="16.5" hidden="1" customHeight="1" outlineLevel="1">
      <c r="A51" s="360"/>
      <c r="B51" s="385">
        <v>42855</v>
      </c>
      <c r="C51" s="385"/>
      <c r="D51" s="392"/>
      <c r="E51" s="389">
        <f t="shared" si="3"/>
        <v>-6494703.0701314239</v>
      </c>
      <c r="F51" s="389">
        <f t="shared" si="19"/>
        <v>-6494703.070131422</v>
      </c>
      <c r="G51" s="392">
        <f t="shared" si="14"/>
        <v>-138185.17170492391</v>
      </c>
      <c r="H51" s="389">
        <f t="shared" si="6"/>
        <v>4007369.9794427915</v>
      </c>
      <c r="I51" s="389">
        <f t="shared" si="20"/>
        <v>3178258.9492132491</v>
      </c>
      <c r="J51" s="389">
        <f t="shared" si="21"/>
        <v>-3316444.1209181729</v>
      </c>
      <c r="K51" s="389">
        <f t="shared" si="22"/>
        <v>-48364.810096723362</v>
      </c>
      <c r="L51" s="389">
        <f t="shared" si="23"/>
        <v>870566.58174102288</v>
      </c>
      <c r="M51" s="389">
        <f t="shared" si="24"/>
        <v>1160755.4423213627</v>
      </c>
      <c r="N51" s="397">
        <f t="shared" si="18"/>
        <v>-2155688.6785968104</v>
      </c>
      <c r="O51" s="399">
        <f t="shared" si="2"/>
        <v>-1616766.5089476095</v>
      </c>
      <c r="Q51" s="462"/>
    </row>
    <row r="52" spans="1:17" ht="12.75" hidden="1" outlineLevel="1">
      <c r="A52" s="360"/>
      <c r="B52" s="385">
        <v>42886</v>
      </c>
      <c r="C52" s="385"/>
      <c r="D52" s="392"/>
      <c r="E52" s="389">
        <f t="shared" si="3"/>
        <v>-6494703.0701314239</v>
      </c>
      <c r="F52" s="389">
        <f t="shared" si="19"/>
        <v>-6494703.070131422</v>
      </c>
      <c r="G52" s="392">
        <f t="shared" si="14"/>
        <v>-138185.17170492391</v>
      </c>
      <c r="H52" s="389">
        <f t="shared" si="6"/>
        <v>4145555.1511477153</v>
      </c>
      <c r="I52" s="389">
        <f t="shared" si="20"/>
        <v>3316444.1209181729</v>
      </c>
      <c r="J52" s="389">
        <f t="shared" si="21"/>
        <v>-3178258.9492132491</v>
      </c>
      <c r="K52" s="389">
        <f t="shared" si="22"/>
        <v>-48364.810096723362</v>
      </c>
      <c r="L52" s="389">
        <f t="shared" si="23"/>
        <v>822201.7716442995</v>
      </c>
      <c r="M52" s="389">
        <f t="shared" si="24"/>
        <v>1112390.6322246396</v>
      </c>
      <c r="N52" s="397">
        <f t="shared" si="18"/>
        <v>-2065868.3169886095</v>
      </c>
      <c r="O52" s="399">
        <f t="shared" si="2"/>
        <v>-1526946.1473394092</v>
      </c>
      <c r="Q52" s="462"/>
    </row>
    <row r="53" spans="1:17" ht="12.75" hidden="1" outlineLevel="1">
      <c r="A53" s="360"/>
      <c r="B53" s="385">
        <v>42916</v>
      </c>
      <c r="C53" s="385"/>
      <c r="D53" s="392"/>
      <c r="E53" s="389">
        <f t="shared" si="3"/>
        <v>-6494703.0701314239</v>
      </c>
      <c r="F53" s="389">
        <f t="shared" si="19"/>
        <v>-6494703.070131422</v>
      </c>
      <c r="G53" s="392">
        <f t="shared" si="14"/>
        <v>-138185.17170492391</v>
      </c>
      <c r="H53" s="389">
        <f t="shared" si="6"/>
        <v>4283740.3228526395</v>
      </c>
      <c r="I53" s="389">
        <f t="shared" si="20"/>
        <v>3454629.2926230966</v>
      </c>
      <c r="J53" s="389">
        <f t="shared" si="21"/>
        <v>-3040073.7775083254</v>
      </c>
      <c r="K53" s="389">
        <f t="shared" si="22"/>
        <v>-48364.810096723362</v>
      </c>
      <c r="L53" s="389">
        <f t="shared" si="23"/>
        <v>773836.96154757612</v>
      </c>
      <c r="M53" s="389">
        <f t="shared" si="24"/>
        <v>1064025.8221279162</v>
      </c>
      <c r="N53" s="397">
        <f t="shared" si="18"/>
        <v>-1976047.9553804093</v>
      </c>
      <c r="O53" s="399">
        <f t="shared" si="2"/>
        <v>-1437125.7857312083</v>
      </c>
      <c r="Q53" s="462"/>
    </row>
    <row r="54" spans="1:17" s="563" customFormat="1" ht="12.75" hidden="1" outlineLevel="1">
      <c r="A54" s="819"/>
      <c r="B54" s="495">
        <v>42947</v>
      </c>
      <c r="C54" s="495"/>
      <c r="D54" s="561"/>
      <c r="E54" s="630">
        <f t="shared" si="3"/>
        <v>-6494703.0701314239</v>
      </c>
      <c r="F54" s="630">
        <f t="shared" si="19"/>
        <v>-6494703.070131422</v>
      </c>
      <c r="G54" s="561">
        <f t="shared" si="14"/>
        <v>-138185.17170492391</v>
      </c>
      <c r="H54" s="630">
        <f t="shared" si="6"/>
        <v>4421925.4945575632</v>
      </c>
      <c r="I54" s="630">
        <f t="shared" si="20"/>
        <v>3592814.4643280203</v>
      </c>
      <c r="J54" s="630">
        <f t="shared" si="21"/>
        <v>-2901888.6058034017</v>
      </c>
      <c r="K54" s="630">
        <f t="shared" si="22"/>
        <v>-48364.810096723362</v>
      </c>
      <c r="L54" s="630">
        <f t="shared" si="23"/>
        <v>725472.15145085275</v>
      </c>
      <c r="M54" s="630">
        <f t="shared" si="24"/>
        <v>1015661.0120311929</v>
      </c>
      <c r="N54" s="630">
        <f t="shared" si="18"/>
        <v>-1886227.5937722088</v>
      </c>
      <c r="O54" s="561">
        <f t="shared" si="2"/>
        <v>-1347305.4241230078</v>
      </c>
      <c r="Q54" s="462"/>
    </row>
    <row r="55" spans="1:17" ht="12.75" hidden="1" outlineLevel="1">
      <c r="A55" s="360"/>
      <c r="B55" s="386">
        <v>42978</v>
      </c>
      <c r="C55" s="385"/>
      <c r="D55" s="392"/>
      <c r="E55" s="389">
        <f t="shared" si="3"/>
        <v>-6494703.0701314239</v>
      </c>
      <c r="F55" s="389">
        <f t="shared" si="19"/>
        <v>-6494703.070131422</v>
      </c>
      <c r="G55" s="392">
        <f t="shared" si="14"/>
        <v>-138185.17170492391</v>
      </c>
      <c r="H55" s="389">
        <f t="shared" si="6"/>
        <v>4560110.6662624869</v>
      </c>
      <c r="I55" s="389">
        <f t="shared" si="20"/>
        <v>3730999.6360329445</v>
      </c>
      <c r="J55" s="389">
        <f t="shared" si="21"/>
        <v>-2763703.4340984775</v>
      </c>
      <c r="K55" s="389">
        <f t="shared" si="22"/>
        <v>-48364.810096723362</v>
      </c>
      <c r="L55" s="389">
        <f t="shared" si="23"/>
        <v>677107.34135412937</v>
      </c>
      <c r="M55" s="389">
        <f t="shared" si="24"/>
        <v>967296.20193446951</v>
      </c>
      <c r="N55" s="397">
        <f t="shared" si="18"/>
        <v>-1796407.2321640081</v>
      </c>
      <c r="O55" s="399">
        <f t="shared" si="2"/>
        <v>-1257485.0625148076</v>
      </c>
      <c r="Q55" s="462"/>
    </row>
    <row r="56" spans="1:17" ht="12.75" hidden="1" outlineLevel="1">
      <c r="A56" s="360"/>
      <c r="B56" s="386">
        <v>43008</v>
      </c>
      <c r="C56" s="385"/>
      <c r="D56" s="392"/>
      <c r="E56" s="389">
        <f t="shared" si="3"/>
        <v>-6494703.0701314239</v>
      </c>
      <c r="F56" s="389">
        <f t="shared" si="19"/>
        <v>-6494703.070131422</v>
      </c>
      <c r="G56" s="392">
        <f t="shared" si="14"/>
        <v>-138185.17170492391</v>
      </c>
      <c r="H56" s="389">
        <f t="shared" si="6"/>
        <v>4698295.8379674107</v>
      </c>
      <c r="I56" s="389">
        <f t="shared" si="20"/>
        <v>3869184.8077378669</v>
      </c>
      <c r="J56" s="389">
        <f t="shared" si="21"/>
        <v>-2625518.2623935551</v>
      </c>
      <c r="K56" s="389">
        <f t="shared" si="22"/>
        <v>-48364.810096723362</v>
      </c>
      <c r="L56" s="389">
        <f t="shared" si="23"/>
        <v>628742.53125740599</v>
      </c>
      <c r="M56" s="389">
        <f t="shared" si="24"/>
        <v>918931.39183774625</v>
      </c>
      <c r="N56" s="397">
        <f t="shared" si="18"/>
        <v>-1706586.8705558088</v>
      </c>
      <c r="O56" s="399">
        <f t="shared" si="2"/>
        <v>-1167664.7009066073</v>
      </c>
      <c r="Q56" s="462"/>
    </row>
    <row r="57" spans="1:17" ht="12.75" hidden="1" outlineLevel="1">
      <c r="A57" s="360"/>
      <c r="B57" s="386">
        <v>43039</v>
      </c>
      <c r="C57" s="385"/>
      <c r="D57" s="392"/>
      <c r="E57" s="389">
        <f t="shared" si="3"/>
        <v>-6494703.0701314239</v>
      </c>
      <c r="F57" s="389">
        <f t="shared" si="19"/>
        <v>-6494703.070131422</v>
      </c>
      <c r="G57" s="392">
        <f t="shared" si="14"/>
        <v>-138185.17170492391</v>
      </c>
      <c r="H57" s="389">
        <f t="shared" si="6"/>
        <v>4836481.0096723344</v>
      </c>
      <c r="I57" s="389">
        <f t="shared" si="20"/>
        <v>4007369.9794427906</v>
      </c>
      <c r="J57" s="389">
        <f t="shared" si="21"/>
        <v>-2487333.0906886314</v>
      </c>
      <c r="K57" s="389">
        <f t="shared" si="22"/>
        <v>-48364.810096723362</v>
      </c>
      <c r="L57" s="389">
        <f t="shared" si="23"/>
        <v>580377.72116068262</v>
      </c>
      <c r="M57" s="389">
        <f t="shared" si="24"/>
        <v>870566.58174102276</v>
      </c>
      <c r="N57" s="397">
        <f t="shared" si="18"/>
        <v>-1616766.5089476085</v>
      </c>
      <c r="O57" s="399">
        <f t="shared" si="2"/>
        <v>-1077844.3392984068</v>
      </c>
      <c r="Q57" s="462"/>
    </row>
    <row r="58" spans="1:17" ht="12.75" hidden="1" outlineLevel="1">
      <c r="A58" s="360"/>
      <c r="B58" s="386">
        <v>43069</v>
      </c>
      <c r="C58" s="385"/>
      <c r="D58" s="392"/>
      <c r="E58" s="389">
        <f t="shared" si="3"/>
        <v>-6494703.0701314239</v>
      </c>
      <c r="F58" s="389">
        <f t="shared" si="19"/>
        <v>-6494703.070131422</v>
      </c>
      <c r="G58" s="392">
        <f t="shared" si="14"/>
        <v>-138185.17170492391</v>
      </c>
      <c r="H58" s="389">
        <f t="shared" si="6"/>
        <v>4974666.1813772582</v>
      </c>
      <c r="I58" s="389">
        <f t="shared" si="20"/>
        <v>4145555.1511477157</v>
      </c>
      <c r="J58" s="389">
        <f t="shared" si="21"/>
        <v>-2349147.9189837063</v>
      </c>
      <c r="K58" s="389">
        <f t="shared" si="22"/>
        <v>-48364.810096723362</v>
      </c>
      <c r="L58" s="389">
        <f t="shared" si="23"/>
        <v>532012.91106395924</v>
      </c>
      <c r="M58" s="389">
        <f t="shared" si="24"/>
        <v>822201.77164429938</v>
      </c>
      <c r="N58" s="397">
        <f t="shared" si="18"/>
        <v>-1526946.1473394069</v>
      </c>
      <c r="O58" s="399">
        <f t="shared" si="2"/>
        <v>-988023.97769020649</v>
      </c>
      <c r="Q58" s="462"/>
    </row>
    <row r="59" spans="1:17" ht="12.75" hidden="1" outlineLevel="1">
      <c r="B59" s="386">
        <v>43100</v>
      </c>
      <c r="D59" s="551"/>
      <c r="E59" s="389">
        <f t="shared" si="3"/>
        <v>-6494703.0701314239</v>
      </c>
      <c r="F59" s="389">
        <f t="shared" si="19"/>
        <v>-6494703.070131422</v>
      </c>
      <c r="G59" s="392">
        <f t="shared" si="14"/>
        <v>-138185.17170492391</v>
      </c>
      <c r="H59" s="389">
        <f t="shared" si="6"/>
        <v>5112851.3530821819</v>
      </c>
      <c r="I59" s="389">
        <f t="shared" si="20"/>
        <v>4283740.3228526404</v>
      </c>
      <c r="J59" s="389">
        <f t="shared" si="21"/>
        <v>-2210962.7472787816</v>
      </c>
      <c r="K59" s="389">
        <f t="shared" si="22"/>
        <v>-48364.810096723362</v>
      </c>
      <c r="L59" s="389">
        <f t="shared" si="23"/>
        <v>483648.10096723586</v>
      </c>
      <c r="M59" s="389">
        <f t="shared" si="24"/>
        <v>773836.96154757601</v>
      </c>
      <c r="N59" s="397">
        <f t="shared" si="18"/>
        <v>-1437125.7857312057</v>
      </c>
      <c r="O59" s="399">
        <f t="shared" si="2"/>
        <v>-898203.61608200613</v>
      </c>
      <c r="P59" s="551"/>
      <c r="Q59" s="462"/>
    </row>
    <row r="60" spans="1:17" s="563" customFormat="1" ht="12.75" collapsed="1">
      <c r="B60" s="398">
        <v>43131</v>
      </c>
      <c r="E60" s="630">
        <f t="shared" si="3"/>
        <v>-6494703.0701314239</v>
      </c>
      <c r="F60" s="630">
        <f t="shared" si="19"/>
        <v>-6494703.070131422</v>
      </c>
      <c r="G60" s="561">
        <f t="shared" si="14"/>
        <v>-138185.17170492391</v>
      </c>
      <c r="H60" s="630">
        <f t="shared" si="6"/>
        <v>5251036.5247871056</v>
      </c>
      <c r="I60" s="630">
        <f t="shared" si="20"/>
        <v>4421925.4945575632</v>
      </c>
      <c r="J60" s="630">
        <f t="shared" si="21"/>
        <v>-2072777.5755738588</v>
      </c>
      <c r="K60" s="630">
        <f t="shared" ref="K60:K71" si="25">(-D60*0.21)+(G60*0.21)</f>
        <v>-29018.886058034019</v>
      </c>
      <c r="L60" s="630">
        <f t="shared" si="23"/>
        <v>454629.21490920184</v>
      </c>
      <c r="M60" s="630">
        <f t="shared" si="24"/>
        <v>726278.2316191314</v>
      </c>
      <c r="N60" s="630">
        <f t="shared" si="18"/>
        <v>-1346499.3439547275</v>
      </c>
      <c r="O60" s="561">
        <f t="shared" si="2"/>
        <v>-789037.33043511643</v>
      </c>
      <c r="Q60" s="462"/>
    </row>
    <row r="61" spans="1:17" s="563" customFormat="1" ht="12.75">
      <c r="B61" s="398">
        <v>43159</v>
      </c>
      <c r="E61" s="630">
        <f t="shared" si="3"/>
        <v>-6494703.0701314239</v>
      </c>
      <c r="F61" s="630">
        <f t="shared" si="19"/>
        <v>-6494703.070131422</v>
      </c>
      <c r="G61" s="561">
        <f t="shared" si="14"/>
        <v>-138185.17170492391</v>
      </c>
      <c r="H61" s="630">
        <f t="shared" si="6"/>
        <v>5389221.6964920294</v>
      </c>
      <c r="I61" s="630">
        <f t="shared" si="20"/>
        <v>4560110.666262486</v>
      </c>
      <c r="J61" s="630">
        <f t="shared" si="21"/>
        <v>-1934592.403868936</v>
      </c>
      <c r="K61" s="630">
        <f t="shared" si="25"/>
        <v>-29018.886058034019</v>
      </c>
      <c r="L61" s="630">
        <f t="shared" si="23"/>
        <v>425610.32885116781</v>
      </c>
      <c r="M61" s="630">
        <f t="shared" si="24"/>
        <v>680331.66202724422</v>
      </c>
      <c r="N61" s="630">
        <f t="shared" si="18"/>
        <v>-1254260.7418416918</v>
      </c>
      <c r="O61" s="561">
        <f t="shared" si="2"/>
        <v>-679871.04478822672</v>
      </c>
      <c r="Q61" s="462"/>
    </row>
    <row r="62" spans="1:17" s="563" customFormat="1" ht="12.75">
      <c r="B62" s="398">
        <v>43190</v>
      </c>
      <c r="E62" s="630">
        <f t="shared" si="3"/>
        <v>-6494703.0701314239</v>
      </c>
      <c r="F62" s="630">
        <f t="shared" si="19"/>
        <v>-6494703.070131422</v>
      </c>
      <c r="G62" s="561">
        <f t="shared" si="14"/>
        <v>-138185.17170492391</v>
      </c>
      <c r="H62" s="630">
        <f t="shared" si="6"/>
        <v>5527406.8681969531</v>
      </c>
      <c r="I62" s="630">
        <f t="shared" si="20"/>
        <v>4698295.8379674116</v>
      </c>
      <c r="J62" s="630">
        <f t="shared" si="21"/>
        <v>-1796407.2321640104</v>
      </c>
      <c r="K62" s="630">
        <f t="shared" si="25"/>
        <v>-29018.886058034019</v>
      </c>
      <c r="L62" s="630">
        <f t="shared" si="23"/>
        <v>396591.44279313379</v>
      </c>
      <c r="M62" s="630">
        <f t="shared" si="24"/>
        <v>635997.25277191459</v>
      </c>
      <c r="N62" s="630">
        <f t="shared" si="18"/>
        <v>-1160409.9793920959</v>
      </c>
      <c r="O62" s="561">
        <f t="shared" si="2"/>
        <v>-570704.75914133701</v>
      </c>
      <c r="Q62" s="462"/>
    </row>
    <row r="63" spans="1:17" s="563" customFormat="1" ht="12.75">
      <c r="B63" s="495">
        <v>43220</v>
      </c>
      <c r="E63" s="630">
        <f t="shared" si="3"/>
        <v>-6494703.0701314239</v>
      </c>
      <c r="F63" s="630">
        <f t="shared" si="19"/>
        <v>-6494703.070131422</v>
      </c>
      <c r="G63" s="561">
        <f t="shared" si="14"/>
        <v>-138185.17170492391</v>
      </c>
      <c r="H63" s="630">
        <f t="shared" si="6"/>
        <v>5665592.0399018768</v>
      </c>
      <c r="I63" s="630">
        <f t="shared" si="20"/>
        <v>4836481.0096723344</v>
      </c>
      <c r="J63" s="630">
        <f t="shared" si="21"/>
        <v>-1658222.0604590876</v>
      </c>
      <c r="K63" s="630">
        <f t="shared" si="25"/>
        <v>-29018.886058034019</v>
      </c>
      <c r="L63" s="630">
        <f t="shared" si="23"/>
        <v>367572.55673509976</v>
      </c>
      <c r="M63" s="630">
        <f t="shared" si="24"/>
        <v>593275.00385314215</v>
      </c>
      <c r="N63" s="630">
        <f t="shared" si="18"/>
        <v>-1064947.0566059453</v>
      </c>
      <c r="O63" s="561">
        <f t="shared" si="2"/>
        <v>-461538.4734944473</v>
      </c>
      <c r="Q63" s="462"/>
    </row>
    <row r="64" spans="1:17" s="563" customFormat="1" ht="12.75">
      <c r="B64" s="495">
        <v>43251</v>
      </c>
      <c r="E64" s="630">
        <f t="shared" si="3"/>
        <v>-6494703.0701314239</v>
      </c>
      <c r="F64" s="630">
        <f t="shared" si="19"/>
        <v>-6494703.070131422</v>
      </c>
      <c r="G64" s="561">
        <f t="shared" si="14"/>
        <v>-138185.17170492391</v>
      </c>
      <c r="H64" s="630">
        <f t="shared" si="6"/>
        <v>5803777.2116068006</v>
      </c>
      <c r="I64" s="630">
        <f t="shared" si="20"/>
        <v>4974666.1813772582</v>
      </c>
      <c r="J64" s="630">
        <f t="shared" si="21"/>
        <v>-1520036.8887541639</v>
      </c>
      <c r="K64" s="630">
        <f t="shared" si="25"/>
        <v>-29018.886058034019</v>
      </c>
      <c r="L64" s="630">
        <f t="shared" si="23"/>
        <v>338553.67067706573</v>
      </c>
      <c r="M64" s="630">
        <f t="shared" si="24"/>
        <v>552164.91527092725</v>
      </c>
      <c r="N64" s="630">
        <f t="shared" si="18"/>
        <v>-967871.97348323662</v>
      </c>
      <c r="O64" s="561">
        <f t="shared" si="2"/>
        <v>-352372.18784755759</v>
      </c>
      <c r="Q64" s="462"/>
    </row>
    <row r="65" spans="2:17" s="563" customFormat="1" ht="12.75">
      <c r="B65" s="495">
        <v>43281</v>
      </c>
      <c r="E65" s="630">
        <f t="shared" si="3"/>
        <v>-6494703.0701314239</v>
      </c>
      <c r="F65" s="630">
        <f t="shared" si="19"/>
        <v>-6494703.070131422</v>
      </c>
      <c r="G65" s="561">
        <f t="shared" si="14"/>
        <v>-138185.17170492391</v>
      </c>
      <c r="H65" s="630">
        <f t="shared" si="6"/>
        <v>5941962.3833117243</v>
      </c>
      <c r="I65" s="630">
        <f t="shared" si="20"/>
        <v>5112851.3530821819</v>
      </c>
      <c r="J65" s="630">
        <f t="shared" si="21"/>
        <v>-1381851.7170492401</v>
      </c>
      <c r="K65" s="630">
        <f t="shared" si="25"/>
        <v>-29018.886058034019</v>
      </c>
      <c r="L65" s="630">
        <f t="shared" si="23"/>
        <v>309534.78461903171</v>
      </c>
      <c r="M65" s="630">
        <f t="shared" si="24"/>
        <v>512666.98702526983</v>
      </c>
      <c r="N65" s="630">
        <f t="shared" si="18"/>
        <v>-869184.73002397036</v>
      </c>
      <c r="O65" s="561">
        <f t="shared" si="2"/>
        <v>-243205.90220066789</v>
      </c>
      <c r="Q65" s="462"/>
    </row>
    <row r="66" spans="2:17" s="563" customFormat="1" ht="12.75">
      <c r="B66" s="398">
        <v>43312</v>
      </c>
      <c r="E66" s="630">
        <f t="shared" si="3"/>
        <v>-6494703.0701314239</v>
      </c>
      <c r="F66" s="630">
        <f t="shared" si="19"/>
        <v>-6494703.070131422</v>
      </c>
      <c r="G66" s="561">
        <f t="shared" si="14"/>
        <v>-138185.17170492391</v>
      </c>
      <c r="H66" s="630">
        <f t="shared" si="6"/>
        <v>6080147.555016648</v>
      </c>
      <c r="I66" s="630">
        <f t="shared" si="20"/>
        <v>5251036.5247871066</v>
      </c>
      <c r="J66" s="630">
        <f t="shared" si="21"/>
        <v>-1243666.5453443155</v>
      </c>
      <c r="K66" s="630">
        <f t="shared" si="25"/>
        <v>-29018.886058034019</v>
      </c>
      <c r="L66" s="630">
        <f t="shared" si="23"/>
        <v>280515.89856099768</v>
      </c>
      <c r="M66" s="630">
        <f t="shared" si="24"/>
        <v>474781.21911616996</v>
      </c>
      <c r="N66" s="630">
        <f t="shared" si="18"/>
        <v>-768885.32622814551</v>
      </c>
      <c r="O66" s="561">
        <f t="shared" si="2"/>
        <v>-134039.61655377818</v>
      </c>
      <c r="Q66" s="462"/>
    </row>
    <row r="67" spans="2:17" s="563" customFormat="1" ht="12.75">
      <c r="B67" s="398">
        <v>43343</v>
      </c>
      <c r="E67" s="630">
        <f t="shared" si="3"/>
        <v>-6494703.0701314239</v>
      </c>
      <c r="F67" s="630">
        <f t="shared" si="19"/>
        <v>-6494703.070131422</v>
      </c>
      <c r="G67" s="561">
        <f t="shared" si="14"/>
        <v>-138185.17170492391</v>
      </c>
      <c r="H67" s="630">
        <f t="shared" si="6"/>
        <v>6218332.7267215718</v>
      </c>
      <c r="I67" s="630">
        <f t="shared" si="20"/>
        <v>5389221.6964920303</v>
      </c>
      <c r="J67" s="630">
        <f t="shared" si="21"/>
        <v>-1105481.3736393917</v>
      </c>
      <c r="K67" s="630">
        <f t="shared" si="25"/>
        <v>-29018.886058034019</v>
      </c>
      <c r="L67" s="630">
        <f t="shared" si="23"/>
        <v>251497.01250296365</v>
      </c>
      <c r="M67" s="630">
        <f t="shared" si="24"/>
        <v>438507.6115436274</v>
      </c>
      <c r="N67" s="630">
        <f t="shared" si="18"/>
        <v>-666973.76209576428</v>
      </c>
      <c r="O67" s="561">
        <f t="shared" si="2"/>
        <v>-24873.33090688847</v>
      </c>
      <c r="Q67" s="462"/>
    </row>
    <row r="68" spans="2:17" s="563" customFormat="1" ht="12.75">
      <c r="B68" s="398">
        <v>43373</v>
      </c>
      <c r="E68" s="630">
        <f t="shared" si="3"/>
        <v>-6494703.0701314239</v>
      </c>
      <c r="F68" s="630">
        <f t="shared" si="19"/>
        <v>-6494703.070131422</v>
      </c>
      <c r="G68" s="561">
        <f t="shared" si="14"/>
        <v>-138185.17170492391</v>
      </c>
      <c r="H68" s="630">
        <f t="shared" si="6"/>
        <v>6356517.8984264955</v>
      </c>
      <c r="I68" s="630">
        <f t="shared" si="20"/>
        <v>5527406.8681969531</v>
      </c>
      <c r="J68" s="630">
        <f t="shared" si="21"/>
        <v>-967296.20193446893</v>
      </c>
      <c r="K68" s="630">
        <f t="shared" si="25"/>
        <v>-29018.886058034019</v>
      </c>
      <c r="L68" s="630">
        <f t="shared" si="23"/>
        <v>222478.12644492963</v>
      </c>
      <c r="M68" s="630">
        <f t="shared" si="24"/>
        <v>403846.16430764232</v>
      </c>
      <c r="N68" s="630">
        <f t="shared" si="18"/>
        <v>-563450.03762682667</v>
      </c>
      <c r="O68" s="561">
        <f t="shared" si="2"/>
        <v>84292.954740001238</v>
      </c>
      <c r="P68" s="910"/>
      <c r="Q68" s="81"/>
    </row>
    <row r="69" spans="2:17" s="563" customFormat="1" ht="12.75">
      <c r="B69" s="398">
        <v>43404</v>
      </c>
      <c r="E69" s="630">
        <f t="shared" si="3"/>
        <v>-6494703.0701314239</v>
      </c>
      <c r="F69" s="630">
        <f t="shared" si="19"/>
        <v>-6494703.070131422</v>
      </c>
      <c r="G69" s="561">
        <f>E69/47</f>
        <v>-138185.17170492391</v>
      </c>
      <c r="H69" s="630">
        <f>H68-G69</f>
        <v>6494703.0701314192</v>
      </c>
      <c r="I69" s="630">
        <f t="shared" si="20"/>
        <v>5665592.0399018759</v>
      </c>
      <c r="J69" s="630">
        <f>F69+I69</f>
        <v>-829111.03022954613</v>
      </c>
      <c r="K69" s="630">
        <f t="shared" si="25"/>
        <v>-29018.886058034019</v>
      </c>
      <c r="L69" s="814">
        <f t="shared" si="23"/>
        <v>193459.2403868956</v>
      </c>
      <c r="M69" s="630">
        <f t="shared" si="24"/>
        <v>370796.87740821461</v>
      </c>
      <c r="N69" s="630">
        <f t="shared" si="18"/>
        <v>-458314.15282133152</v>
      </c>
      <c r="O69" s="561">
        <f>E69+H69+L69</f>
        <v>193459.24038689095</v>
      </c>
      <c r="P69" s="910"/>
      <c r="Q69" s="81"/>
    </row>
    <row r="70" spans="2:17" s="563" customFormat="1" ht="12.75">
      <c r="B70" s="398">
        <v>43434</v>
      </c>
      <c r="E70" s="630">
        <f t="shared" si="3"/>
        <v>-6494703.0701314239</v>
      </c>
      <c r="F70" s="630">
        <f t="shared" si="19"/>
        <v>-6494703.070131422</v>
      </c>
      <c r="G70" s="561">
        <v>0</v>
      </c>
      <c r="H70" s="630">
        <f t="shared" ref="H70:H88" si="26">H69-G70</f>
        <v>6494703.0701314192</v>
      </c>
      <c r="I70" s="630">
        <f t="shared" si="20"/>
        <v>5798019.4961190959</v>
      </c>
      <c r="J70" s="630">
        <f>F70+I70</f>
        <v>-696683.57401232608</v>
      </c>
      <c r="K70" s="630">
        <f t="shared" si="25"/>
        <v>0</v>
      </c>
      <c r="L70" s="814">
        <f t="shared" si="23"/>
        <v>193459.2403868956</v>
      </c>
      <c r="M70" s="630">
        <f t="shared" si="24"/>
        <v>340568.87109776255</v>
      </c>
      <c r="N70" s="630">
        <f>M70+J70</f>
        <v>-356114.70291456353</v>
      </c>
      <c r="O70" s="561">
        <f t="shared" ref="O70:O88" si="27">E70+H70+L70</f>
        <v>193459.24038689095</v>
      </c>
      <c r="Q70" s="462"/>
    </row>
    <row r="71" spans="2:17" s="563" customFormat="1" ht="12.75">
      <c r="B71" s="398">
        <v>43465</v>
      </c>
      <c r="E71" s="630">
        <f t="shared" si="3"/>
        <v>-6494703.0701314239</v>
      </c>
      <c r="F71" s="630">
        <f t="shared" si="19"/>
        <v>-6494703.070131422</v>
      </c>
      <c r="G71" s="561">
        <v>0</v>
      </c>
      <c r="H71" s="630">
        <f t="shared" si="26"/>
        <v>6494703.0701314192</v>
      </c>
      <c r="I71" s="630">
        <f t="shared" si="20"/>
        <v>5918931.521360904</v>
      </c>
      <c r="J71" s="630">
        <f t="shared" ref="J71:J88" si="28">F71+I71</f>
        <v>-575771.54877051804</v>
      </c>
      <c r="K71" s="630">
        <f t="shared" si="25"/>
        <v>0</v>
      </c>
      <c r="L71" s="814">
        <f t="shared" si="23"/>
        <v>193459.2403868956</v>
      </c>
      <c r="M71" s="630">
        <f>(L59+L71+SUM(L60:L70)*2)/24</f>
        <v>314371.2656287041</v>
      </c>
      <c r="N71" s="630">
        <f>M71+J71</f>
        <v>-261400.28314181394</v>
      </c>
      <c r="O71" s="561">
        <f t="shared" si="27"/>
        <v>193459.24038689095</v>
      </c>
      <c r="Q71" s="462"/>
    </row>
    <row r="72" spans="2:17" s="563" customFormat="1" ht="12.75">
      <c r="B72" s="398">
        <v>43496</v>
      </c>
      <c r="E72" s="630">
        <f t="shared" si="3"/>
        <v>-6494703.0701314239</v>
      </c>
      <c r="F72" s="630">
        <f t="shared" si="19"/>
        <v>-6494703.070131422</v>
      </c>
      <c r="G72" s="561"/>
      <c r="H72" s="630">
        <f t="shared" si="26"/>
        <v>6494703.0701314192</v>
      </c>
      <c r="I72" s="630">
        <f t="shared" si="20"/>
        <v>6028328.1156273028</v>
      </c>
      <c r="J72" s="630">
        <f t="shared" si="28"/>
        <v>-466374.95450411923</v>
      </c>
      <c r="K72" s="630">
        <f t="shared" ref="K72:K77" si="29">(-D72*0.35)+(G72*0.35)</f>
        <v>0</v>
      </c>
      <c r="L72" s="814">
        <f t="shared" si="23"/>
        <v>193459.2403868956</v>
      </c>
      <c r="M72" s="630">
        <f t="shared" si="24"/>
        <v>291397.98083276051</v>
      </c>
      <c r="N72" s="630">
        <f t="shared" si="18"/>
        <v>-174976.97367135872</v>
      </c>
      <c r="O72" s="561">
        <f t="shared" si="27"/>
        <v>193459.24038689095</v>
      </c>
    </row>
    <row r="73" spans="2:17" s="563" customFormat="1" ht="12.75">
      <c r="B73" s="398">
        <v>43524</v>
      </c>
      <c r="E73" s="630">
        <f t="shared" si="3"/>
        <v>-6494703.0701314239</v>
      </c>
      <c r="F73" s="630">
        <f t="shared" si="19"/>
        <v>-6494703.070131422</v>
      </c>
      <c r="G73" s="561"/>
      <c r="H73" s="630">
        <f t="shared" si="26"/>
        <v>6494703.0701314192</v>
      </c>
      <c r="I73" s="630">
        <f t="shared" si="20"/>
        <v>6126209.2789182896</v>
      </c>
      <c r="J73" s="630">
        <f t="shared" si="28"/>
        <v>-368493.79121313244</v>
      </c>
      <c r="K73" s="630">
        <f t="shared" si="29"/>
        <v>0</v>
      </c>
      <c r="L73" s="814">
        <f t="shared" si="23"/>
        <v>193459.2403868956</v>
      </c>
      <c r="M73" s="630">
        <f t="shared" si="24"/>
        <v>270842.93654165306</v>
      </c>
      <c r="N73" s="630">
        <f t="shared" si="18"/>
        <v>-97650.854671479377</v>
      </c>
      <c r="O73" s="561">
        <f t="shared" si="27"/>
        <v>193459.24038689095</v>
      </c>
    </row>
    <row r="74" spans="2:17" s="563" customFormat="1" ht="12.75">
      <c r="B74" s="398">
        <v>43555</v>
      </c>
      <c r="E74" s="630">
        <f t="shared" si="3"/>
        <v>-6494703.0701314239</v>
      </c>
      <c r="F74" s="630">
        <f t="shared" ref="F74:F88" si="30">(E62+E74+SUM(E63:E73)*2)/24</f>
        <v>-6494703.070131422</v>
      </c>
      <c r="G74" s="561"/>
      <c r="H74" s="630">
        <f t="shared" si="26"/>
        <v>6494703.0701314192</v>
      </c>
      <c r="I74" s="630">
        <f t="shared" si="20"/>
        <v>6212575.0112338671</v>
      </c>
      <c r="J74" s="630">
        <f t="shared" si="28"/>
        <v>-282128.05889755487</v>
      </c>
      <c r="K74" s="630">
        <f t="shared" si="29"/>
        <v>0</v>
      </c>
      <c r="L74" s="814">
        <f t="shared" si="23"/>
        <v>193459.2403868956</v>
      </c>
      <c r="M74" s="630">
        <f t="shared" si="24"/>
        <v>252706.13275538178</v>
      </c>
      <c r="N74" s="630">
        <f t="shared" si="18"/>
        <v>-29421.926142173092</v>
      </c>
      <c r="O74" s="561">
        <f t="shared" si="27"/>
        <v>193459.24038689095</v>
      </c>
    </row>
    <row r="75" spans="2:17" s="563" customFormat="1" ht="12.75">
      <c r="B75" s="495">
        <v>43585</v>
      </c>
      <c r="E75" s="630">
        <f t="shared" si="3"/>
        <v>-6494703.0701314239</v>
      </c>
      <c r="F75" s="630">
        <f t="shared" si="30"/>
        <v>-6494703.070131422</v>
      </c>
      <c r="G75" s="561"/>
      <c r="H75" s="630">
        <f t="shared" si="26"/>
        <v>6494703.0701314192</v>
      </c>
      <c r="I75" s="630">
        <f t="shared" si="20"/>
        <v>6287425.3125740336</v>
      </c>
      <c r="J75" s="630">
        <f t="shared" si="28"/>
        <v>-207277.7575573884</v>
      </c>
      <c r="K75" s="630">
        <f t="shared" si="29"/>
        <v>0</v>
      </c>
      <c r="L75" s="814">
        <f t="shared" si="23"/>
        <v>193459.2403868956</v>
      </c>
      <c r="M75" s="630">
        <f t="shared" si="24"/>
        <v>236987.56947394667</v>
      </c>
      <c r="N75" s="630">
        <f t="shared" si="18"/>
        <v>29709.811916558276</v>
      </c>
      <c r="O75" s="561">
        <f t="shared" si="27"/>
        <v>193459.24038689095</v>
      </c>
    </row>
    <row r="76" spans="2:17" s="563" customFormat="1" ht="12.75">
      <c r="B76" s="495">
        <v>43616</v>
      </c>
      <c r="E76" s="630">
        <f t="shared" si="3"/>
        <v>-6494703.0701314239</v>
      </c>
      <c r="F76" s="630">
        <f t="shared" si="30"/>
        <v>-6494703.070131422</v>
      </c>
      <c r="G76" s="561"/>
      <c r="H76" s="630">
        <f t="shared" si="26"/>
        <v>6494703.0701314192</v>
      </c>
      <c r="I76" s="630">
        <f t="shared" si="20"/>
        <v>6350760.1829387909</v>
      </c>
      <c r="J76" s="630">
        <f t="shared" si="28"/>
        <v>-143942.88719263114</v>
      </c>
      <c r="K76" s="630">
        <f t="shared" si="29"/>
        <v>0</v>
      </c>
      <c r="L76" s="814">
        <f t="shared" si="23"/>
        <v>193459.2403868956</v>
      </c>
      <c r="M76" s="630">
        <f t="shared" si="24"/>
        <v>223687.24669734776</v>
      </c>
      <c r="N76" s="630">
        <f t="shared" si="18"/>
        <v>79744.359504716616</v>
      </c>
      <c r="O76" s="561">
        <f t="shared" si="27"/>
        <v>193459.24038689095</v>
      </c>
    </row>
    <row r="77" spans="2:17" s="563" customFormat="1" ht="12.75">
      <c r="B77" s="495">
        <v>43646</v>
      </c>
      <c r="E77" s="630">
        <f t="shared" si="3"/>
        <v>-6494703.0701314239</v>
      </c>
      <c r="F77" s="630">
        <f t="shared" si="30"/>
        <v>-6494703.070131422</v>
      </c>
      <c r="G77" s="561"/>
      <c r="H77" s="630">
        <f t="shared" si="26"/>
        <v>6494703.0701314192</v>
      </c>
      <c r="I77" s="630">
        <f t="shared" si="20"/>
        <v>6402579.622328137</v>
      </c>
      <c r="J77" s="630">
        <f t="shared" si="28"/>
        <v>-92123.447803284973</v>
      </c>
      <c r="K77" s="630">
        <f t="shared" si="29"/>
        <v>0</v>
      </c>
      <c r="L77" s="814">
        <f t="shared" si="23"/>
        <v>193459.2403868956</v>
      </c>
      <c r="M77" s="630">
        <f t="shared" si="24"/>
        <v>212805.16442558495</v>
      </c>
      <c r="N77" s="630">
        <f t="shared" si="18"/>
        <v>120681.71662229998</v>
      </c>
      <c r="O77" s="561">
        <f t="shared" si="27"/>
        <v>193459.24038689095</v>
      </c>
    </row>
    <row r="78" spans="2:17" s="563" customFormat="1" ht="12.75">
      <c r="B78" s="398">
        <v>43677</v>
      </c>
      <c r="E78" s="630">
        <f t="shared" si="3"/>
        <v>-6494703.0701314239</v>
      </c>
      <c r="F78" s="630">
        <f t="shared" si="30"/>
        <v>-6494703.070131422</v>
      </c>
      <c r="G78" s="561"/>
      <c r="H78" s="630">
        <f t="shared" si="26"/>
        <v>6494703.0701314192</v>
      </c>
      <c r="I78" s="630">
        <f t="shared" si="20"/>
        <v>6442883.6307420731</v>
      </c>
      <c r="J78" s="630">
        <f t="shared" si="28"/>
        <v>-51819.439389348961</v>
      </c>
      <c r="K78" s="630"/>
      <c r="L78" s="814">
        <f t="shared" si="23"/>
        <v>193459.2403868956</v>
      </c>
      <c r="M78" s="630">
        <f t="shared" si="24"/>
        <v>204341.32265865835</v>
      </c>
      <c r="N78" s="630">
        <f t="shared" si="18"/>
        <v>152521.88326930939</v>
      </c>
      <c r="O78" s="561">
        <f t="shared" si="27"/>
        <v>193459.24038689095</v>
      </c>
    </row>
    <row r="79" spans="2:17" s="563" customFormat="1" ht="12.75">
      <c r="B79" s="398">
        <v>43708</v>
      </c>
      <c r="E79" s="630">
        <f t="shared" si="3"/>
        <v>-6494703.0701314239</v>
      </c>
      <c r="F79" s="630">
        <f t="shared" si="30"/>
        <v>-6494703.070131422</v>
      </c>
      <c r="G79" s="561"/>
      <c r="H79" s="630">
        <f t="shared" si="26"/>
        <v>6494703.0701314192</v>
      </c>
      <c r="I79" s="630">
        <f t="shared" si="20"/>
        <v>6471672.2081805989</v>
      </c>
      <c r="J79" s="630">
        <f t="shared" si="28"/>
        <v>-23030.861950823106</v>
      </c>
      <c r="K79" s="630"/>
      <c r="L79" s="814">
        <f t="shared" si="23"/>
        <v>193459.2403868956</v>
      </c>
      <c r="M79" s="630">
        <f t="shared" si="24"/>
        <v>198295.72139656797</v>
      </c>
      <c r="N79" s="630">
        <f t="shared" si="18"/>
        <v>175264.85944574486</v>
      </c>
      <c r="O79" s="561">
        <f t="shared" si="27"/>
        <v>193459.24038689095</v>
      </c>
    </row>
    <row r="80" spans="2:17" s="563" customFormat="1" ht="12.75">
      <c r="B80" s="398">
        <v>43738</v>
      </c>
      <c r="E80" s="630">
        <f t="shared" si="3"/>
        <v>-6494703.0701314239</v>
      </c>
      <c r="F80" s="630">
        <f t="shared" si="30"/>
        <v>-6494703.070131422</v>
      </c>
      <c r="G80" s="561"/>
      <c r="H80" s="630">
        <f t="shared" si="26"/>
        <v>6494703.0701314192</v>
      </c>
      <c r="I80" s="630">
        <f t="shared" si="20"/>
        <v>6488945.3546437146</v>
      </c>
      <c r="J80" s="630">
        <f t="shared" si="28"/>
        <v>-5757.7154877074063</v>
      </c>
      <c r="K80" s="630"/>
      <c r="L80" s="814">
        <f t="shared" si="23"/>
        <v>193459.2403868956</v>
      </c>
      <c r="M80" s="630">
        <f t="shared" si="24"/>
        <v>194668.36063931367</v>
      </c>
      <c r="N80" s="630">
        <f t="shared" si="18"/>
        <v>188910.64515160627</v>
      </c>
      <c r="O80" s="561">
        <f t="shared" si="27"/>
        <v>193459.24038689095</v>
      </c>
    </row>
    <row r="81" spans="2:15" s="563" customFormat="1" ht="12.75">
      <c r="B81" s="398">
        <v>43769</v>
      </c>
      <c r="E81" s="630">
        <f t="shared" ref="E81:E88" si="31">E80+D81</f>
        <v>-6494703.0701314239</v>
      </c>
      <c r="F81" s="630">
        <f t="shared" si="30"/>
        <v>-6494703.070131422</v>
      </c>
      <c r="G81" s="561"/>
      <c r="H81" s="630">
        <f t="shared" si="26"/>
        <v>6494703.0701314192</v>
      </c>
      <c r="I81" s="630">
        <f t="shared" si="20"/>
        <v>6494703.0701314202</v>
      </c>
      <c r="J81" s="630">
        <f t="shared" si="28"/>
        <v>0</v>
      </c>
      <c r="K81" s="630"/>
      <c r="L81" s="814">
        <f t="shared" si="23"/>
        <v>193459.2403868956</v>
      </c>
      <c r="M81" s="630">
        <f t="shared" si="24"/>
        <v>193459.2403868956</v>
      </c>
      <c r="N81" s="630">
        <f t="shared" si="18"/>
        <v>193459.2403868956</v>
      </c>
      <c r="O81" s="561">
        <f t="shared" si="27"/>
        <v>193459.24038689095</v>
      </c>
    </row>
    <row r="82" spans="2:15" s="563" customFormat="1" ht="12.75">
      <c r="B82" s="398">
        <v>43799</v>
      </c>
      <c r="E82" s="630">
        <f t="shared" si="31"/>
        <v>-6494703.0701314239</v>
      </c>
      <c r="F82" s="630">
        <f t="shared" si="30"/>
        <v>-6494703.070131422</v>
      </c>
      <c r="G82" s="561"/>
      <c r="H82" s="630">
        <f t="shared" si="26"/>
        <v>6494703.0701314192</v>
      </c>
      <c r="I82" s="630">
        <f t="shared" si="20"/>
        <v>6494703.0701314202</v>
      </c>
      <c r="J82" s="630">
        <f t="shared" si="28"/>
        <v>0</v>
      </c>
      <c r="K82" s="630"/>
      <c r="L82" s="814">
        <f t="shared" si="23"/>
        <v>193459.2403868956</v>
      </c>
      <c r="M82" s="630">
        <f t="shared" si="24"/>
        <v>193459.2403868956</v>
      </c>
      <c r="N82" s="630">
        <f t="shared" si="18"/>
        <v>193459.2403868956</v>
      </c>
      <c r="O82" s="561">
        <f t="shared" si="27"/>
        <v>193459.24038689095</v>
      </c>
    </row>
    <row r="83" spans="2:15" ht="12.75">
      <c r="B83" s="386">
        <v>43830</v>
      </c>
      <c r="E83" s="389">
        <f t="shared" si="31"/>
        <v>-6494703.0701314239</v>
      </c>
      <c r="F83" s="389">
        <f t="shared" si="30"/>
        <v>-6494703.070131422</v>
      </c>
      <c r="G83" s="392"/>
      <c r="H83" s="389">
        <f t="shared" si="26"/>
        <v>6494703.0701314192</v>
      </c>
      <c r="I83" s="389">
        <f t="shared" si="20"/>
        <v>6494703.0701314202</v>
      </c>
      <c r="J83" s="389">
        <f t="shared" si="28"/>
        <v>0</v>
      </c>
      <c r="K83" s="389"/>
      <c r="L83" s="574">
        <f t="shared" si="23"/>
        <v>193459.2403868956</v>
      </c>
      <c r="M83" s="389">
        <f t="shared" si="24"/>
        <v>193459.2403868956</v>
      </c>
      <c r="N83" s="397">
        <f t="shared" si="18"/>
        <v>193459.2403868956</v>
      </c>
      <c r="O83" s="399">
        <f t="shared" si="27"/>
        <v>193459.24038689095</v>
      </c>
    </row>
    <row r="84" spans="2:15" ht="12.75">
      <c r="B84" s="386">
        <v>43861</v>
      </c>
      <c r="E84" s="389">
        <f t="shared" si="31"/>
        <v>-6494703.0701314239</v>
      </c>
      <c r="F84" s="389">
        <f t="shared" si="30"/>
        <v>-6494703.070131422</v>
      </c>
      <c r="G84" s="392"/>
      <c r="H84" s="389">
        <f t="shared" si="26"/>
        <v>6494703.0701314192</v>
      </c>
      <c r="I84" s="389">
        <f t="shared" si="20"/>
        <v>6494703.0701314202</v>
      </c>
      <c r="J84" s="389">
        <f t="shared" si="28"/>
        <v>0</v>
      </c>
      <c r="K84" s="389"/>
      <c r="L84" s="574">
        <f t="shared" si="23"/>
        <v>193459.2403868956</v>
      </c>
      <c r="M84" s="389">
        <f t="shared" si="24"/>
        <v>193459.2403868956</v>
      </c>
      <c r="N84" s="397">
        <f t="shared" si="18"/>
        <v>193459.2403868956</v>
      </c>
      <c r="O84" s="399">
        <f t="shared" si="27"/>
        <v>193459.24038689095</v>
      </c>
    </row>
    <row r="85" spans="2:15" ht="12.75">
      <c r="B85" s="386">
        <v>43890</v>
      </c>
      <c r="E85" s="389">
        <f t="shared" si="31"/>
        <v>-6494703.0701314239</v>
      </c>
      <c r="F85" s="389">
        <f t="shared" si="30"/>
        <v>-6494703.070131422</v>
      </c>
      <c r="G85" s="392"/>
      <c r="H85" s="389">
        <f t="shared" si="26"/>
        <v>6494703.0701314192</v>
      </c>
      <c r="I85" s="389">
        <f t="shared" si="20"/>
        <v>6494703.0701314202</v>
      </c>
      <c r="J85" s="389">
        <f t="shared" si="28"/>
        <v>0</v>
      </c>
      <c r="K85" s="389"/>
      <c r="L85" s="574">
        <f t="shared" si="23"/>
        <v>193459.2403868956</v>
      </c>
      <c r="M85" s="389">
        <f t="shared" si="24"/>
        <v>193459.2403868956</v>
      </c>
      <c r="N85" s="397">
        <f t="shared" si="18"/>
        <v>193459.2403868956</v>
      </c>
      <c r="O85" s="399">
        <f t="shared" si="27"/>
        <v>193459.24038689095</v>
      </c>
    </row>
    <row r="86" spans="2:15" ht="12.75">
      <c r="B86" s="386">
        <v>43921</v>
      </c>
      <c r="E86" s="389">
        <f t="shared" si="31"/>
        <v>-6494703.0701314239</v>
      </c>
      <c r="F86" s="389">
        <f t="shared" si="30"/>
        <v>-6494703.070131422</v>
      </c>
      <c r="G86" s="392"/>
      <c r="H86" s="389">
        <f t="shared" si="26"/>
        <v>6494703.0701314192</v>
      </c>
      <c r="I86" s="389">
        <f t="shared" si="20"/>
        <v>6494703.0701314202</v>
      </c>
      <c r="J86" s="389">
        <f t="shared" si="28"/>
        <v>0</v>
      </c>
      <c r="K86" s="389"/>
      <c r="L86" s="574">
        <f t="shared" si="23"/>
        <v>193459.2403868956</v>
      </c>
      <c r="M86" s="389">
        <f t="shared" si="24"/>
        <v>193459.2403868956</v>
      </c>
      <c r="N86" s="397">
        <f t="shared" si="18"/>
        <v>193459.2403868956</v>
      </c>
      <c r="O86" s="399">
        <f t="shared" si="27"/>
        <v>193459.24038689095</v>
      </c>
    </row>
    <row r="87" spans="2:15" ht="12.75">
      <c r="B87" s="386">
        <v>43951</v>
      </c>
      <c r="E87" s="389">
        <f t="shared" si="31"/>
        <v>-6494703.0701314239</v>
      </c>
      <c r="F87" s="389">
        <f t="shared" si="30"/>
        <v>-6494703.070131422</v>
      </c>
      <c r="G87" s="392"/>
      <c r="H87" s="389">
        <f t="shared" si="26"/>
        <v>6494703.0701314192</v>
      </c>
      <c r="I87" s="389">
        <f t="shared" si="20"/>
        <v>6494703.0701314202</v>
      </c>
      <c r="J87" s="389">
        <f t="shared" si="28"/>
        <v>0</v>
      </c>
      <c r="K87" s="389"/>
      <c r="L87" s="574">
        <f t="shared" si="23"/>
        <v>193459.2403868956</v>
      </c>
      <c r="M87" s="630">
        <f t="shared" si="24"/>
        <v>193459.2403868956</v>
      </c>
      <c r="N87" s="630">
        <f t="shared" si="18"/>
        <v>193459.2403868956</v>
      </c>
      <c r="O87" s="399">
        <f t="shared" si="27"/>
        <v>193459.24038689095</v>
      </c>
    </row>
    <row r="88" spans="2:15" ht="12.75">
      <c r="B88" s="386">
        <v>43982</v>
      </c>
      <c r="E88" s="389">
        <f t="shared" si="31"/>
        <v>-6494703.0701314239</v>
      </c>
      <c r="F88" s="389">
        <f t="shared" si="30"/>
        <v>-6494703.070131422</v>
      </c>
      <c r="G88" s="392"/>
      <c r="H88" s="389">
        <f t="shared" si="26"/>
        <v>6494703.0701314192</v>
      </c>
      <c r="I88" s="389">
        <f t="shared" si="20"/>
        <v>6494703.0701314202</v>
      </c>
      <c r="J88" s="389">
        <f t="shared" si="28"/>
        <v>0</v>
      </c>
      <c r="K88" s="389"/>
      <c r="L88" s="574">
        <f t="shared" si="23"/>
        <v>193459.2403868956</v>
      </c>
      <c r="M88" s="630">
        <f t="shared" si="24"/>
        <v>193459.2403868956</v>
      </c>
      <c r="N88" s="630">
        <f t="shared" ref="N88" si="32">M88+J88</f>
        <v>193459.2403868956</v>
      </c>
      <c r="O88" s="399">
        <f t="shared" si="27"/>
        <v>193459.24038689095</v>
      </c>
    </row>
    <row r="89" spans="2:15" ht="12.75">
      <c r="B89" s="386">
        <v>44012</v>
      </c>
      <c r="E89" s="389">
        <f t="shared" ref="E89:E99" si="33">E88+D89</f>
        <v>-6494703.0701314239</v>
      </c>
      <c r="F89" s="389">
        <f t="shared" ref="F89:F99" si="34">(E77+E89+SUM(E78:E88)*2)/24</f>
        <v>-6494703.070131422</v>
      </c>
      <c r="G89" s="392"/>
      <c r="H89" s="389">
        <f t="shared" ref="H89:H99" si="35">H88-G89</f>
        <v>6494703.0701314192</v>
      </c>
      <c r="I89" s="389">
        <f t="shared" ref="I89:I99" si="36">(H77+H89+SUM(H78:H88)*2)/24</f>
        <v>6494703.0701314202</v>
      </c>
      <c r="J89" s="389">
        <f t="shared" ref="J89:J99" si="37">F89+I89</f>
        <v>0</v>
      </c>
      <c r="K89" s="389"/>
      <c r="L89" s="574">
        <f t="shared" ref="L89:L99" si="38">L88+K89</f>
        <v>193459.2403868956</v>
      </c>
      <c r="M89" s="630">
        <f t="shared" ref="M89:M99" si="39">(L77+L89+SUM(L78:L88)*2)/24</f>
        <v>193459.2403868956</v>
      </c>
      <c r="N89" s="630">
        <f t="shared" ref="N89:N99" si="40">M89+J89</f>
        <v>193459.2403868956</v>
      </c>
      <c r="O89" s="399">
        <f t="shared" ref="O89:O99" si="41">E89+H89+L89</f>
        <v>193459.24038689095</v>
      </c>
    </row>
    <row r="90" spans="2:15" ht="12.75">
      <c r="B90" s="386">
        <v>44043</v>
      </c>
      <c r="E90" s="389">
        <f t="shared" si="33"/>
        <v>-6494703.0701314239</v>
      </c>
      <c r="F90" s="389">
        <f t="shared" si="34"/>
        <v>-6494703.070131422</v>
      </c>
      <c r="G90" s="392"/>
      <c r="H90" s="389">
        <f t="shared" si="35"/>
        <v>6494703.0701314192</v>
      </c>
      <c r="I90" s="389">
        <f t="shared" si="36"/>
        <v>6494703.0701314202</v>
      </c>
      <c r="J90" s="389">
        <f t="shared" si="37"/>
        <v>0</v>
      </c>
      <c r="K90" s="389"/>
      <c r="L90" s="574">
        <f t="shared" si="38"/>
        <v>193459.2403868956</v>
      </c>
      <c r="M90" s="630">
        <f t="shared" si="39"/>
        <v>193459.2403868956</v>
      </c>
      <c r="N90" s="630">
        <f t="shared" si="40"/>
        <v>193459.2403868956</v>
      </c>
      <c r="O90" s="399">
        <f t="shared" si="41"/>
        <v>193459.24038689095</v>
      </c>
    </row>
    <row r="91" spans="2:15" ht="12.75">
      <c r="B91" s="386">
        <v>44074</v>
      </c>
      <c r="E91" s="389">
        <f t="shared" si="33"/>
        <v>-6494703.0701314239</v>
      </c>
      <c r="F91" s="389">
        <f t="shared" si="34"/>
        <v>-6494703.070131422</v>
      </c>
      <c r="G91" s="392"/>
      <c r="H91" s="389">
        <f t="shared" si="35"/>
        <v>6494703.0701314192</v>
      </c>
      <c r="I91" s="389">
        <f t="shared" si="36"/>
        <v>6494703.0701314202</v>
      </c>
      <c r="J91" s="389">
        <f t="shared" si="37"/>
        <v>0</v>
      </c>
      <c r="K91" s="389"/>
      <c r="L91" s="574">
        <f t="shared" si="38"/>
        <v>193459.2403868956</v>
      </c>
      <c r="M91" s="630">
        <f t="shared" si="39"/>
        <v>193459.2403868956</v>
      </c>
      <c r="N91" s="630">
        <f t="shared" si="40"/>
        <v>193459.2403868956</v>
      </c>
      <c r="O91" s="399">
        <f t="shared" si="41"/>
        <v>193459.24038689095</v>
      </c>
    </row>
    <row r="92" spans="2:15" ht="12.75">
      <c r="B92" s="386">
        <v>44104</v>
      </c>
      <c r="E92" s="389">
        <f t="shared" si="33"/>
        <v>-6494703.0701314239</v>
      </c>
      <c r="F92" s="389">
        <f t="shared" si="34"/>
        <v>-6494703.070131422</v>
      </c>
      <c r="G92" s="392"/>
      <c r="H92" s="389">
        <f t="shared" si="35"/>
        <v>6494703.0701314192</v>
      </c>
      <c r="I92" s="389">
        <f t="shared" si="36"/>
        <v>6494703.0701314202</v>
      </c>
      <c r="J92" s="389">
        <f t="shared" si="37"/>
        <v>0</v>
      </c>
      <c r="K92" s="389"/>
      <c r="L92" s="574">
        <f t="shared" si="38"/>
        <v>193459.2403868956</v>
      </c>
      <c r="M92" s="630">
        <f t="shared" si="39"/>
        <v>193459.2403868956</v>
      </c>
      <c r="N92" s="630">
        <f t="shared" si="40"/>
        <v>193459.2403868956</v>
      </c>
      <c r="O92" s="399">
        <f t="shared" si="41"/>
        <v>193459.24038689095</v>
      </c>
    </row>
    <row r="93" spans="2:15" ht="12.75">
      <c r="B93" s="386">
        <v>44135</v>
      </c>
      <c r="E93" s="389">
        <f t="shared" si="33"/>
        <v>-6494703.0701314239</v>
      </c>
      <c r="F93" s="389">
        <f t="shared" si="34"/>
        <v>-6494703.070131422</v>
      </c>
      <c r="G93" s="392"/>
      <c r="H93" s="389">
        <f t="shared" si="35"/>
        <v>6494703.0701314192</v>
      </c>
      <c r="I93" s="389">
        <f t="shared" si="36"/>
        <v>6494703.0701314202</v>
      </c>
      <c r="J93" s="389">
        <f t="shared" si="37"/>
        <v>0</v>
      </c>
      <c r="K93" s="389"/>
      <c r="L93" s="574">
        <f t="shared" si="38"/>
        <v>193459.2403868956</v>
      </c>
      <c r="M93" s="630">
        <f t="shared" si="39"/>
        <v>193459.2403868956</v>
      </c>
      <c r="N93" s="630">
        <f t="shared" si="40"/>
        <v>193459.2403868956</v>
      </c>
      <c r="O93" s="399">
        <f t="shared" si="41"/>
        <v>193459.24038689095</v>
      </c>
    </row>
    <row r="94" spans="2:15" ht="12.75">
      <c r="B94" s="386">
        <v>44165</v>
      </c>
      <c r="E94" s="389">
        <f t="shared" si="33"/>
        <v>-6494703.0701314239</v>
      </c>
      <c r="F94" s="389">
        <f t="shared" si="34"/>
        <v>-6494703.070131422</v>
      </c>
      <c r="G94" s="392"/>
      <c r="H94" s="389">
        <f t="shared" si="35"/>
        <v>6494703.0701314192</v>
      </c>
      <c r="I94" s="389">
        <f t="shared" si="36"/>
        <v>6494703.0701314202</v>
      </c>
      <c r="J94" s="389">
        <f t="shared" si="37"/>
        <v>0</v>
      </c>
      <c r="K94" s="389"/>
      <c r="L94" s="574">
        <f t="shared" si="38"/>
        <v>193459.2403868956</v>
      </c>
      <c r="M94" s="630">
        <f t="shared" si="39"/>
        <v>193459.2403868956</v>
      </c>
      <c r="N94" s="630">
        <f t="shared" si="40"/>
        <v>193459.2403868956</v>
      </c>
      <c r="O94" s="399">
        <f t="shared" si="41"/>
        <v>193459.24038689095</v>
      </c>
    </row>
    <row r="95" spans="2:15" ht="12.75">
      <c r="B95" s="386">
        <v>44196</v>
      </c>
      <c r="E95" s="389">
        <f t="shared" si="33"/>
        <v>-6494703.0701314239</v>
      </c>
      <c r="F95" s="389">
        <f t="shared" si="34"/>
        <v>-6494703.070131422</v>
      </c>
      <c r="G95" s="392"/>
      <c r="H95" s="389">
        <f t="shared" si="35"/>
        <v>6494703.0701314192</v>
      </c>
      <c r="I95" s="389">
        <f t="shared" si="36"/>
        <v>6494703.0701314202</v>
      </c>
      <c r="J95" s="389">
        <f t="shared" si="37"/>
        <v>0</v>
      </c>
      <c r="K95" s="389"/>
      <c r="L95" s="574">
        <f t="shared" si="38"/>
        <v>193459.2403868956</v>
      </c>
      <c r="M95" s="630">
        <f t="shared" si="39"/>
        <v>193459.2403868956</v>
      </c>
      <c r="N95" s="630">
        <f t="shared" si="40"/>
        <v>193459.2403868956</v>
      </c>
      <c r="O95" s="399">
        <f t="shared" si="41"/>
        <v>193459.24038689095</v>
      </c>
    </row>
    <row r="96" spans="2:15" ht="12.75">
      <c r="B96" s="386">
        <v>44227</v>
      </c>
      <c r="E96" s="389">
        <f t="shared" si="33"/>
        <v>-6494703.0701314239</v>
      </c>
      <c r="F96" s="389">
        <f t="shared" si="34"/>
        <v>-6494703.070131422</v>
      </c>
      <c r="G96" s="392"/>
      <c r="H96" s="389">
        <f t="shared" si="35"/>
        <v>6494703.0701314192</v>
      </c>
      <c r="I96" s="389">
        <f t="shared" si="36"/>
        <v>6494703.0701314202</v>
      </c>
      <c r="J96" s="389">
        <f t="shared" si="37"/>
        <v>0</v>
      </c>
      <c r="K96" s="389"/>
      <c r="L96" s="574">
        <f t="shared" si="38"/>
        <v>193459.2403868956</v>
      </c>
      <c r="M96" s="630">
        <f t="shared" si="39"/>
        <v>193459.2403868956</v>
      </c>
      <c r="N96" s="630">
        <f t="shared" si="40"/>
        <v>193459.2403868956</v>
      </c>
      <c r="O96" s="399">
        <f t="shared" si="41"/>
        <v>193459.24038689095</v>
      </c>
    </row>
    <row r="97" spans="2:15" ht="12.75">
      <c r="B97" s="386">
        <v>44255</v>
      </c>
      <c r="E97" s="389">
        <f t="shared" si="33"/>
        <v>-6494703.0701314239</v>
      </c>
      <c r="F97" s="389">
        <f t="shared" si="34"/>
        <v>-6494703.070131422</v>
      </c>
      <c r="G97" s="392"/>
      <c r="H97" s="389">
        <f t="shared" si="35"/>
        <v>6494703.0701314192</v>
      </c>
      <c r="I97" s="389">
        <f t="shared" si="36"/>
        <v>6494703.0701314202</v>
      </c>
      <c r="J97" s="389">
        <f t="shared" si="37"/>
        <v>0</v>
      </c>
      <c r="K97" s="389"/>
      <c r="L97" s="574">
        <f t="shared" si="38"/>
        <v>193459.2403868956</v>
      </c>
      <c r="M97" s="630">
        <f t="shared" si="39"/>
        <v>193459.2403868956</v>
      </c>
      <c r="N97" s="630">
        <f t="shared" si="40"/>
        <v>193459.2403868956</v>
      </c>
      <c r="O97" s="399">
        <f t="shared" si="41"/>
        <v>193459.24038689095</v>
      </c>
    </row>
    <row r="98" spans="2:15" ht="12.75">
      <c r="B98" s="386">
        <v>44286</v>
      </c>
      <c r="E98" s="389">
        <f t="shared" si="33"/>
        <v>-6494703.0701314239</v>
      </c>
      <c r="F98" s="389">
        <f t="shared" si="34"/>
        <v>-6494703.070131422</v>
      </c>
      <c r="G98" s="392"/>
      <c r="H98" s="389">
        <f t="shared" si="35"/>
        <v>6494703.0701314192</v>
      </c>
      <c r="I98" s="389">
        <f t="shared" si="36"/>
        <v>6494703.0701314202</v>
      </c>
      <c r="J98" s="389">
        <f t="shared" si="37"/>
        <v>0</v>
      </c>
      <c r="K98" s="389"/>
      <c r="L98" s="574">
        <f t="shared" si="38"/>
        <v>193459.2403868956</v>
      </c>
      <c r="M98" s="630">
        <f t="shared" si="39"/>
        <v>193459.2403868956</v>
      </c>
      <c r="N98" s="630">
        <f t="shared" si="40"/>
        <v>193459.2403868956</v>
      </c>
      <c r="O98" s="399">
        <f t="shared" si="41"/>
        <v>193459.24038689095</v>
      </c>
    </row>
    <row r="99" spans="2:15" ht="12.75">
      <c r="B99" s="386">
        <v>44316</v>
      </c>
      <c r="E99" s="389">
        <f t="shared" si="33"/>
        <v>-6494703.0701314239</v>
      </c>
      <c r="F99" s="389">
        <f t="shared" si="34"/>
        <v>-6494703.070131422</v>
      </c>
      <c r="G99" s="392"/>
      <c r="H99" s="389">
        <f t="shared" si="35"/>
        <v>6494703.0701314192</v>
      </c>
      <c r="I99" s="389">
        <f t="shared" si="36"/>
        <v>6494703.0701314202</v>
      </c>
      <c r="J99" s="389">
        <f t="shared" si="37"/>
        <v>0</v>
      </c>
      <c r="K99" s="389"/>
      <c r="L99" s="574">
        <f t="shared" si="38"/>
        <v>193459.2403868956</v>
      </c>
      <c r="M99" s="630">
        <f t="shared" si="39"/>
        <v>193459.2403868956</v>
      </c>
      <c r="N99" s="630">
        <f t="shared" si="40"/>
        <v>193459.2403868956</v>
      </c>
      <c r="O99" s="399">
        <f t="shared" si="41"/>
        <v>193459.24038689095</v>
      </c>
    </row>
    <row r="100" spans="2:15" ht="12.75">
      <c r="B100" s="386"/>
      <c r="E100" s="389"/>
      <c r="F100" s="389"/>
      <c r="G100" s="392"/>
      <c r="H100" s="389"/>
      <c r="I100" s="389"/>
      <c r="J100" s="389"/>
      <c r="K100" s="389"/>
      <c r="L100" s="389"/>
      <c r="M100" s="630"/>
      <c r="N100" s="630"/>
    </row>
    <row r="101" spans="2:15" ht="12.75">
      <c r="B101" s="386"/>
      <c r="E101" s="389"/>
      <c r="F101" s="389"/>
      <c r="G101" s="392"/>
      <c r="H101" s="389"/>
      <c r="I101" s="389"/>
      <c r="J101" s="389"/>
      <c r="K101" s="389"/>
      <c r="L101" s="389"/>
      <c r="M101" s="630"/>
      <c r="N101" s="630"/>
    </row>
    <row r="102" spans="2:15" ht="12.75">
      <c r="B102" s="386"/>
      <c r="E102" s="389"/>
      <c r="F102" s="389"/>
      <c r="G102" s="392"/>
      <c r="H102" s="389"/>
      <c r="I102" s="389"/>
      <c r="J102" s="389"/>
      <c r="K102" s="389"/>
      <c r="L102" s="389"/>
      <c r="M102" s="630"/>
      <c r="N102" s="630"/>
    </row>
    <row r="103" spans="2:15" ht="12.75">
      <c r="B103" s="386"/>
      <c r="E103" s="389"/>
      <c r="F103" s="389"/>
      <c r="G103" s="392"/>
      <c r="H103" s="389"/>
      <c r="I103" s="389"/>
      <c r="J103" s="389"/>
      <c r="K103" s="389"/>
      <c r="L103" s="389"/>
      <c r="M103" s="630"/>
      <c r="N103" s="630"/>
    </row>
    <row r="104" spans="2:15" ht="12.75">
      <c r="B104" s="386"/>
      <c r="E104" s="389"/>
      <c r="F104" s="389"/>
      <c r="G104" s="392"/>
      <c r="H104" s="389"/>
      <c r="I104" s="389"/>
      <c r="J104" s="389"/>
      <c r="K104" s="389"/>
      <c r="L104" s="389"/>
      <c r="M104" s="630"/>
      <c r="N104" s="630"/>
    </row>
    <row r="105" spans="2:15" ht="12.75">
      <c r="B105" s="386"/>
      <c r="E105" s="389"/>
      <c r="F105" s="389"/>
      <c r="G105" s="392"/>
      <c r="H105" s="389"/>
      <c r="I105" s="389"/>
      <c r="J105" s="389"/>
      <c r="K105" s="389"/>
      <c r="L105" s="389"/>
      <c r="M105" s="630"/>
      <c r="N105" s="630"/>
    </row>
    <row r="106" spans="2:15" ht="13.5" thickBot="1">
      <c r="B106" s="386"/>
      <c r="E106" s="389"/>
      <c r="F106" s="389"/>
      <c r="G106" s="392"/>
      <c r="H106" s="389"/>
      <c r="I106" s="389"/>
      <c r="J106" s="389"/>
      <c r="K106" s="389"/>
      <c r="L106" s="389"/>
      <c r="M106" s="630"/>
      <c r="N106" s="630"/>
    </row>
    <row r="107" spans="2:15" ht="12.75">
      <c r="B107" s="723" t="s">
        <v>799</v>
      </c>
      <c r="E107" s="389"/>
      <c r="F107" s="389"/>
      <c r="G107" s="725">
        <f>SUM(G60:G71)</f>
        <v>-1381851.7170492394</v>
      </c>
      <c r="H107" s="389"/>
      <c r="I107" s="389"/>
      <c r="J107" s="389"/>
      <c r="K107" s="389"/>
      <c r="L107" s="389"/>
      <c r="M107" s="389"/>
      <c r="N107" s="397"/>
    </row>
    <row r="108" spans="2:15" ht="13.5" thickBot="1">
      <c r="B108" s="724" t="s">
        <v>800</v>
      </c>
      <c r="E108" s="389"/>
      <c r="F108" s="389"/>
      <c r="G108" s="726">
        <f>SUM(G88:G99)</f>
        <v>0</v>
      </c>
      <c r="H108" s="389"/>
      <c r="I108" s="389"/>
      <c r="J108" s="389"/>
      <c r="K108" s="389"/>
      <c r="L108" s="389"/>
      <c r="M108" s="389"/>
      <c r="N108" s="397"/>
    </row>
    <row r="109" spans="2:15" ht="12.75">
      <c r="B109" s="386"/>
      <c r="E109" s="389"/>
      <c r="F109" s="389"/>
      <c r="G109" s="392"/>
      <c r="H109" s="389"/>
      <c r="I109" s="389"/>
      <c r="J109" s="389"/>
      <c r="K109" s="389"/>
      <c r="L109" s="389"/>
      <c r="M109" s="389"/>
      <c r="N109" s="397"/>
    </row>
    <row r="110" spans="2:15" ht="12.75">
      <c r="B110" s="385"/>
      <c r="E110" s="389"/>
      <c r="F110" s="389"/>
      <c r="G110" s="392"/>
      <c r="H110" s="389"/>
      <c r="I110" s="389"/>
      <c r="J110" s="389"/>
      <c r="K110" s="389"/>
      <c r="L110" s="389"/>
      <c r="M110" s="389"/>
      <c r="N110" s="397"/>
    </row>
    <row r="111" spans="2:15" ht="12.75">
      <c r="B111" s="385"/>
      <c r="E111" s="389"/>
      <c r="F111" s="863"/>
      <c r="G111" s="864"/>
      <c r="H111" s="865"/>
      <c r="I111" s="864"/>
      <c r="J111" s="864"/>
      <c r="K111" s="864"/>
      <c r="L111" s="864"/>
      <c r="M111" s="866"/>
      <c r="N111" s="397"/>
    </row>
    <row r="112" spans="2:15" ht="12.75">
      <c r="B112" s="385"/>
      <c r="E112" s="389"/>
      <c r="F112" s="867"/>
      <c r="G112" s="389"/>
      <c r="H112" s="393"/>
      <c r="I112" s="389"/>
      <c r="J112" s="389"/>
      <c r="K112" s="877" t="s">
        <v>875</v>
      </c>
      <c r="L112" s="389"/>
      <c r="M112" s="868"/>
      <c r="N112" s="397"/>
    </row>
    <row r="113" spans="2:14" ht="12.75">
      <c r="B113" s="395"/>
      <c r="E113" s="389"/>
      <c r="F113" s="867" t="s">
        <v>873</v>
      </c>
      <c r="G113" s="389"/>
      <c r="H113" s="393" t="s">
        <v>6</v>
      </c>
      <c r="I113" s="877" t="s">
        <v>871</v>
      </c>
      <c r="J113" s="877" t="s">
        <v>587</v>
      </c>
      <c r="K113" s="877" t="s">
        <v>9</v>
      </c>
      <c r="L113" s="877" t="s">
        <v>2</v>
      </c>
      <c r="M113" s="868"/>
      <c r="N113" s="397"/>
    </row>
    <row r="114" spans="2:14" ht="12.75">
      <c r="B114" s="386"/>
      <c r="E114" s="389"/>
      <c r="F114" s="867" t="s">
        <v>874</v>
      </c>
      <c r="G114" s="345"/>
      <c r="H114" s="870" t="s">
        <v>870</v>
      </c>
      <c r="I114" s="389"/>
      <c r="J114" s="389"/>
      <c r="K114" s="389"/>
      <c r="L114" s="389">
        <v>-1381856</v>
      </c>
      <c r="M114" s="868"/>
      <c r="N114" s="397"/>
    </row>
    <row r="115" spans="2:14" ht="12.75">
      <c r="B115" s="386"/>
      <c r="E115" s="389"/>
      <c r="F115" s="867"/>
      <c r="G115" s="389"/>
      <c r="H115" s="871">
        <v>1</v>
      </c>
      <c r="I115" s="389">
        <v>138185</v>
      </c>
      <c r="J115" s="389"/>
      <c r="K115" s="389">
        <v>138185</v>
      </c>
      <c r="L115" s="389">
        <f>L114+I115-J115</f>
        <v>-1243671</v>
      </c>
      <c r="M115" s="868"/>
      <c r="N115" s="397"/>
    </row>
    <row r="116" spans="2:14" ht="12.75">
      <c r="B116" s="386"/>
      <c r="E116" s="389"/>
      <c r="F116" s="867"/>
      <c r="G116" s="389"/>
      <c r="H116" s="871">
        <v>2</v>
      </c>
      <c r="I116" s="389">
        <v>138185</v>
      </c>
      <c r="J116" s="389"/>
      <c r="K116" s="389">
        <v>138185</v>
      </c>
      <c r="L116" s="389">
        <f t="shared" ref="L116:L126" si="42">L115+I116-J116</f>
        <v>-1105486</v>
      </c>
      <c r="M116" s="868"/>
      <c r="N116" s="397"/>
    </row>
    <row r="117" spans="2:14" ht="12.75">
      <c r="B117" s="386"/>
      <c r="E117" s="389"/>
      <c r="F117" s="867"/>
      <c r="G117" s="389"/>
      <c r="H117" s="871">
        <v>3</v>
      </c>
      <c r="I117" s="389">
        <v>138185</v>
      </c>
      <c r="J117" s="389"/>
      <c r="K117" s="389">
        <v>138185</v>
      </c>
      <c r="L117" s="389">
        <f t="shared" si="42"/>
        <v>-967301</v>
      </c>
      <c r="M117" s="868"/>
      <c r="N117" s="397"/>
    </row>
    <row r="118" spans="2:14" ht="12.75">
      <c r="B118" s="386"/>
      <c r="E118" s="389"/>
      <c r="F118" s="867"/>
      <c r="G118" s="389"/>
      <c r="H118" s="871">
        <v>4</v>
      </c>
      <c r="I118" s="389">
        <v>138185</v>
      </c>
      <c r="J118" s="389"/>
      <c r="K118" s="389">
        <v>138185</v>
      </c>
      <c r="L118" s="389">
        <f t="shared" si="42"/>
        <v>-829116</v>
      </c>
      <c r="M118" s="868"/>
      <c r="N118" s="397"/>
    </row>
    <row r="119" spans="2:14" ht="12.75">
      <c r="B119" s="386"/>
      <c r="E119" s="389"/>
      <c r="F119" s="867"/>
      <c r="G119" s="389"/>
      <c r="H119" s="871">
        <v>5</v>
      </c>
      <c r="I119" s="389">
        <v>138185</v>
      </c>
      <c r="J119" s="389"/>
      <c r="K119" s="389">
        <v>138185</v>
      </c>
      <c r="L119" s="389">
        <f t="shared" si="42"/>
        <v>-690931</v>
      </c>
      <c r="M119" s="868"/>
      <c r="N119" s="397"/>
    </row>
    <row r="120" spans="2:14" ht="12.75">
      <c r="B120" s="386"/>
      <c r="E120" s="389"/>
      <c r="F120" s="867"/>
      <c r="G120" s="389"/>
      <c r="H120" s="871">
        <v>6</v>
      </c>
      <c r="I120" s="389">
        <v>138185</v>
      </c>
      <c r="J120" s="389"/>
      <c r="K120" s="389">
        <v>138185</v>
      </c>
      <c r="L120" s="389">
        <f t="shared" si="42"/>
        <v>-552746</v>
      </c>
      <c r="M120" s="868"/>
      <c r="N120" s="397"/>
    </row>
    <row r="121" spans="2:14" ht="12.75">
      <c r="B121" s="386"/>
      <c r="E121" s="389"/>
      <c r="F121" s="867"/>
      <c r="G121" s="389"/>
      <c r="H121" s="871">
        <v>7</v>
      </c>
      <c r="I121" s="389">
        <v>138185</v>
      </c>
      <c r="J121" s="389"/>
      <c r="K121" s="389">
        <v>138185</v>
      </c>
      <c r="L121" s="389">
        <f t="shared" si="42"/>
        <v>-414561</v>
      </c>
      <c r="M121" s="868"/>
      <c r="N121" s="397"/>
    </row>
    <row r="122" spans="2:14" ht="12.75">
      <c r="B122" s="386"/>
      <c r="E122" s="389"/>
      <c r="F122" s="867"/>
      <c r="G122" s="389"/>
      <c r="H122" s="871">
        <v>8</v>
      </c>
      <c r="I122" s="389">
        <v>138185</v>
      </c>
      <c r="J122" s="389"/>
      <c r="K122" s="389">
        <v>138185</v>
      </c>
      <c r="L122" s="389">
        <f t="shared" si="42"/>
        <v>-276376</v>
      </c>
      <c r="M122" s="868"/>
      <c r="N122" s="397"/>
    </row>
    <row r="123" spans="2:14" ht="12.75">
      <c r="B123" s="385"/>
      <c r="E123" s="389"/>
      <c r="F123" s="867"/>
      <c r="G123" s="389"/>
      <c r="H123" s="871">
        <v>9</v>
      </c>
      <c r="I123" s="389">
        <v>138185</v>
      </c>
      <c r="J123" s="389"/>
      <c r="K123" s="389">
        <v>138185</v>
      </c>
      <c r="L123" s="389">
        <f t="shared" si="42"/>
        <v>-138191</v>
      </c>
      <c r="M123" s="868"/>
      <c r="N123" s="397"/>
    </row>
    <row r="124" spans="2:14" ht="12.75">
      <c r="B124" s="385"/>
      <c r="E124" s="389"/>
      <c r="F124" s="867"/>
      <c r="G124" s="389"/>
      <c r="H124" s="871">
        <v>10</v>
      </c>
      <c r="I124" s="389">
        <v>138191</v>
      </c>
      <c r="J124" s="389"/>
      <c r="K124" s="389">
        <v>138191</v>
      </c>
      <c r="L124" s="389">
        <f t="shared" si="42"/>
        <v>0</v>
      </c>
      <c r="M124" s="868"/>
      <c r="N124" s="397"/>
    </row>
    <row r="125" spans="2:14" ht="12.75">
      <c r="B125" s="395"/>
      <c r="E125" s="389"/>
      <c r="F125" s="869"/>
      <c r="G125" s="345"/>
      <c r="H125" s="871">
        <v>11</v>
      </c>
      <c r="I125" s="345"/>
      <c r="J125" s="345"/>
      <c r="K125" s="345"/>
      <c r="L125" s="389">
        <f t="shared" si="42"/>
        <v>0</v>
      </c>
      <c r="M125" s="872"/>
      <c r="N125" s="397"/>
    </row>
    <row r="126" spans="2:14" ht="12.75">
      <c r="B126" s="386"/>
      <c r="E126" s="389"/>
      <c r="F126" s="869"/>
      <c r="G126" s="345"/>
      <c r="H126" s="871">
        <v>12</v>
      </c>
      <c r="I126" s="345"/>
      <c r="J126" s="345"/>
      <c r="K126" s="345"/>
      <c r="L126" s="389">
        <f t="shared" si="42"/>
        <v>0</v>
      </c>
      <c r="M126" s="872"/>
      <c r="N126" s="397"/>
    </row>
    <row r="127" spans="2:14" ht="12.75">
      <c r="B127" s="386"/>
      <c r="E127" s="389"/>
      <c r="F127" s="873"/>
      <c r="G127" s="874"/>
      <c r="H127" s="874"/>
      <c r="I127" s="874"/>
      <c r="J127" s="874"/>
      <c r="K127" s="874"/>
      <c r="L127" s="874"/>
      <c r="M127" s="875"/>
      <c r="N127" s="397"/>
    </row>
    <row r="128" spans="2:14" ht="12.75">
      <c r="B128" s="386"/>
      <c r="E128" s="389"/>
      <c r="F128" s="389"/>
      <c r="H128" s="389"/>
      <c r="I128" s="389"/>
      <c r="J128" s="389"/>
      <c r="K128" s="389"/>
      <c r="L128" s="389"/>
      <c r="M128" s="389"/>
      <c r="N128" s="397"/>
    </row>
    <row r="129" spans="2:14" ht="12.75">
      <c r="B129" s="386"/>
      <c r="E129" s="389"/>
      <c r="F129" s="389"/>
      <c r="H129" s="389"/>
      <c r="I129" s="389"/>
      <c r="J129" s="389"/>
      <c r="K129" s="389"/>
      <c r="L129" s="389"/>
      <c r="M129" s="389"/>
      <c r="N129" s="397"/>
    </row>
    <row r="131" spans="2:14">
      <c r="I131" s="876"/>
      <c r="K131" s="876"/>
    </row>
  </sheetData>
  <printOptions horizontalCentered="1"/>
  <pageMargins left="0.2" right="0.2" top="0.75" bottom="0.75" header="0.3" footer="0.3"/>
  <pageSetup scale="5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1"/>
  <sheetViews>
    <sheetView zoomScale="85" zoomScaleNormal="85" workbookViewId="0">
      <pane xSplit="3" ySplit="10" topLeftCell="D69" activePane="bottomRight" state="frozen"/>
      <selection activeCell="E87" sqref="E87:E98"/>
      <selection pane="topRight" activeCell="E87" sqref="E87:E98"/>
      <selection pane="bottomLeft" activeCell="E87" sqref="E87:E98"/>
      <selection pane="bottomRight" activeCell="O115" sqref="O115"/>
    </sheetView>
  </sheetViews>
  <sheetFormatPr defaultRowHeight="10.5" outlineLevelRow="1"/>
  <cols>
    <col min="1" max="1" width="2.5" style="344" customWidth="1"/>
    <col min="2" max="2" width="11.83203125" style="344" bestFit="1" customWidth="1"/>
    <col min="3" max="3" width="3.5" style="344" customWidth="1"/>
    <col min="4" max="4" width="12.33203125" style="344" bestFit="1" customWidth="1"/>
    <col min="5" max="7" width="14.5" style="344" bestFit="1" customWidth="1"/>
    <col min="8" max="8" width="15.5" style="344" customWidth="1"/>
    <col min="9" max="9" width="15" style="344" bestFit="1" customWidth="1"/>
    <col min="10" max="10" width="15" style="344" customWidth="1"/>
    <col min="11" max="11" width="19.33203125" style="344" customWidth="1"/>
    <col min="12" max="12" width="15.83203125" style="344" customWidth="1"/>
    <col min="13" max="13" width="14.33203125" style="344" bestFit="1" customWidth="1"/>
    <col min="14" max="15" width="14.5" style="344" bestFit="1" customWidth="1"/>
    <col min="16" max="16" width="11.5" style="551" customWidth="1"/>
    <col min="17" max="256" width="9.1640625" style="551"/>
    <col min="257" max="257" width="2.5" style="551" customWidth="1"/>
    <col min="258" max="258" width="15.5" style="551" bestFit="1" customWidth="1"/>
    <col min="259" max="259" width="3.5" style="551" customWidth="1"/>
    <col min="260" max="261" width="15" style="551" customWidth="1"/>
    <col min="262" max="262" width="16.6640625" style="551" customWidth="1"/>
    <col min="263" max="263" width="15" style="551" bestFit="1" customWidth="1"/>
    <col min="264" max="264" width="19.1640625" style="551" bestFit="1" customWidth="1"/>
    <col min="265" max="265" width="18.5" style="551" customWidth="1"/>
    <col min="266" max="266" width="16.6640625" style="551" customWidth="1"/>
    <col min="267" max="267" width="21" style="551" bestFit="1" customWidth="1"/>
    <col min="268" max="268" width="20.1640625" style="551" bestFit="1" customWidth="1"/>
    <col min="269" max="269" width="14.1640625" style="551" bestFit="1" customWidth="1"/>
    <col min="270" max="270" width="16.83203125" style="551" customWidth="1"/>
    <col min="271" max="512" width="9.1640625" style="551"/>
    <col min="513" max="513" width="2.5" style="551" customWidth="1"/>
    <col min="514" max="514" width="15.5" style="551" bestFit="1" customWidth="1"/>
    <col min="515" max="515" width="3.5" style="551" customWidth="1"/>
    <col min="516" max="517" width="15" style="551" customWidth="1"/>
    <col min="518" max="518" width="16.6640625" style="551" customWidth="1"/>
    <col min="519" max="519" width="15" style="551" bestFit="1" customWidth="1"/>
    <col min="520" max="520" width="19.1640625" style="551" bestFit="1" customWidth="1"/>
    <col min="521" max="521" width="18.5" style="551" customWidth="1"/>
    <col min="522" max="522" width="16.6640625" style="551" customWidth="1"/>
    <col min="523" max="523" width="21" style="551" bestFit="1" customWidth="1"/>
    <col min="524" max="524" width="20.1640625" style="551" bestFit="1" customWidth="1"/>
    <col min="525" max="525" width="14.1640625" style="551" bestFit="1" customWidth="1"/>
    <col min="526" max="526" width="16.83203125" style="551" customWidth="1"/>
    <col min="527" max="768" width="9.1640625" style="551"/>
    <col min="769" max="769" width="2.5" style="551" customWidth="1"/>
    <col min="770" max="770" width="15.5" style="551" bestFit="1" customWidth="1"/>
    <col min="771" max="771" width="3.5" style="551" customWidth="1"/>
    <col min="772" max="773" width="15" style="551" customWidth="1"/>
    <col min="774" max="774" width="16.6640625" style="551" customWidth="1"/>
    <col min="775" max="775" width="15" style="551" bestFit="1" customWidth="1"/>
    <col min="776" max="776" width="19.1640625" style="551" bestFit="1" customWidth="1"/>
    <col min="777" max="777" width="18.5" style="551" customWidth="1"/>
    <col min="778" max="778" width="16.6640625" style="551" customWidth="1"/>
    <col min="779" max="779" width="21" style="551" bestFit="1" customWidth="1"/>
    <col min="780" max="780" width="20.1640625" style="551" bestFit="1" customWidth="1"/>
    <col min="781" max="781" width="14.1640625" style="551" bestFit="1" customWidth="1"/>
    <col min="782" max="782" width="16.83203125" style="551" customWidth="1"/>
    <col min="783" max="1024" width="9.1640625" style="551"/>
    <col min="1025" max="1025" width="2.5" style="551" customWidth="1"/>
    <col min="1026" max="1026" width="15.5" style="551" bestFit="1" customWidth="1"/>
    <col min="1027" max="1027" width="3.5" style="551" customWidth="1"/>
    <col min="1028" max="1029" width="15" style="551" customWidth="1"/>
    <col min="1030" max="1030" width="16.6640625" style="551" customWidth="1"/>
    <col min="1031" max="1031" width="15" style="551" bestFit="1" customWidth="1"/>
    <col min="1032" max="1032" width="19.1640625" style="551" bestFit="1" customWidth="1"/>
    <col min="1033" max="1033" width="18.5" style="551" customWidth="1"/>
    <col min="1034" max="1034" width="16.6640625" style="551" customWidth="1"/>
    <col min="1035" max="1035" width="21" style="551" bestFit="1" customWidth="1"/>
    <col min="1036" max="1036" width="20.1640625" style="551" bestFit="1" customWidth="1"/>
    <col min="1037" max="1037" width="14.1640625" style="551" bestFit="1" customWidth="1"/>
    <col min="1038" max="1038" width="16.83203125" style="551" customWidth="1"/>
    <col min="1039" max="1280" width="9.1640625" style="551"/>
    <col min="1281" max="1281" width="2.5" style="551" customWidth="1"/>
    <col min="1282" max="1282" width="15.5" style="551" bestFit="1" customWidth="1"/>
    <col min="1283" max="1283" width="3.5" style="551" customWidth="1"/>
    <col min="1284" max="1285" width="15" style="551" customWidth="1"/>
    <col min="1286" max="1286" width="16.6640625" style="551" customWidth="1"/>
    <col min="1287" max="1287" width="15" style="551" bestFit="1" customWidth="1"/>
    <col min="1288" max="1288" width="19.1640625" style="551" bestFit="1" customWidth="1"/>
    <col min="1289" max="1289" width="18.5" style="551" customWidth="1"/>
    <col min="1290" max="1290" width="16.6640625" style="551" customWidth="1"/>
    <col min="1291" max="1291" width="21" style="551" bestFit="1" customWidth="1"/>
    <col min="1292" max="1292" width="20.1640625" style="551" bestFit="1" customWidth="1"/>
    <col min="1293" max="1293" width="14.1640625" style="551" bestFit="1" customWidth="1"/>
    <col min="1294" max="1294" width="16.83203125" style="551" customWidth="1"/>
    <col min="1295" max="1536" width="9.1640625" style="551"/>
    <col min="1537" max="1537" width="2.5" style="551" customWidth="1"/>
    <col min="1538" max="1538" width="15.5" style="551" bestFit="1" customWidth="1"/>
    <col min="1539" max="1539" width="3.5" style="551" customWidth="1"/>
    <col min="1540" max="1541" width="15" style="551" customWidth="1"/>
    <col min="1542" max="1542" width="16.6640625" style="551" customWidth="1"/>
    <col min="1543" max="1543" width="15" style="551" bestFit="1" customWidth="1"/>
    <col min="1544" max="1544" width="19.1640625" style="551" bestFit="1" customWidth="1"/>
    <col min="1545" max="1545" width="18.5" style="551" customWidth="1"/>
    <col min="1546" max="1546" width="16.6640625" style="551" customWidth="1"/>
    <col min="1547" max="1547" width="21" style="551" bestFit="1" customWidth="1"/>
    <col min="1548" max="1548" width="20.1640625" style="551" bestFit="1" customWidth="1"/>
    <col min="1549" max="1549" width="14.1640625" style="551" bestFit="1" customWidth="1"/>
    <col min="1550" max="1550" width="16.83203125" style="551" customWidth="1"/>
    <col min="1551" max="1792" width="9.1640625" style="551"/>
    <col min="1793" max="1793" width="2.5" style="551" customWidth="1"/>
    <col min="1794" max="1794" width="15.5" style="551" bestFit="1" customWidth="1"/>
    <col min="1795" max="1795" width="3.5" style="551" customWidth="1"/>
    <col min="1796" max="1797" width="15" style="551" customWidth="1"/>
    <col min="1798" max="1798" width="16.6640625" style="551" customWidth="1"/>
    <col min="1799" max="1799" width="15" style="551" bestFit="1" customWidth="1"/>
    <col min="1800" max="1800" width="19.1640625" style="551" bestFit="1" customWidth="1"/>
    <col min="1801" max="1801" width="18.5" style="551" customWidth="1"/>
    <col min="1802" max="1802" width="16.6640625" style="551" customWidth="1"/>
    <col min="1803" max="1803" width="21" style="551" bestFit="1" customWidth="1"/>
    <col min="1804" max="1804" width="20.1640625" style="551" bestFit="1" customWidth="1"/>
    <col min="1805" max="1805" width="14.1640625" style="551" bestFit="1" customWidth="1"/>
    <col min="1806" max="1806" width="16.83203125" style="551" customWidth="1"/>
    <col min="1807" max="2048" width="9.1640625" style="551"/>
    <col min="2049" max="2049" width="2.5" style="551" customWidth="1"/>
    <col min="2050" max="2050" width="15.5" style="551" bestFit="1" customWidth="1"/>
    <col min="2051" max="2051" width="3.5" style="551" customWidth="1"/>
    <col min="2052" max="2053" width="15" style="551" customWidth="1"/>
    <col min="2054" max="2054" width="16.6640625" style="551" customWidth="1"/>
    <col min="2055" max="2055" width="15" style="551" bestFit="1" customWidth="1"/>
    <col min="2056" max="2056" width="19.1640625" style="551" bestFit="1" customWidth="1"/>
    <col min="2057" max="2057" width="18.5" style="551" customWidth="1"/>
    <col min="2058" max="2058" width="16.6640625" style="551" customWidth="1"/>
    <col min="2059" max="2059" width="21" style="551" bestFit="1" customWidth="1"/>
    <col min="2060" max="2060" width="20.1640625" style="551" bestFit="1" customWidth="1"/>
    <col min="2061" max="2061" width="14.1640625" style="551" bestFit="1" customWidth="1"/>
    <col min="2062" max="2062" width="16.83203125" style="551" customWidth="1"/>
    <col min="2063" max="2304" width="9.1640625" style="551"/>
    <col min="2305" max="2305" width="2.5" style="551" customWidth="1"/>
    <col min="2306" max="2306" width="15.5" style="551" bestFit="1" customWidth="1"/>
    <col min="2307" max="2307" width="3.5" style="551" customWidth="1"/>
    <col min="2308" max="2309" width="15" style="551" customWidth="1"/>
    <col min="2310" max="2310" width="16.6640625" style="551" customWidth="1"/>
    <col min="2311" max="2311" width="15" style="551" bestFit="1" customWidth="1"/>
    <col min="2312" max="2312" width="19.1640625" style="551" bestFit="1" customWidth="1"/>
    <col min="2313" max="2313" width="18.5" style="551" customWidth="1"/>
    <col min="2314" max="2314" width="16.6640625" style="551" customWidth="1"/>
    <col min="2315" max="2315" width="21" style="551" bestFit="1" customWidth="1"/>
    <col min="2316" max="2316" width="20.1640625" style="551" bestFit="1" customWidth="1"/>
    <col min="2317" max="2317" width="14.1640625" style="551" bestFit="1" customWidth="1"/>
    <col min="2318" max="2318" width="16.83203125" style="551" customWidth="1"/>
    <col min="2319" max="2560" width="9.1640625" style="551"/>
    <col min="2561" max="2561" width="2.5" style="551" customWidth="1"/>
    <col min="2562" max="2562" width="15.5" style="551" bestFit="1" customWidth="1"/>
    <col min="2563" max="2563" width="3.5" style="551" customWidth="1"/>
    <col min="2564" max="2565" width="15" style="551" customWidth="1"/>
    <col min="2566" max="2566" width="16.6640625" style="551" customWidth="1"/>
    <col min="2567" max="2567" width="15" style="551" bestFit="1" customWidth="1"/>
    <col min="2568" max="2568" width="19.1640625" style="551" bestFit="1" customWidth="1"/>
    <col min="2569" max="2569" width="18.5" style="551" customWidth="1"/>
    <col min="2570" max="2570" width="16.6640625" style="551" customWidth="1"/>
    <col min="2571" max="2571" width="21" style="551" bestFit="1" customWidth="1"/>
    <col min="2572" max="2572" width="20.1640625" style="551" bestFit="1" customWidth="1"/>
    <col min="2573" max="2573" width="14.1640625" style="551" bestFit="1" customWidth="1"/>
    <col min="2574" max="2574" width="16.83203125" style="551" customWidth="1"/>
    <col min="2575" max="2816" width="9.1640625" style="551"/>
    <col min="2817" max="2817" width="2.5" style="551" customWidth="1"/>
    <col min="2818" max="2818" width="15.5" style="551" bestFit="1" customWidth="1"/>
    <col min="2819" max="2819" width="3.5" style="551" customWidth="1"/>
    <col min="2820" max="2821" width="15" style="551" customWidth="1"/>
    <col min="2822" max="2822" width="16.6640625" style="551" customWidth="1"/>
    <col min="2823" max="2823" width="15" style="551" bestFit="1" customWidth="1"/>
    <col min="2824" max="2824" width="19.1640625" style="551" bestFit="1" customWidth="1"/>
    <col min="2825" max="2825" width="18.5" style="551" customWidth="1"/>
    <col min="2826" max="2826" width="16.6640625" style="551" customWidth="1"/>
    <col min="2827" max="2827" width="21" style="551" bestFit="1" customWidth="1"/>
    <col min="2828" max="2828" width="20.1640625" style="551" bestFit="1" customWidth="1"/>
    <col min="2829" max="2829" width="14.1640625" style="551" bestFit="1" customWidth="1"/>
    <col min="2830" max="2830" width="16.83203125" style="551" customWidth="1"/>
    <col min="2831" max="3072" width="9.1640625" style="551"/>
    <col min="3073" max="3073" width="2.5" style="551" customWidth="1"/>
    <col min="3074" max="3074" width="15.5" style="551" bestFit="1" customWidth="1"/>
    <col min="3075" max="3075" width="3.5" style="551" customWidth="1"/>
    <col min="3076" max="3077" width="15" style="551" customWidth="1"/>
    <col min="3078" max="3078" width="16.6640625" style="551" customWidth="1"/>
    <col min="3079" max="3079" width="15" style="551" bestFit="1" customWidth="1"/>
    <col min="3080" max="3080" width="19.1640625" style="551" bestFit="1" customWidth="1"/>
    <col min="3081" max="3081" width="18.5" style="551" customWidth="1"/>
    <col min="3082" max="3082" width="16.6640625" style="551" customWidth="1"/>
    <col min="3083" max="3083" width="21" style="551" bestFit="1" customWidth="1"/>
    <col min="3084" max="3084" width="20.1640625" style="551" bestFit="1" customWidth="1"/>
    <col min="3085" max="3085" width="14.1640625" style="551" bestFit="1" customWidth="1"/>
    <col min="3086" max="3086" width="16.83203125" style="551" customWidth="1"/>
    <col min="3087" max="3328" width="9.1640625" style="551"/>
    <col min="3329" max="3329" width="2.5" style="551" customWidth="1"/>
    <col min="3330" max="3330" width="15.5" style="551" bestFit="1" customWidth="1"/>
    <col min="3331" max="3331" width="3.5" style="551" customWidth="1"/>
    <col min="3332" max="3333" width="15" style="551" customWidth="1"/>
    <col min="3334" max="3334" width="16.6640625" style="551" customWidth="1"/>
    <col min="3335" max="3335" width="15" style="551" bestFit="1" customWidth="1"/>
    <col min="3336" max="3336" width="19.1640625" style="551" bestFit="1" customWidth="1"/>
    <col min="3337" max="3337" width="18.5" style="551" customWidth="1"/>
    <col min="3338" max="3338" width="16.6640625" style="551" customWidth="1"/>
    <col min="3339" max="3339" width="21" style="551" bestFit="1" customWidth="1"/>
    <col min="3340" max="3340" width="20.1640625" style="551" bestFit="1" customWidth="1"/>
    <col min="3341" max="3341" width="14.1640625" style="551" bestFit="1" customWidth="1"/>
    <col min="3342" max="3342" width="16.83203125" style="551" customWidth="1"/>
    <col min="3343" max="3584" width="9.1640625" style="551"/>
    <col min="3585" max="3585" width="2.5" style="551" customWidth="1"/>
    <col min="3586" max="3586" width="15.5" style="551" bestFit="1" customWidth="1"/>
    <col min="3587" max="3587" width="3.5" style="551" customWidth="1"/>
    <col min="3588" max="3589" width="15" style="551" customWidth="1"/>
    <col min="3590" max="3590" width="16.6640625" style="551" customWidth="1"/>
    <col min="3591" max="3591" width="15" style="551" bestFit="1" customWidth="1"/>
    <col min="3592" max="3592" width="19.1640625" style="551" bestFit="1" customWidth="1"/>
    <col min="3593" max="3593" width="18.5" style="551" customWidth="1"/>
    <col min="3594" max="3594" width="16.6640625" style="551" customWidth="1"/>
    <col min="3595" max="3595" width="21" style="551" bestFit="1" customWidth="1"/>
    <col min="3596" max="3596" width="20.1640625" style="551" bestFit="1" customWidth="1"/>
    <col min="3597" max="3597" width="14.1640625" style="551" bestFit="1" customWidth="1"/>
    <col min="3598" max="3598" width="16.83203125" style="551" customWidth="1"/>
    <col min="3599" max="3840" width="9.1640625" style="551"/>
    <col min="3841" max="3841" width="2.5" style="551" customWidth="1"/>
    <col min="3842" max="3842" width="15.5" style="551" bestFit="1" customWidth="1"/>
    <col min="3843" max="3843" width="3.5" style="551" customWidth="1"/>
    <col min="3844" max="3845" width="15" style="551" customWidth="1"/>
    <col min="3846" max="3846" width="16.6640625" style="551" customWidth="1"/>
    <col min="3847" max="3847" width="15" style="551" bestFit="1" customWidth="1"/>
    <col min="3848" max="3848" width="19.1640625" style="551" bestFit="1" customWidth="1"/>
    <col min="3849" max="3849" width="18.5" style="551" customWidth="1"/>
    <col min="3850" max="3850" width="16.6640625" style="551" customWidth="1"/>
    <col min="3851" max="3851" width="21" style="551" bestFit="1" customWidth="1"/>
    <col min="3852" max="3852" width="20.1640625" style="551" bestFit="1" customWidth="1"/>
    <col min="3853" max="3853" width="14.1640625" style="551" bestFit="1" customWidth="1"/>
    <col min="3854" max="3854" width="16.83203125" style="551" customWidth="1"/>
    <col min="3855" max="4096" width="9.1640625" style="551"/>
    <col min="4097" max="4097" width="2.5" style="551" customWidth="1"/>
    <col min="4098" max="4098" width="15.5" style="551" bestFit="1" customWidth="1"/>
    <col min="4099" max="4099" width="3.5" style="551" customWidth="1"/>
    <col min="4100" max="4101" width="15" style="551" customWidth="1"/>
    <col min="4102" max="4102" width="16.6640625" style="551" customWidth="1"/>
    <col min="4103" max="4103" width="15" style="551" bestFit="1" customWidth="1"/>
    <col min="4104" max="4104" width="19.1640625" style="551" bestFit="1" customWidth="1"/>
    <col min="4105" max="4105" width="18.5" style="551" customWidth="1"/>
    <col min="4106" max="4106" width="16.6640625" style="551" customWidth="1"/>
    <col min="4107" max="4107" width="21" style="551" bestFit="1" customWidth="1"/>
    <col min="4108" max="4108" width="20.1640625" style="551" bestFit="1" customWidth="1"/>
    <col min="4109" max="4109" width="14.1640625" style="551" bestFit="1" customWidth="1"/>
    <col min="4110" max="4110" width="16.83203125" style="551" customWidth="1"/>
    <col min="4111" max="4352" width="9.1640625" style="551"/>
    <col min="4353" max="4353" width="2.5" style="551" customWidth="1"/>
    <col min="4354" max="4354" width="15.5" style="551" bestFit="1" customWidth="1"/>
    <col min="4355" max="4355" width="3.5" style="551" customWidth="1"/>
    <col min="4356" max="4357" width="15" style="551" customWidth="1"/>
    <col min="4358" max="4358" width="16.6640625" style="551" customWidth="1"/>
    <col min="4359" max="4359" width="15" style="551" bestFit="1" customWidth="1"/>
    <col min="4360" max="4360" width="19.1640625" style="551" bestFit="1" customWidth="1"/>
    <col min="4361" max="4361" width="18.5" style="551" customWidth="1"/>
    <col min="4362" max="4362" width="16.6640625" style="551" customWidth="1"/>
    <col min="4363" max="4363" width="21" style="551" bestFit="1" customWidth="1"/>
    <col min="4364" max="4364" width="20.1640625" style="551" bestFit="1" customWidth="1"/>
    <col min="4365" max="4365" width="14.1640625" style="551" bestFit="1" customWidth="1"/>
    <col min="4366" max="4366" width="16.83203125" style="551" customWidth="1"/>
    <col min="4367" max="4608" width="9.1640625" style="551"/>
    <col min="4609" max="4609" width="2.5" style="551" customWidth="1"/>
    <col min="4610" max="4610" width="15.5" style="551" bestFit="1" customWidth="1"/>
    <col min="4611" max="4611" width="3.5" style="551" customWidth="1"/>
    <col min="4612" max="4613" width="15" style="551" customWidth="1"/>
    <col min="4614" max="4614" width="16.6640625" style="551" customWidth="1"/>
    <col min="4615" max="4615" width="15" style="551" bestFit="1" customWidth="1"/>
    <col min="4616" max="4616" width="19.1640625" style="551" bestFit="1" customWidth="1"/>
    <col min="4617" max="4617" width="18.5" style="551" customWidth="1"/>
    <col min="4618" max="4618" width="16.6640625" style="551" customWidth="1"/>
    <col min="4619" max="4619" width="21" style="551" bestFit="1" customWidth="1"/>
    <col min="4620" max="4620" width="20.1640625" style="551" bestFit="1" customWidth="1"/>
    <col min="4621" max="4621" width="14.1640625" style="551" bestFit="1" customWidth="1"/>
    <col min="4622" max="4622" width="16.83203125" style="551" customWidth="1"/>
    <col min="4623" max="4864" width="9.1640625" style="551"/>
    <col min="4865" max="4865" width="2.5" style="551" customWidth="1"/>
    <col min="4866" max="4866" width="15.5" style="551" bestFit="1" customWidth="1"/>
    <col min="4867" max="4867" width="3.5" style="551" customWidth="1"/>
    <col min="4868" max="4869" width="15" style="551" customWidth="1"/>
    <col min="4870" max="4870" width="16.6640625" style="551" customWidth="1"/>
    <col min="4871" max="4871" width="15" style="551" bestFit="1" customWidth="1"/>
    <col min="4872" max="4872" width="19.1640625" style="551" bestFit="1" customWidth="1"/>
    <col min="4873" max="4873" width="18.5" style="551" customWidth="1"/>
    <col min="4874" max="4874" width="16.6640625" style="551" customWidth="1"/>
    <col min="4875" max="4875" width="21" style="551" bestFit="1" customWidth="1"/>
    <col min="4876" max="4876" width="20.1640625" style="551" bestFit="1" customWidth="1"/>
    <col min="4877" max="4877" width="14.1640625" style="551" bestFit="1" customWidth="1"/>
    <col min="4878" max="4878" width="16.83203125" style="551" customWidth="1"/>
    <col min="4879" max="5120" width="9.1640625" style="551"/>
    <col min="5121" max="5121" width="2.5" style="551" customWidth="1"/>
    <col min="5122" max="5122" width="15.5" style="551" bestFit="1" customWidth="1"/>
    <col min="5123" max="5123" width="3.5" style="551" customWidth="1"/>
    <col min="5124" max="5125" width="15" style="551" customWidth="1"/>
    <col min="5126" max="5126" width="16.6640625" style="551" customWidth="1"/>
    <col min="5127" max="5127" width="15" style="551" bestFit="1" customWidth="1"/>
    <col min="5128" max="5128" width="19.1640625" style="551" bestFit="1" customWidth="1"/>
    <col min="5129" max="5129" width="18.5" style="551" customWidth="1"/>
    <col min="5130" max="5130" width="16.6640625" style="551" customWidth="1"/>
    <col min="5131" max="5131" width="21" style="551" bestFit="1" customWidth="1"/>
    <col min="5132" max="5132" width="20.1640625" style="551" bestFit="1" customWidth="1"/>
    <col min="5133" max="5133" width="14.1640625" style="551" bestFit="1" customWidth="1"/>
    <col min="5134" max="5134" width="16.83203125" style="551" customWidth="1"/>
    <col min="5135" max="5376" width="9.1640625" style="551"/>
    <col min="5377" max="5377" width="2.5" style="551" customWidth="1"/>
    <col min="5378" max="5378" width="15.5" style="551" bestFit="1" customWidth="1"/>
    <col min="5379" max="5379" width="3.5" style="551" customWidth="1"/>
    <col min="5380" max="5381" width="15" style="551" customWidth="1"/>
    <col min="5382" max="5382" width="16.6640625" style="551" customWidth="1"/>
    <col min="5383" max="5383" width="15" style="551" bestFit="1" customWidth="1"/>
    <col min="5384" max="5384" width="19.1640625" style="551" bestFit="1" customWidth="1"/>
    <col min="5385" max="5385" width="18.5" style="551" customWidth="1"/>
    <col min="5386" max="5386" width="16.6640625" style="551" customWidth="1"/>
    <col min="5387" max="5387" width="21" style="551" bestFit="1" customWidth="1"/>
    <col min="5388" max="5388" width="20.1640625" style="551" bestFit="1" customWidth="1"/>
    <col min="5389" max="5389" width="14.1640625" style="551" bestFit="1" customWidth="1"/>
    <col min="5390" max="5390" width="16.83203125" style="551" customWidth="1"/>
    <col min="5391" max="5632" width="9.1640625" style="551"/>
    <col min="5633" max="5633" width="2.5" style="551" customWidth="1"/>
    <col min="5634" max="5634" width="15.5" style="551" bestFit="1" customWidth="1"/>
    <col min="5635" max="5635" width="3.5" style="551" customWidth="1"/>
    <col min="5636" max="5637" width="15" style="551" customWidth="1"/>
    <col min="5638" max="5638" width="16.6640625" style="551" customWidth="1"/>
    <col min="5639" max="5639" width="15" style="551" bestFit="1" customWidth="1"/>
    <col min="5640" max="5640" width="19.1640625" style="551" bestFit="1" customWidth="1"/>
    <col min="5641" max="5641" width="18.5" style="551" customWidth="1"/>
    <col min="5642" max="5642" width="16.6640625" style="551" customWidth="1"/>
    <col min="5643" max="5643" width="21" style="551" bestFit="1" customWidth="1"/>
    <col min="5644" max="5644" width="20.1640625" style="551" bestFit="1" customWidth="1"/>
    <col min="5645" max="5645" width="14.1640625" style="551" bestFit="1" customWidth="1"/>
    <col min="5646" max="5646" width="16.83203125" style="551" customWidth="1"/>
    <col min="5647" max="5888" width="9.1640625" style="551"/>
    <col min="5889" max="5889" width="2.5" style="551" customWidth="1"/>
    <col min="5890" max="5890" width="15.5" style="551" bestFit="1" customWidth="1"/>
    <col min="5891" max="5891" width="3.5" style="551" customWidth="1"/>
    <col min="5892" max="5893" width="15" style="551" customWidth="1"/>
    <col min="5894" max="5894" width="16.6640625" style="551" customWidth="1"/>
    <col min="5895" max="5895" width="15" style="551" bestFit="1" customWidth="1"/>
    <col min="5896" max="5896" width="19.1640625" style="551" bestFit="1" customWidth="1"/>
    <col min="5897" max="5897" width="18.5" style="551" customWidth="1"/>
    <col min="5898" max="5898" width="16.6640625" style="551" customWidth="1"/>
    <col min="5899" max="5899" width="21" style="551" bestFit="1" customWidth="1"/>
    <col min="5900" max="5900" width="20.1640625" style="551" bestFit="1" customWidth="1"/>
    <col min="5901" max="5901" width="14.1640625" style="551" bestFit="1" customWidth="1"/>
    <col min="5902" max="5902" width="16.83203125" style="551" customWidth="1"/>
    <col min="5903" max="6144" width="9.1640625" style="551"/>
    <col min="6145" max="6145" width="2.5" style="551" customWidth="1"/>
    <col min="6146" max="6146" width="15.5" style="551" bestFit="1" customWidth="1"/>
    <col min="6147" max="6147" width="3.5" style="551" customWidth="1"/>
    <col min="6148" max="6149" width="15" style="551" customWidth="1"/>
    <col min="6150" max="6150" width="16.6640625" style="551" customWidth="1"/>
    <col min="6151" max="6151" width="15" style="551" bestFit="1" customWidth="1"/>
    <col min="6152" max="6152" width="19.1640625" style="551" bestFit="1" customWidth="1"/>
    <col min="6153" max="6153" width="18.5" style="551" customWidth="1"/>
    <col min="6154" max="6154" width="16.6640625" style="551" customWidth="1"/>
    <col min="6155" max="6155" width="21" style="551" bestFit="1" customWidth="1"/>
    <col min="6156" max="6156" width="20.1640625" style="551" bestFit="1" customWidth="1"/>
    <col min="6157" max="6157" width="14.1640625" style="551" bestFit="1" customWidth="1"/>
    <col min="6158" max="6158" width="16.83203125" style="551" customWidth="1"/>
    <col min="6159" max="6400" width="9.1640625" style="551"/>
    <col min="6401" max="6401" width="2.5" style="551" customWidth="1"/>
    <col min="6402" max="6402" width="15.5" style="551" bestFit="1" customWidth="1"/>
    <col min="6403" max="6403" width="3.5" style="551" customWidth="1"/>
    <col min="6404" max="6405" width="15" style="551" customWidth="1"/>
    <col min="6406" max="6406" width="16.6640625" style="551" customWidth="1"/>
    <col min="6407" max="6407" width="15" style="551" bestFit="1" customWidth="1"/>
    <col min="6408" max="6408" width="19.1640625" style="551" bestFit="1" customWidth="1"/>
    <col min="6409" max="6409" width="18.5" style="551" customWidth="1"/>
    <col min="6410" max="6410" width="16.6640625" style="551" customWidth="1"/>
    <col min="6411" max="6411" width="21" style="551" bestFit="1" customWidth="1"/>
    <col min="6412" max="6412" width="20.1640625" style="551" bestFit="1" customWidth="1"/>
    <col min="6413" max="6413" width="14.1640625" style="551" bestFit="1" customWidth="1"/>
    <col min="6414" max="6414" width="16.83203125" style="551" customWidth="1"/>
    <col min="6415" max="6656" width="9.1640625" style="551"/>
    <col min="6657" max="6657" width="2.5" style="551" customWidth="1"/>
    <col min="6658" max="6658" width="15.5" style="551" bestFit="1" customWidth="1"/>
    <col min="6659" max="6659" width="3.5" style="551" customWidth="1"/>
    <col min="6660" max="6661" width="15" style="551" customWidth="1"/>
    <col min="6662" max="6662" width="16.6640625" style="551" customWidth="1"/>
    <col min="6663" max="6663" width="15" style="551" bestFit="1" customWidth="1"/>
    <col min="6664" max="6664" width="19.1640625" style="551" bestFit="1" customWidth="1"/>
    <col min="6665" max="6665" width="18.5" style="551" customWidth="1"/>
    <col min="6666" max="6666" width="16.6640625" style="551" customWidth="1"/>
    <col min="6667" max="6667" width="21" style="551" bestFit="1" customWidth="1"/>
    <col min="6668" max="6668" width="20.1640625" style="551" bestFit="1" customWidth="1"/>
    <col min="6669" max="6669" width="14.1640625" style="551" bestFit="1" customWidth="1"/>
    <col min="6670" max="6670" width="16.83203125" style="551" customWidth="1"/>
    <col min="6671" max="6912" width="9.1640625" style="551"/>
    <col min="6913" max="6913" width="2.5" style="551" customWidth="1"/>
    <col min="6914" max="6914" width="15.5" style="551" bestFit="1" customWidth="1"/>
    <col min="6915" max="6915" width="3.5" style="551" customWidth="1"/>
    <col min="6916" max="6917" width="15" style="551" customWidth="1"/>
    <col min="6918" max="6918" width="16.6640625" style="551" customWidth="1"/>
    <col min="6919" max="6919" width="15" style="551" bestFit="1" customWidth="1"/>
    <col min="6920" max="6920" width="19.1640625" style="551" bestFit="1" customWidth="1"/>
    <col min="6921" max="6921" width="18.5" style="551" customWidth="1"/>
    <col min="6922" max="6922" width="16.6640625" style="551" customWidth="1"/>
    <col min="6923" max="6923" width="21" style="551" bestFit="1" customWidth="1"/>
    <col min="6924" max="6924" width="20.1640625" style="551" bestFit="1" customWidth="1"/>
    <col min="6925" max="6925" width="14.1640625" style="551" bestFit="1" customWidth="1"/>
    <col min="6926" max="6926" width="16.83203125" style="551" customWidth="1"/>
    <col min="6927" max="7168" width="9.1640625" style="551"/>
    <col min="7169" max="7169" width="2.5" style="551" customWidth="1"/>
    <col min="7170" max="7170" width="15.5" style="551" bestFit="1" customWidth="1"/>
    <col min="7171" max="7171" width="3.5" style="551" customWidth="1"/>
    <col min="7172" max="7173" width="15" style="551" customWidth="1"/>
    <col min="7174" max="7174" width="16.6640625" style="551" customWidth="1"/>
    <col min="7175" max="7175" width="15" style="551" bestFit="1" customWidth="1"/>
    <col min="7176" max="7176" width="19.1640625" style="551" bestFit="1" customWidth="1"/>
    <col min="7177" max="7177" width="18.5" style="551" customWidth="1"/>
    <col min="7178" max="7178" width="16.6640625" style="551" customWidth="1"/>
    <col min="7179" max="7179" width="21" style="551" bestFit="1" customWidth="1"/>
    <col min="7180" max="7180" width="20.1640625" style="551" bestFit="1" customWidth="1"/>
    <col min="7181" max="7181" width="14.1640625" style="551" bestFit="1" customWidth="1"/>
    <col min="7182" max="7182" width="16.83203125" style="551" customWidth="1"/>
    <col min="7183" max="7424" width="9.1640625" style="551"/>
    <col min="7425" max="7425" width="2.5" style="551" customWidth="1"/>
    <col min="7426" max="7426" width="15.5" style="551" bestFit="1" customWidth="1"/>
    <col min="7427" max="7427" width="3.5" style="551" customWidth="1"/>
    <col min="7428" max="7429" width="15" style="551" customWidth="1"/>
    <col min="7430" max="7430" width="16.6640625" style="551" customWidth="1"/>
    <col min="7431" max="7431" width="15" style="551" bestFit="1" customWidth="1"/>
    <col min="7432" max="7432" width="19.1640625" style="551" bestFit="1" customWidth="1"/>
    <col min="7433" max="7433" width="18.5" style="551" customWidth="1"/>
    <col min="7434" max="7434" width="16.6640625" style="551" customWidth="1"/>
    <col min="7435" max="7435" width="21" style="551" bestFit="1" customWidth="1"/>
    <col min="7436" max="7436" width="20.1640625" style="551" bestFit="1" customWidth="1"/>
    <col min="7437" max="7437" width="14.1640625" style="551" bestFit="1" customWidth="1"/>
    <col min="7438" max="7438" width="16.83203125" style="551" customWidth="1"/>
    <col min="7439" max="7680" width="9.1640625" style="551"/>
    <col min="7681" max="7681" width="2.5" style="551" customWidth="1"/>
    <col min="7682" max="7682" width="15.5" style="551" bestFit="1" customWidth="1"/>
    <col min="7683" max="7683" width="3.5" style="551" customWidth="1"/>
    <col min="7684" max="7685" width="15" style="551" customWidth="1"/>
    <col min="7686" max="7686" width="16.6640625" style="551" customWidth="1"/>
    <col min="7687" max="7687" width="15" style="551" bestFit="1" customWidth="1"/>
    <col min="7688" max="7688" width="19.1640625" style="551" bestFit="1" customWidth="1"/>
    <col min="7689" max="7689" width="18.5" style="551" customWidth="1"/>
    <col min="7690" max="7690" width="16.6640625" style="551" customWidth="1"/>
    <col min="7691" max="7691" width="21" style="551" bestFit="1" customWidth="1"/>
    <col min="7692" max="7692" width="20.1640625" style="551" bestFit="1" customWidth="1"/>
    <col min="7693" max="7693" width="14.1640625" style="551" bestFit="1" customWidth="1"/>
    <col min="7694" max="7694" width="16.83203125" style="551" customWidth="1"/>
    <col min="7695" max="7936" width="9.1640625" style="551"/>
    <col min="7937" max="7937" width="2.5" style="551" customWidth="1"/>
    <col min="7938" max="7938" width="15.5" style="551" bestFit="1" customWidth="1"/>
    <col min="7939" max="7939" width="3.5" style="551" customWidth="1"/>
    <col min="7940" max="7941" width="15" style="551" customWidth="1"/>
    <col min="7942" max="7942" width="16.6640625" style="551" customWidth="1"/>
    <col min="7943" max="7943" width="15" style="551" bestFit="1" customWidth="1"/>
    <col min="7944" max="7944" width="19.1640625" style="551" bestFit="1" customWidth="1"/>
    <col min="7945" max="7945" width="18.5" style="551" customWidth="1"/>
    <col min="7946" max="7946" width="16.6640625" style="551" customWidth="1"/>
    <col min="7947" max="7947" width="21" style="551" bestFit="1" customWidth="1"/>
    <col min="7948" max="7948" width="20.1640625" style="551" bestFit="1" customWidth="1"/>
    <col min="7949" max="7949" width="14.1640625" style="551" bestFit="1" customWidth="1"/>
    <col min="7950" max="7950" width="16.83203125" style="551" customWidth="1"/>
    <col min="7951" max="8192" width="9.1640625" style="551"/>
    <col min="8193" max="8193" width="2.5" style="551" customWidth="1"/>
    <col min="8194" max="8194" width="15.5" style="551" bestFit="1" customWidth="1"/>
    <col min="8195" max="8195" width="3.5" style="551" customWidth="1"/>
    <col min="8196" max="8197" width="15" style="551" customWidth="1"/>
    <col min="8198" max="8198" width="16.6640625" style="551" customWidth="1"/>
    <col min="8199" max="8199" width="15" style="551" bestFit="1" customWidth="1"/>
    <col min="8200" max="8200" width="19.1640625" style="551" bestFit="1" customWidth="1"/>
    <col min="8201" max="8201" width="18.5" style="551" customWidth="1"/>
    <col min="8202" max="8202" width="16.6640625" style="551" customWidth="1"/>
    <col min="8203" max="8203" width="21" style="551" bestFit="1" customWidth="1"/>
    <col min="8204" max="8204" width="20.1640625" style="551" bestFit="1" customWidth="1"/>
    <col min="8205" max="8205" width="14.1640625" style="551" bestFit="1" customWidth="1"/>
    <col min="8206" max="8206" width="16.83203125" style="551" customWidth="1"/>
    <col min="8207" max="8448" width="9.1640625" style="551"/>
    <col min="8449" max="8449" width="2.5" style="551" customWidth="1"/>
    <col min="8450" max="8450" width="15.5" style="551" bestFit="1" customWidth="1"/>
    <col min="8451" max="8451" width="3.5" style="551" customWidth="1"/>
    <col min="8452" max="8453" width="15" style="551" customWidth="1"/>
    <col min="8454" max="8454" width="16.6640625" style="551" customWidth="1"/>
    <col min="8455" max="8455" width="15" style="551" bestFit="1" customWidth="1"/>
    <col min="8456" max="8456" width="19.1640625" style="551" bestFit="1" customWidth="1"/>
    <col min="8457" max="8457" width="18.5" style="551" customWidth="1"/>
    <col min="8458" max="8458" width="16.6640625" style="551" customWidth="1"/>
    <col min="8459" max="8459" width="21" style="551" bestFit="1" customWidth="1"/>
    <col min="8460" max="8460" width="20.1640625" style="551" bestFit="1" customWidth="1"/>
    <col min="8461" max="8461" width="14.1640625" style="551" bestFit="1" customWidth="1"/>
    <col min="8462" max="8462" width="16.83203125" style="551" customWidth="1"/>
    <col min="8463" max="8704" width="9.1640625" style="551"/>
    <col min="8705" max="8705" width="2.5" style="551" customWidth="1"/>
    <col min="8706" max="8706" width="15.5" style="551" bestFit="1" customWidth="1"/>
    <col min="8707" max="8707" width="3.5" style="551" customWidth="1"/>
    <col min="8708" max="8709" width="15" style="551" customWidth="1"/>
    <col min="8710" max="8710" width="16.6640625" style="551" customWidth="1"/>
    <col min="8711" max="8711" width="15" style="551" bestFit="1" customWidth="1"/>
    <col min="8712" max="8712" width="19.1640625" style="551" bestFit="1" customWidth="1"/>
    <col min="8713" max="8713" width="18.5" style="551" customWidth="1"/>
    <col min="8714" max="8714" width="16.6640625" style="551" customWidth="1"/>
    <col min="8715" max="8715" width="21" style="551" bestFit="1" customWidth="1"/>
    <col min="8716" max="8716" width="20.1640625" style="551" bestFit="1" customWidth="1"/>
    <col min="8717" max="8717" width="14.1640625" style="551" bestFit="1" customWidth="1"/>
    <col min="8718" max="8718" width="16.83203125" style="551" customWidth="1"/>
    <col min="8719" max="8960" width="9.1640625" style="551"/>
    <col min="8961" max="8961" width="2.5" style="551" customWidth="1"/>
    <col min="8962" max="8962" width="15.5" style="551" bestFit="1" customWidth="1"/>
    <col min="8963" max="8963" width="3.5" style="551" customWidth="1"/>
    <col min="8964" max="8965" width="15" style="551" customWidth="1"/>
    <col min="8966" max="8966" width="16.6640625" style="551" customWidth="1"/>
    <col min="8967" max="8967" width="15" style="551" bestFit="1" customWidth="1"/>
    <col min="8968" max="8968" width="19.1640625" style="551" bestFit="1" customWidth="1"/>
    <col min="8969" max="8969" width="18.5" style="551" customWidth="1"/>
    <col min="8970" max="8970" width="16.6640625" style="551" customWidth="1"/>
    <col min="8971" max="8971" width="21" style="551" bestFit="1" customWidth="1"/>
    <col min="8972" max="8972" width="20.1640625" style="551" bestFit="1" customWidth="1"/>
    <col min="8973" max="8973" width="14.1640625" style="551" bestFit="1" customWidth="1"/>
    <col min="8974" max="8974" width="16.83203125" style="551" customWidth="1"/>
    <col min="8975" max="9216" width="9.1640625" style="551"/>
    <col min="9217" max="9217" width="2.5" style="551" customWidth="1"/>
    <col min="9218" max="9218" width="15.5" style="551" bestFit="1" customWidth="1"/>
    <col min="9219" max="9219" width="3.5" style="551" customWidth="1"/>
    <col min="9220" max="9221" width="15" style="551" customWidth="1"/>
    <col min="9222" max="9222" width="16.6640625" style="551" customWidth="1"/>
    <col min="9223" max="9223" width="15" style="551" bestFit="1" customWidth="1"/>
    <col min="9224" max="9224" width="19.1640625" style="551" bestFit="1" customWidth="1"/>
    <col min="9225" max="9225" width="18.5" style="551" customWidth="1"/>
    <col min="9226" max="9226" width="16.6640625" style="551" customWidth="1"/>
    <col min="9227" max="9227" width="21" style="551" bestFit="1" customWidth="1"/>
    <col min="9228" max="9228" width="20.1640625" style="551" bestFit="1" customWidth="1"/>
    <col min="9229" max="9229" width="14.1640625" style="551" bestFit="1" customWidth="1"/>
    <col min="9230" max="9230" width="16.83203125" style="551" customWidth="1"/>
    <col min="9231" max="9472" width="9.1640625" style="551"/>
    <col min="9473" max="9473" width="2.5" style="551" customWidth="1"/>
    <col min="9474" max="9474" width="15.5" style="551" bestFit="1" customWidth="1"/>
    <col min="9475" max="9475" width="3.5" style="551" customWidth="1"/>
    <col min="9476" max="9477" width="15" style="551" customWidth="1"/>
    <col min="9478" max="9478" width="16.6640625" style="551" customWidth="1"/>
    <col min="9479" max="9479" width="15" style="551" bestFit="1" customWidth="1"/>
    <col min="9480" max="9480" width="19.1640625" style="551" bestFit="1" customWidth="1"/>
    <col min="9481" max="9481" width="18.5" style="551" customWidth="1"/>
    <col min="9482" max="9482" width="16.6640625" style="551" customWidth="1"/>
    <col min="9483" max="9483" width="21" style="551" bestFit="1" customWidth="1"/>
    <col min="9484" max="9484" width="20.1640625" style="551" bestFit="1" customWidth="1"/>
    <col min="9485" max="9485" width="14.1640625" style="551" bestFit="1" customWidth="1"/>
    <col min="9486" max="9486" width="16.83203125" style="551" customWidth="1"/>
    <col min="9487" max="9728" width="9.1640625" style="551"/>
    <col min="9729" max="9729" width="2.5" style="551" customWidth="1"/>
    <col min="9730" max="9730" width="15.5" style="551" bestFit="1" customWidth="1"/>
    <col min="9731" max="9731" width="3.5" style="551" customWidth="1"/>
    <col min="9732" max="9733" width="15" style="551" customWidth="1"/>
    <col min="9734" max="9734" width="16.6640625" style="551" customWidth="1"/>
    <col min="9735" max="9735" width="15" style="551" bestFit="1" customWidth="1"/>
    <col min="9736" max="9736" width="19.1640625" style="551" bestFit="1" customWidth="1"/>
    <col min="9737" max="9737" width="18.5" style="551" customWidth="1"/>
    <col min="9738" max="9738" width="16.6640625" style="551" customWidth="1"/>
    <col min="9739" max="9739" width="21" style="551" bestFit="1" customWidth="1"/>
    <col min="9740" max="9740" width="20.1640625" style="551" bestFit="1" customWidth="1"/>
    <col min="9741" max="9741" width="14.1640625" style="551" bestFit="1" customWidth="1"/>
    <col min="9742" max="9742" width="16.83203125" style="551" customWidth="1"/>
    <col min="9743" max="9984" width="9.1640625" style="551"/>
    <col min="9985" max="9985" width="2.5" style="551" customWidth="1"/>
    <col min="9986" max="9986" width="15.5" style="551" bestFit="1" customWidth="1"/>
    <col min="9987" max="9987" width="3.5" style="551" customWidth="1"/>
    <col min="9988" max="9989" width="15" style="551" customWidth="1"/>
    <col min="9990" max="9990" width="16.6640625" style="551" customWidth="1"/>
    <col min="9991" max="9991" width="15" style="551" bestFit="1" customWidth="1"/>
    <col min="9992" max="9992" width="19.1640625" style="551" bestFit="1" customWidth="1"/>
    <col min="9993" max="9993" width="18.5" style="551" customWidth="1"/>
    <col min="9994" max="9994" width="16.6640625" style="551" customWidth="1"/>
    <col min="9995" max="9995" width="21" style="551" bestFit="1" customWidth="1"/>
    <col min="9996" max="9996" width="20.1640625" style="551" bestFit="1" customWidth="1"/>
    <col min="9997" max="9997" width="14.1640625" style="551" bestFit="1" customWidth="1"/>
    <col min="9998" max="9998" width="16.83203125" style="551" customWidth="1"/>
    <col min="9999" max="10240" width="9.1640625" style="551"/>
    <col min="10241" max="10241" width="2.5" style="551" customWidth="1"/>
    <col min="10242" max="10242" width="15.5" style="551" bestFit="1" customWidth="1"/>
    <col min="10243" max="10243" width="3.5" style="551" customWidth="1"/>
    <col min="10244" max="10245" width="15" style="551" customWidth="1"/>
    <col min="10246" max="10246" width="16.6640625" style="551" customWidth="1"/>
    <col min="10247" max="10247" width="15" style="551" bestFit="1" customWidth="1"/>
    <col min="10248" max="10248" width="19.1640625" style="551" bestFit="1" customWidth="1"/>
    <col min="10249" max="10249" width="18.5" style="551" customWidth="1"/>
    <col min="10250" max="10250" width="16.6640625" style="551" customWidth="1"/>
    <col min="10251" max="10251" width="21" style="551" bestFit="1" customWidth="1"/>
    <col min="10252" max="10252" width="20.1640625" style="551" bestFit="1" customWidth="1"/>
    <col min="10253" max="10253" width="14.1640625" style="551" bestFit="1" customWidth="1"/>
    <col min="10254" max="10254" width="16.83203125" style="551" customWidth="1"/>
    <col min="10255" max="10496" width="9.1640625" style="551"/>
    <col min="10497" max="10497" width="2.5" style="551" customWidth="1"/>
    <col min="10498" max="10498" width="15.5" style="551" bestFit="1" customWidth="1"/>
    <col min="10499" max="10499" width="3.5" style="551" customWidth="1"/>
    <col min="10500" max="10501" width="15" style="551" customWidth="1"/>
    <col min="10502" max="10502" width="16.6640625" style="551" customWidth="1"/>
    <col min="10503" max="10503" width="15" style="551" bestFit="1" customWidth="1"/>
    <col min="10504" max="10504" width="19.1640625" style="551" bestFit="1" customWidth="1"/>
    <col min="10505" max="10505" width="18.5" style="551" customWidth="1"/>
    <col min="10506" max="10506" width="16.6640625" style="551" customWidth="1"/>
    <col min="10507" max="10507" width="21" style="551" bestFit="1" customWidth="1"/>
    <col min="10508" max="10508" width="20.1640625" style="551" bestFit="1" customWidth="1"/>
    <col min="10509" max="10509" width="14.1640625" style="551" bestFit="1" customWidth="1"/>
    <col min="10510" max="10510" width="16.83203125" style="551" customWidth="1"/>
    <col min="10511" max="10752" width="9.1640625" style="551"/>
    <col min="10753" max="10753" width="2.5" style="551" customWidth="1"/>
    <col min="10754" max="10754" width="15.5" style="551" bestFit="1" customWidth="1"/>
    <col min="10755" max="10755" width="3.5" style="551" customWidth="1"/>
    <col min="10756" max="10757" width="15" style="551" customWidth="1"/>
    <col min="10758" max="10758" width="16.6640625" style="551" customWidth="1"/>
    <col min="10759" max="10759" width="15" style="551" bestFit="1" customWidth="1"/>
    <col min="10760" max="10760" width="19.1640625" style="551" bestFit="1" customWidth="1"/>
    <col min="10761" max="10761" width="18.5" style="551" customWidth="1"/>
    <col min="10762" max="10762" width="16.6640625" style="551" customWidth="1"/>
    <col min="10763" max="10763" width="21" style="551" bestFit="1" customWidth="1"/>
    <col min="10764" max="10764" width="20.1640625" style="551" bestFit="1" customWidth="1"/>
    <col min="10765" max="10765" width="14.1640625" style="551" bestFit="1" customWidth="1"/>
    <col min="10766" max="10766" width="16.83203125" style="551" customWidth="1"/>
    <col min="10767" max="11008" width="9.1640625" style="551"/>
    <col min="11009" max="11009" width="2.5" style="551" customWidth="1"/>
    <col min="11010" max="11010" width="15.5" style="551" bestFit="1" customWidth="1"/>
    <col min="11011" max="11011" width="3.5" style="551" customWidth="1"/>
    <col min="11012" max="11013" width="15" style="551" customWidth="1"/>
    <col min="11014" max="11014" width="16.6640625" style="551" customWidth="1"/>
    <col min="11015" max="11015" width="15" style="551" bestFit="1" customWidth="1"/>
    <col min="11016" max="11016" width="19.1640625" style="551" bestFit="1" customWidth="1"/>
    <col min="11017" max="11017" width="18.5" style="551" customWidth="1"/>
    <col min="11018" max="11018" width="16.6640625" style="551" customWidth="1"/>
    <col min="11019" max="11019" width="21" style="551" bestFit="1" customWidth="1"/>
    <col min="11020" max="11020" width="20.1640625" style="551" bestFit="1" customWidth="1"/>
    <col min="11021" max="11021" width="14.1640625" style="551" bestFit="1" customWidth="1"/>
    <col min="11022" max="11022" width="16.83203125" style="551" customWidth="1"/>
    <col min="11023" max="11264" width="9.1640625" style="551"/>
    <col min="11265" max="11265" width="2.5" style="551" customWidth="1"/>
    <col min="11266" max="11266" width="15.5" style="551" bestFit="1" customWidth="1"/>
    <col min="11267" max="11267" width="3.5" style="551" customWidth="1"/>
    <col min="11268" max="11269" width="15" style="551" customWidth="1"/>
    <col min="11270" max="11270" width="16.6640625" style="551" customWidth="1"/>
    <col min="11271" max="11271" width="15" style="551" bestFit="1" customWidth="1"/>
    <col min="11272" max="11272" width="19.1640625" style="551" bestFit="1" customWidth="1"/>
    <col min="11273" max="11273" width="18.5" style="551" customWidth="1"/>
    <col min="11274" max="11274" width="16.6640625" style="551" customWidth="1"/>
    <col min="11275" max="11275" width="21" style="551" bestFit="1" customWidth="1"/>
    <col min="11276" max="11276" width="20.1640625" style="551" bestFit="1" customWidth="1"/>
    <col min="11277" max="11277" width="14.1640625" style="551" bestFit="1" customWidth="1"/>
    <col min="11278" max="11278" width="16.83203125" style="551" customWidth="1"/>
    <col min="11279" max="11520" width="9.1640625" style="551"/>
    <col min="11521" max="11521" width="2.5" style="551" customWidth="1"/>
    <col min="11522" max="11522" width="15.5" style="551" bestFit="1" customWidth="1"/>
    <col min="11523" max="11523" width="3.5" style="551" customWidth="1"/>
    <col min="11524" max="11525" width="15" style="551" customWidth="1"/>
    <col min="11526" max="11526" width="16.6640625" style="551" customWidth="1"/>
    <col min="11527" max="11527" width="15" style="551" bestFit="1" customWidth="1"/>
    <col min="11528" max="11528" width="19.1640625" style="551" bestFit="1" customWidth="1"/>
    <col min="11529" max="11529" width="18.5" style="551" customWidth="1"/>
    <col min="11530" max="11530" width="16.6640625" style="551" customWidth="1"/>
    <col min="11531" max="11531" width="21" style="551" bestFit="1" customWidth="1"/>
    <col min="11532" max="11532" width="20.1640625" style="551" bestFit="1" customWidth="1"/>
    <col min="11533" max="11533" width="14.1640625" style="551" bestFit="1" customWidth="1"/>
    <col min="11534" max="11534" width="16.83203125" style="551" customWidth="1"/>
    <col min="11535" max="11776" width="9.1640625" style="551"/>
    <col min="11777" max="11777" width="2.5" style="551" customWidth="1"/>
    <col min="11778" max="11778" width="15.5" style="551" bestFit="1" customWidth="1"/>
    <col min="11779" max="11779" width="3.5" style="551" customWidth="1"/>
    <col min="11780" max="11781" width="15" style="551" customWidth="1"/>
    <col min="11782" max="11782" width="16.6640625" style="551" customWidth="1"/>
    <col min="11783" max="11783" width="15" style="551" bestFit="1" customWidth="1"/>
    <col min="11784" max="11784" width="19.1640625" style="551" bestFit="1" customWidth="1"/>
    <col min="11785" max="11785" width="18.5" style="551" customWidth="1"/>
    <col min="11786" max="11786" width="16.6640625" style="551" customWidth="1"/>
    <col min="11787" max="11787" width="21" style="551" bestFit="1" customWidth="1"/>
    <col min="11788" max="11788" width="20.1640625" style="551" bestFit="1" customWidth="1"/>
    <col min="11789" max="11789" width="14.1640625" style="551" bestFit="1" customWidth="1"/>
    <col min="11790" max="11790" width="16.83203125" style="551" customWidth="1"/>
    <col min="11791" max="12032" width="9.1640625" style="551"/>
    <col min="12033" max="12033" width="2.5" style="551" customWidth="1"/>
    <col min="12034" max="12034" width="15.5" style="551" bestFit="1" customWidth="1"/>
    <col min="12035" max="12035" width="3.5" style="551" customWidth="1"/>
    <col min="12036" max="12037" width="15" style="551" customWidth="1"/>
    <col min="12038" max="12038" width="16.6640625" style="551" customWidth="1"/>
    <col min="12039" max="12039" width="15" style="551" bestFit="1" customWidth="1"/>
    <col min="12040" max="12040" width="19.1640625" style="551" bestFit="1" customWidth="1"/>
    <col min="12041" max="12041" width="18.5" style="551" customWidth="1"/>
    <col min="12042" max="12042" width="16.6640625" style="551" customWidth="1"/>
    <col min="12043" max="12043" width="21" style="551" bestFit="1" customWidth="1"/>
    <col min="12044" max="12044" width="20.1640625" style="551" bestFit="1" customWidth="1"/>
    <col min="12045" max="12045" width="14.1640625" style="551" bestFit="1" customWidth="1"/>
    <col min="12046" max="12046" width="16.83203125" style="551" customWidth="1"/>
    <col min="12047" max="12288" width="9.1640625" style="551"/>
    <col min="12289" max="12289" width="2.5" style="551" customWidth="1"/>
    <col min="12290" max="12290" width="15.5" style="551" bestFit="1" customWidth="1"/>
    <col min="12291" max="12291" width="3.5" style="551" customWidth="1"/>
    <col min="12292" max="12293" width="15" style="551" customWidth="1"/>
    <col min="12294" max="12294" width="16.6640625" style="551" customWidth="1"/>
    <col min="12295" max="12295" width="15" style="551" bestFit="1" customWidth="1"/>
    <col min="12296" max="12296" width="19.1640625" style="551" bestFit="1" customWidth="1"/>
    <col min="12297" max="12297" width="18.5" style="551" customWidth="1"/>
    <col min="12298" max="12298" width="16.6640625" style="551" customWidth="1"/>
    <col min="12299" max="12299" width="21" style="551" bestFit="1" customWidth="1"/>
    <col min="12300" max="12300" width="20.1640625" style="551" bestFit="1" customWidth="1"/>
    <col min="12301" max="12301" width="14.1640625" style="551" bestFit="1" customWidth="1"/>
    <col min="12302" max="12302" width="16.83203125" style="551" customWidth="1"/>
    <col min="12303" max="12544" width="9.1640625" style="551"/>
    <col min="12545" max="12545" width="2.5" style="551" customWidth="1"/>
    <col min="12546" max="12546" width="15.5" style="551" bestFit="1" customWidth="1"/>
    <col min="12547" max="12547" width="3.5" style="551" customWidth="1"/>
    <col min="12548" max="12549" width="15" style="551" customWidth="1"/>
    <col min="12550" max="12550" width="16.6640625" style="551" customWidth="1"/>
    <col min="12551" max="12551" width="15" style="551" bestFit="1" customWidth="1"/>
    <col min="12552" max="12552" width="19.1640625" style="551" bestFit="1" customWidth="1"/>
    <col min="12553" max="12553" width="18.5" style="551" customWidth="1"/>
    <col min="12554" max="12554" width="16.6640625" style="551" customWidth="1"/>
    <col min="12555" max="12555" width="21" style="551" bestFit="1" customWidth="1"/>
    <col min="12556" max="12556" width="20.1640625" style="551" bestFit="1" customWidth="1"/>
    <col min="12557" max="12557" width="14.1640625" style="551" bestFit="1" customWidth="1"/>
    <col min="12558" max="12558" width="16.83203125" style="551" customWidth="1"/>
    <col min="12559" max="12800" width="9.1640625" style="551"/>
    <col min="12801" max="12801" width="2.5" style="551" customWidth="1"/>
    <col min="12802" max="12802" width="15.5" style="551" bestFit="1" customWidth="1"/>
    <col min="12803" max="12803" width="3.5" style="551" customWidth="1"/>
    <col min="12804" max="12805" width="15" style="551" customWidth="1"/>
    <col min="12806" max="12806" width="16.6640625" style="551" customWidth="1"/>
    <col min="12807" max="12807" width="15" style="551" bestFit="1" customWidth="1"/>
    <col min="12808" max="12808" width="19.1640625" style="551" bestFit="1" customWidth="1"/>
    <col min="12809" max="12809" width="18.5" style="551" customWidth="1"/>
    <col min="12810" max="12810" width="16.6640625" style="551" customWidth="1"/>
    <col min="12811" max="12811" width="21" style="551" bestFit="1" customWidth="1"/>
    <col min="12812" max="12812" width="20.1640625" style="551" bestFit="1" customWidth="1"/>
    <col min="12813" max="12813" width="14.1640625" style="551" bestFit="1" customWidth="1"/>
    <col min="12814" max="12814" width="16.83203125" style="551" customWidth="1"/>
    <col min="12815" max="13056" width="9.1640625" style="551"/>
    <col min="13057" max="13057" width="2.5" style="551" customWidth="1"/>
    <col min="13058" max="13058" width="15.5" style="551" bestFit="1" customWidth="1"/>
    <col min="13059" max="13059" width="3.5" style="551" customWidth="1"/>
    <col min="13060" max="13061" width="15" style="551" customWidth="1"/>
    <col min="13062" max="13062" width="16.6640625" style="551" customWidth="1"/>
    <col min="13063" max="13063" width="15" style="551" bestFit="1" customWidth="1"/>
    <col min="13064" max="13064" width="19.1640625" style="551" bestFit="1" customWidth="1"/>
    <col min="13065" max="13065" width="18.5" style="551" customWidth="1"/>
    <col min="13066" max="13066" width="16.6640625" style="551" customWidth="1"/>
    <col min="13067" max="13067" width="21" style="551" bestFit="1" customWidth="1"/>
    <col min="13068" max="13068" width="20.1640625" style="551" bestFit="1" customWidth="1"/>
    <col min="13069" max="13069" width="14.1640625" style="551" bestFit="1" customWidth="1"/>
    <col min="13070" max="13070" width="16.83203125" style="551" customWidth="1"/>
    <col min="13071" max="13312" width="9.1640625" style="551"/>
    <col min="13313" max="13313" width="2.5" style="551" customWidth="1"/>
    <col min="13314" max="13314" width="15.5" style="551" bestFit="1" customWidth="1"/>
    <col min="13315" max="13315" width="3.5" style="551" customWidth="1"/>
    <col min="13316" max="13317" width="15" style="551" customWidth="1"/>
    <col min="13318" max="13318" width="16.6640625" style="551" customWidth="1"/>
    <col min="13319" max="13319" width="15" style="551" bestFit="1" customWidth="1"/>
    <col min="13320" max="13320" width="19.1640625" style="551" bestFit="1" customWidth="1"/>
    <col min="13321" max="13321" width="18.5" style="551" customWidth="1"/>
    <col min="13322" max="13322" width="16.6640625" style="551" customWidth="1"/>
    <col min="13323" max="13323" width="21" style="551" bestFit="1" customWidth="1"/>
    <col min="13324" max="13324" width="20.1640625" style="551" bestFit="1" customWidth="1"/>
    <col min="13325" max="13325" width="14.1640625" style="551" bestFit="1" customWidth="1"/>
    <col min="13326" max="13326" width="16.83203125" style="551" customWidth="1"/>
    <col min="13327" max="13568" width="9.1640625" style="551"/>
    <col min="13569" max="13569" width="2.5" style="551" customWidth="1"/>
    <col min="13570" max="13570" width="15.5" style="551" bestFit="1" customWidth="1"/>
    <col min="13571" max="13571" width="3.5" style="551" customWidth="1"/>
    <col min="13572" max="13573" width="15" style="551" customWidth="1"/>
    <col min="13574" max="13574" width="16.6640625" style="551" customWidth="1"/>
    <col min="13575" max="13575" width="15" style="551" bestFit="1" customWidth="1"/>
    <col min="13576" max="13576" width="19.1640625" style="551" bestFit="1" customWidth="1"/>
    <col min="13577" max="13577" width="18.5" style="551" customWidth="1"/>
    <col min="13578" max="13578" width="16.6640625" style="551" customWidth="1"/>
    <col min="13579" max="13579" width="21" style="551" bestFit="1" customWidth="1"/>
    <col min="13580" max="13580" width="20.1640625" style="551" bestFit="1" customWidth="1"/>
    <col min="13581" max="13581" width="14.1640625" style="551" bestFit="1" customWidth="1"/>
    <col min="13582" max="13582" width="16.83203125" style="551" customWidth="1"/>
    <col min="13583" max="13824" width="9.1640625" style="551"/>
    <col min="13825" max="13825" width="2.5" style="551" customWidth="1"/>
    <col min="13826" max="13826" width="15.5" style="551" bestFit="1" customWidth="1"/>
    <col min="13827" max="13827" width="3.5" style="551" customWidth="1"/>
    <col min="13828" max="13829" width="15" style="551" customWidth="1"/>
    <col min="13830" max="13830" width="16.6640625" style="551" customWidth="1"/>
    <col min="13831" max="13831" width="15" style="551" bestFit="1" customWidth="1"/>
    <col min="13832" max="13832" width="19.1640625" style="551" bestFit="1" customWidth="1"/>
    <col min="13833" max="13833" width="18.5" style="551" customWidth="1"/>
    <col min="13834" max="13834" width="16.6640625" style="551" customWidth="1"/>
    <col min="13835" max="13835" width="21" style="551" bestFit="1" customWidth="1"/>
    <col min="13836" max="13836" width="20.1640625" style="551" bestFit="1" customWidth="1"/>
    <col min="13837" max="13837" width="14.1640625" style="551" bestFit="1" customWidth="1"/>
    <col min="13838" max="13838" width="16.83203125" style="551" customWidth="1"/>
    <col min="13839" max="14080" width="9.1640625" style="551"/>
    <col min="14081" max="14081" width="2.5" style="551" customWidth="1"/>
    <col min="14082" max="14082" width="15.5" style="551" bestFit="1" customWidth="1"/>
    <col min="14083" max="14083" width="3.5" style="551" customWidth="1"/>
    <col min="14084" max="14085" width="15" style="551" customWidth="1"/>
    <col min="14086" max="14086" width="16.6640625" style="551" customWidth="1"/>
    <col min="14087" max="14087" width="15" style="551" bestFit="1" customWidth="1"/>
    <col min="14088" max="14088" width="19.1640625" style="551" bestFit="1" customWidth="1"/>
    <col min="14089" max="14089" width="18.5" style="551" customWidth="1"/>
    <col min="14090" max="14090" width="16.6640625" style="551" customWidth="1"/>
    <col min="14091" max="14091" width="21" style="551" bestFit="1" customWidth="1"/>
    <col min="14092" max="14092" width="20.1640625" style="551" bestFit="1" customWidth="1"/>
    <col min="14093" max="14093" width="14.1640625" style="551" bestFit="1" customWidth="1"/>
    <col min="14094" max="14094" width="16.83203125" style="551" customWidth="1"/>
    <col min="14095" max="14336" width="9.1640625" style="551"/>
    <col min="14337" max="14337" width="2.5" style="551" customWidth="1"/>
    <col min="14338" max="14338" width="15.5" style="551" bestFit="1" customWidth="1"/>
    <col min="14339" max="14339" width="3.5" style="551" customWidth="1"/>
    <col min="14340" max="14341" width="15" style="551" customWidth="1"/>
    <col min="14342" max="14342" width="16.6640625" style="551" customWidth="1"/>
    <col min="14343" max="14343" width="15" style="551" bestFit="1" customWidth="1"/>
    <col min="14344" max="14344" width="19.1640625" style="551" bestFit="1" customWidth="1"/>
    <col min="14345" max="14345" width="18.5" style="551" customWidth="1"/>
    <col min="14346" max="14346" width="16.6640625" style="551" customWidth="1"/>
    <col min="14347" max="14347" width="21" style="551" bestFit="1" customWidth="1"/>
    <col min="14348" max="14348" width="20.1640625" style="551" bestFit="1" customWidth="1"/>
    <col min="14349" max="14349" width="14.1640625" style="551" bestFit="1" customWidth="1"/>
    <col min="14350" max="14350" width="16.83203125" style="551" customWidth="1"/>
    <col min="14351" max="14592" width="9.1640625" style="551"/>
    <col min="14593" max="14593" width="2.5" style="551" customWidth="1"/>
    <col min="14594" max="14594" width="15.5" style="551" bestFit="1" customWidth="1"/>
    <col min="14595" max="14595" width="3.5" style="551" customWidth="1"/>
    <col min="14596" max="14597" width="15" style="551" customWidth="1"/>
    <col min="14598" max="14598" width="16.6640625" style="551" customWidth="1"/>
    <col min="14599" max="14599" width="15" style="551" bestFit="1" customWidth="1"/>
    <col min="14600" max="14600" width="19.1640625" style="551" bestFit="1" customWidth="1"/>
    <col min="14601" max="14601" width="18.5" style="551" customWidth="1"/>
    <col min="14602" max="14602" width="16.6640625" style="551" customWidth="1"/>
    <col min="14603" max="14603" width="21" style="551" bestFit="1" customWidth="1"/>
    <col min="14604" max="14604" width="20.1640625" style="551" bestFit="1" customWidth="1"/>
    <col min="14605" max="14605" width="14.1640625" style="551" bestFit="1" customWidth="1"/>
    <col min="14606" max="14606" width="16.83203125" style="551" customWidth="1"/>
    <col min="14607" max="14848" width="9.1640625" style="551"/>
    <col min="14849" max="14849" width="2.5" style="551" customWidth="1"/>
    <col min="14850" max="14850" width="15.5" style="551" bestFit="1" customWidth="1"/>
    <col min="14851" max="14851" width="3.5" style="551" customWidth="1"/>
    <col min="14852" max="14853" width="15" style="551" customWidth="1"/>
    <col min="14854" max="14854" width="16.6640625" style="551" customWidth="1"/>
    <col min="14855" max="14855" width="15" style="551" bestFit="1" customWidth="1"/>
    <col min="14856" max="14856" width="19.1640625" style="551" bestFit="1" customWidth="1"/>
    <col min="14857" max="14857" width="18.5" style="551" customWidth="1"/>
    <col min="14858" max="14858" width="16.6640625" style="551" customWidth="1"/>
    <col min="14859" max="14859" width="21" style="551" bestFit="1" customWidth="1"/>
    <col min="14860" max="14860" width="20.1640625" style="551" bestFit="1" customWidth="1"/>
    <col min="14861" max="14861" width="14.1640625" style="551" bestFit="1" customWidth="1"/>
    <col min="14862" max="14862" width="16.83203125" style="551" customWidth="1"/>
    <col min="14863" max="15104" width="9.1640625" style="551"/>
    <col min="15105" max="15105" width="2.5" style="551" customWidth="1"/>
    <col min="15106" max="15106" width="15.5" style="551" bestFit="1" customWidth="1"/>
    <col min="15107" max="15107" width="3.5" style="551" customWidth="1"/>
    <col min="15108" max="15109" width="15" style="551" customWidth="1"/>
    <col min="15110" max="15110" width="16.6640625" style="551" customWidth="1"/>
    <col min="15111" max="15111" width="15" style="551" bestFit="1" customWidth="1"/>
    <col min="15112" max="15112" width="19.1640625" style="551" bestFit="1" customWidth="1"/>
    <col min="15113" max="15113" width="18.5" style="551" customWidth="1"/>
    <col min="15114" max="15114" width="16.6640625" style="551" customWidth="1"/>
    <col min="15115" max="15115" width="21" style="551" bestFit="1" customWidth="1"/>
    <col min="15116" max="15116" width="20.1640625" style="551" bestFit="1" customWidth="1"/>
    <col min="15117" max="15117" width="14.1640625" style="551" bestFit="1" customWidth="1"/>
    <col min="15118" max="15118" width="16.83203125" style="551" customWidth="1"/>
    <col min="15119" max="15360" width="9.1640625" style="551"/>
    <col min="15361" max="15361" width="2.5" style="551" customWidth="1"/>
    <col min="15362" max="15362" width="15.5" style="551" bestFit="1" customWidth="1"/>
    <col min="15363" max="15363" width="3.5" style="551" customWidth="1"/>
    <col min="15364" max="15365" width="15" style="551" customWidth="1"/>
    <col min="15366" max="15366" width="16.6640625" style="551" customWidth="1"/>
    <col min="15367" max="15367" width="15" style="551" bestFit="1" customWidth="1"/>
    <col min="15368" max="15368" width="19.1640625" style="551" bestFit="1" customWidth="1"/>
    <col min="15369" max="15369" width="18.5" style="551" customWidth="1"/>
    <col min="15370" max="15370" width="16.6640625" style="551" customWidth="1"/>
    <col min="15371" max="15371" width="21" style="551" bestFit="1" customWidth="1"/>
    <col min="15372" max="15372" width="20.1640625" style="551" bestFit="1" customWidth="1"/>
    <col min="15373" max="15373" width="14.1640625" style="551" bestFit="1" customWidth="1"/>
    <col min="15374" max="15374" width="16.83203125" style="551" customWidth="1"/>
    <col min="15375" max="15616" width="9.1640625" style="551"/>
    <col min="15617" max="15617" width="2.5" style="551" customWidth="1"/>
    <col min="15618" max="15618" width="15.5" style="551" bestFit="1" customWidth="1"/>
    <col min="15619" max="15619" width="3.5" style="551" customWidth="1"/>
    <col min="15620" max="15621" width="15" style="551" customWidth="1"/>
    <col min="15622" max="15622" width="16.6640625" style="551" customWidth="1"/>
    <col min="15623" max="15623" width="15" style="551" bestFit="1" customWidth="1"/>
    <col min="15624" max="15624" width="19.1640625" style="551" bestFit="1" customWidth="1"/>
    <col min="15625" max="15625" width="18.5" style="551" customWidth="1"/>
    <col min="15626" max="15626" width="16.6640625" style="551" customWidth="1"/>
    <col min="15627" max="15627" width="21" style="551" bestFit="1" customWidth="1"/>
    <col min="15628" max="15628" width="20.1640625" style="551" bestFit="1" customWidth="1"/>
    <col min="15629" max="15629" width="14.1640625" style="551" bestFit="1" customWidth="1"/>
    <col min="15630" max="15630" width="16.83203125" style="551" customWidth="1"/>
    <col min="15631" max="15872" width="9.1640625" style="551"/>
    <col min="15873" max="15873" width="2.5" style="551" customWidth="1"/>
    <col min="15874" max="15874" width="15.5" style="551" bestFit="1" customWidth="1"/>
    <col min="15875" max="15875" width="3.5" style="551" customWidth="1"/>
    <col min="15876" max="15877" width="15" style="551" customWidth="1"/>
    <col min="15878" max="15878" width="16.6640625" style="551" customWidth="1"/>
    <col min="15879" max="15879" width="15" style="551" bestFit="1" customWidth="1"/>
    <col min="15880" max="15880" width="19.1640625" style="551" bestFit="1" customWidth="1"/>
    <col min="15881" max="15881" width="18.5" style="551" customWidth="1"/>
    <col min="15882" max="15882" width="16.6640625" style="551" customWidth="1"/>
    <col min="15883" max="15883" width="21" style="551" bestFit="1" customWidth="1"/>
    <col min="15884" max="15884" width="20.1640625" style="551" bestFit="1" customWidth="1"/>
    <col min="15885" max="15885" width="14.1640625" style="551" bestFit="1" customWidth="1"/>
    <col min="15886" max="15886" width="16.83203125" style="551" customWidth="1"/>
    <col min="15887" max="16128" width="9.1640625" style="551"/>
    <col min="16129" max="16129" width="2.5" style="551" customWidth="1"/>
    <col min="16130" max="16130" width="15.5" style="551" bestFit="1" customWidth="1"/>
    <col min="16131" max="16131" width="3.5" style="551" customWidth="1"/>
    <col min="16132" max="16133" width="15" style="551" customWidth="1"/>
    <col min="16134" max="16134" width="16.6640625" style="551" customWidth="1"/>
    <col min="16135" max="16135" width="15" style="551" bestFit="1" customWidth="1"/>
    <col min="16136" max="16136" width="19.1640625" style="551" bestFit="1" customWidth="1"/>
    <col min="16137" max="16137" width="18.5" style="551" customWidth="1"/>
    <col min="16138" max="16138" width="16.6640625" style="551" customWidth="1"/>
    <col min="16139" max="16139" width="21" style="551" bestFit="1" customWidth="1"/>
    <col min="16140" max="16140" width="20.1640625" style="551" bestFit="1" customWidth="1"/>
    <col min="16141" max="16141" width="14.1640625" style="551" bestFit="1" customWidth="1"/>
    <col min="16142" max="16142" width="16.83203125" style="551" customWidth="1"/>
    <col min="16143" max="16384" width="9.1640625" style="551"/>
  </cols>
  <sheetData>
    <row r="1" spans="1:15" ht="12.75">
      <c r="A1" s="359" t="s">
        <v>8</v>
      </c>
      <c r="C1" s="360"/>
      <c r="D1" s="360"/>
      <c r="E1" s="360"/>
      <c r="F1" s="360"/>
      <c r="G1" s="360"/>
      <c r="H1" s="361"/>
      <c r="I1" s="361"/>
      <c r="J1" s="361"/>
      <c r="K1" s="362"/>
      <c r="L1" s="362"/>
      <c r="M1" s="362"/>
      <c r="N1" s="362"/>
    </row>
    <row r="2" spans="1:15" ht="14.25" customHeight="1">
      <c r="A2" s="691" t="s">
        <v>747</v>
      </c>
      <c r="C2" s="360"/>
      <c r="D2" s="360"/>
      <c r="E2" s="360"/>
      <c r="F2" s="360"/>
      <c r="G2" s="360"/>
      <c r="H2" s="361"/>
      <c r="I2" s="361"/>
      <c r="J2" s="361"/>
      <c r="K2" s="362"/>
      <c r="L2" s="362"/>
      <c r="M2" s="362"/>
      <c r="N2" s="362"/>
    </row>
    <row r="3" spans="1:15" ht="12.75">
      <c r="A3" s="359" t="s">
        <v>711</v>
      </c>
      <c r="C3" s="360"/>
      <c r="D3" s="360"/>
      <c r="E3" s="360"/>
      <c r="F3" s="360"/>
      <c r="G3" s="360"/>
      <c r="H3" s="361"/>
      <c r="I3" s="361"/>
      <c r="J3" s="361"/>
      <c r="K3" s="362"/>
      <c r="L3" s="362"/>
      <c r="M3" s="362"/>
      <c r="N3" s="362"/>
    </row>
    <row r="4" spans="1:15" ht="12.75">
      <c r="A4" s="360"/>
      <c r="B4" s="40"/>
      <c r="C4" s="360"/>
      <c r="D4" s="360"/>
      <c r="E4" s="360"/>
      <c r="F4" s="360"/>
      <c r="G4" s="360"/>
      <c r="H4" s="361"/>
      <c r="I4" s="361"/>
      <c r="J4" s="361"/>
      <c r="K4" s="362"/>
      <c r="L4" s="362"/>
      <c r="M4" s="362"/>
      <c r="N4" s="362"/>
    </row>
    <row r="5" spans="1:15" ht="12.75">
      <c r="A5" s="360"/>
      <c r="B5" s="360"/>
      <c r="C5" s="360"/>
      <c r="D5" s="736" t="s">
        <v>741</v>
      </c>
      <c r="E5" s="363"/>
      <c r="F5" s="364"/>
      <c r="G5" s="736" t="s">
        <v>751</v>
      </c>
      <c r="H5" s="366"/>
      <c r="I5" s="366"/>
      <c r="J5" s="366"/>
      <c r="K5" s="693" t="s">
        <v>750</v>
      </c>
      <c r="L5" s="367"/>
      <c r="M5" s="367"/>
      <c r="N5" s="367"/>
    </row>
    <row r="6" spans="1:15" ht="13.5" thickBot="1">
      <c r="A6" s="368"/>
      <c r="B6" s="368"/>
      <c r="C6" s="368"/>
      <c r="D6" s="369" t="s">
        <v>78</v>
      </c>
      <c r="E6" s="369" t="s">
        <v>78</v>
      </c>
      <c r="F6" s="370"/>
      <c r="G6" s="371"/>
      <c r="H6" s="372"/>
      <c r="I6" s="372"/>
      <c r="J6" s="372"/>
      <c r="K6" s="372"/>
      <c r="L6" s="372"/>
      <c r="M6" s="372"/>
      <c r="N6" s="372"/>
    </row>
    <row r="7" spans="1:15" ht="12.75">
      <c r="A7" s="360"/>
      <c r="B7" s="360"/>
      <c r="C7" s="360"/>
      <c r="D7" s="365" t="s">
        <v>79</v>
      </c>
      <c r="E7" s="373" t="s">
        <v>2</v>
      </c>
      <c r="F7" s="374" t="s">
        <v>101</v>
      </c>
      <c r="G7" s="365" t="s">
        <v>12</v>
      </c>
      <c r="H7" s="366" t="s">
        <v>13</v>
      </c>
      <c r="I7" s="366" t="s">
        <v>102</v>
      </c>
      <c r="J7" s="366" t="s">
        <v>11</v>
      </c>
      <c r="K7" s="373" t="s">
        <v>12</v>
      </c>
      <c r="L7" s="373" t="s">
        <v>13</v>
      </c>
      <c r="M7" s="375" t="s">
        <v>103</v>
      </c>
      <c r="N7" s="373" t="s">
        <v>104</v>
      </c>
      <c r="O7" s="326" t="s">
        <v>2</v>
      </c>
    </row>
    <row r="8" spans="1:15" ht="12.75">
      <c r="A8" s="362"/>
      <c r="B8" s="373" t="s">
        <v>626</v>
      </c>
      <c r="C8" s="376"/>
      <c r="D8" s="373" t="s">
        <v>20</v>
      </c>
      <c r="E8" s="373"/>
      <c r="F8" s="375" t="s">
        <v>2</v>
      </c>
      <c r="G8" s="373" t="s">
        <v>3</v>
      </c>
      <c r="H8" s="377" t="s">
        <v>3</v>
      </c>
      <c r="I8" s="377" t="s">
        <v>620</v>
      </c>
      <c r="J8" s="377" t="s">
        <v>9</v>
      </c>
      <c r="K8" s="373" t="s">
        <v>17</v>
      </c>
      <c r="L8" s="375" t="s">
        <v>17</v>
      </c>
      <c r="M8" s="373" t="s">
        <v>11</v>
      </c>
      <c r="N8" s="373" t="s">
        <v>103</v>
      </c>
      <c r="O8" s="328" t="s">
        <v>29</v>
      </c>
    </row>
    <row r="9" spans="1:15" ht="12.75">
      <c r="A9" s="362"/>
      <c r="B9" s="373" t="s">
        <v>6</v>
      </c>
      <c r="C9" s="376"/>
      <c r="D9" s="377" t="s">
        <v>105</v>
      </c>
      <c r="E9" s="377" t="s">
        <v>23</v>
      </c>
      <c r="F9" s="375" t="s">
        <v>24</v>
      </c>
      <c r="G9" s="377" t="s">
        <v>106</v>
      </c>
      <c r="H9" s="375" t="s">
        <v>627</v>
      </c>
      <c r="I9" s="377" t="s">
        <v>25</v>
      </c>
      <c r="J9" s="377" t="s">
        <v>108</v>
      </c>
      <c r="K9" s="377" t="s">
        <v>628</v>
      </c>
      <c r="L9" s="375" t="s">
        <v>629</v>
      </c>
      <c r="M9" s="377" t="s">
        <v>80</v>
      </c>
      <c r="N9" s="377" t="s">
        <v>111</v>
      </c>
      <c r="O9" s="328" t="s">
        <v>27</v>
      </c>
    </row>
    <row r="10" spans="1:15" ht="13.5" thickBot="1">
      <c r="A10" s="368"/>
      <c r="B10" s="378"/>
      <c r="C10" s="378"/>
      <c r="D10" s="372"/>
      <c r="E10" s="372"/>
      <c r="F10" s="379"/>
      <c r="G10" s="692" t="s">
        <v>710</v>
      </c>
      <c r="H10" s="379" t="s">
        <v>630</v>
      </c>
      <c r="I10" s="372"/>
      <c r="J10" s="372"/>
      <c r="K10" s="372" t="s">
        <v>631</v>
      </c>
      <c r="L10" s="380" t="s">
        <v>632</v>
      </c>
      <c r="M10" s="372"/>
      <c r="N10" s="372"/>
      <c r="O10" s="331"/>
    </row>
    <row r="11" spans="1:15" ht="12.75" hidden="1" outlineLevel="1">
      <c r="A11" s="362"/>
      <c r="B11" s="386">
        <v>41639</v>
      </c>
      <c r="C11" s="376"/>
      <c r="D11" s="377"/>
      <c r="E11" s="377"/>
      <c r="F11" s="375"/>
      <c r="G11" s="570"/>
      <c r="H11" s="375"/>
      <c r="I11" s="377"/>
      <c r="J11" s="377"/>
      <c r="K11" s="377"/>
      <c r="L11" s="571"/>
      <c r="M11" s="377"/>
      <c r="N11" s="377"/>
      <c r="O11" s="409"/>
    </row>
    <row r="12" spans="1:15" ht="12.75" hidden="1" outlineLevel="1">
      <c r="A12" s="362"/>
      <c r="B12" s="386">
        <v>41670</v>
      </c>
      <c r="C12" s="376"/>
      <c r="D12" s="377"/>
      <c r="E12" s="377"/>
      <c r="F12" s="375"/>
      <c r="G12" s="570"/>
      <c r="H12" s="375"/>
      <c r="I12" s="377"/>
      <c r="J12" s="377"/>
      <c r="K12" s="377"/>
      <c r="L12" s="571"/>
      <c r="M12" s="377"/>
      <c r="N12" s="377"/>
      <c r="O12" s="409"/>
    </row>
    <row r="13" spans="1:15" ht="12.75" hidden="1" outlineLevel="1">
      <c r="A13" s="362"/>
      <c r="B13" s="386">
        <v>41698</v>
      </c>
      <c r="C13" s="376"/>
      <c r="D13" s="377"/>
      <c r="E13" s="377"/>
      <c r="F13" s="375"/>
      <c r="G13" s="570"/>
      <c r="H13" s="375"/>
      <c r="I13" s="377"/>
      <c r="J13" s="377"/>
      <c r="K13" s="377"/>
      <c r="L13" s="571"/>
      <c r="M13" s="377"/>
      <c r="N13" s="377"/>
      <c r="O13" s="409"/>
    </row>
    <row r="14" spans="1:15" ht="10.15" hidden="1" customHeight="1" outlineLevel="1">
      <c r="A14" s="360"/>
      <c r="B14" s="386">
        <v>41729</v>
      </c>
      <c r="C14" s="360"/>
      <c r="D14" s="365"/>
      <c r="E14" s="381"/>
      <c r="F14" s="382"/>
      <c r="G14" s="365"/>
      <c r="H14" s="366"/>
      <c r="I14" s="383"/>
      <c r="J14" s="383"/>
      <c r="K14" s="384"/>
      <c r="L14" s="384"/>
      <c r="M14" s="384"/>
      <c r="N14" s="384"/>
    </row>
    <row r="15" spans="1:15" ht="12.75" hidden="1" outlineLevel="1">
      <c r="A15" s="360"/>
      <c r="B15" s="385">
        <v>41759</v>
      </c>
      <c r="C15" s="386"/>
      <c r="D15" s="387"/>
      <c r="E15" s="388">
        <f>E14+D15</f>
        <v>0</v>
      </c>
      <c r="F15" s="389"/>
      <c r="G15" s="381"/>
      <c r="H15" s="390"/>
      <c r="I15" s="383"/>
      <c r="J15" s="383"/>
      <c r="K15" s="391">
        <f>(-D15*0.35)+(G15*0.35)</f>
        <v>0</v>
      </c>
      <c r="L15" s="391">
        <f>L14+K15</f>
        <v>0</v>
      </c>
      <c r="M15" s="391"/>
      <c r="N15" s="384"/>
    </row>
    <row r="16" spans="1:15" ht="12.75" hidden="1" outlineLevel="1">
      <c r="A16" s="360"/>
      <c r="B16" s="385">
        <v>41790</v>
      </c>
      <c r="C16" s="386"/>
      <c r="D16" s="392">
        <v>-165891.27794925836</v>
      </c>
      <c r="E16" s="392">
        <f>E15+D16</f>
        <v>-165891.27794925836</v>
      </c>
      <c r="F16" s="389"/>
      <c r="G16" s="381"/>
      <c r="H16" s="390"/>
      <c r="I16" s="383"/>
      <c r="J16" s="383"/>
      <c r="K16" s="391">
        <f t="shared" ref="K16:K44" si="0">(-D16*0.35)+(G16*0.35)</f>
        <v>58061.94728224042</v>
      </c>
      <c r="L16" s="391">
        <f t="shared" ref="L16:L45" si="1">L15+K16</f>
        <v>58061.94728224042</v>
      </c>
      <c r="M16" s="391"/>
      <c r="N16" s="384"/>
      <c r="O16" s="399">
        <f>E16+H16+L16</f>
        <v>-107829.33066701794</v>
      </c>
    </row>
    <row r="17" spans="1:16" ht="12.75" hidden="1" outlineLevel="1">
      <c r="A17" s="360"/>
      <c r="B17" s="395">
        <v>41820</v>
      </c>
      <c r="C17" s="385"/>
      <c r="D17" s="393">
        <v>-285701.64535705606</v>
      </c>
      <c r="E17" s="393">
        <f>E16+D17</f>
        <v>-451592.92330631439</v>
      </c>
      <c r="F17" s="389"/>
      <c r="G17" s="394"/>
      <c r="H17" s="383"/>
      <c r="I17" s="383"/>
      <c r="J17" s="383"/>
      <c r="K17" s="389">
        <f t="shared" si="0"/>
        <v>99995.575874969611</v>
      </c>
      <c r="L17" s="389">
        <f t="shared" si="1"/>
        <v>158057.52315721003</v>
      </c>
      <c r="M17" s="389"/>
      <c r="N17" s="384"/>
      <c r="O17" s="399">
        <f t="shared" ref="O17:O22" si="2">E17+H17+L17</f>
        <v>-293535.40014910436</v>
      </c>
      <c r="P17" s="739"/>
    </row>
    <row r="18" spans="1:16" ht="12.75" hidden="1" outlineLevel="1">
      <c r="A18" s="360"/>
      <c r="B18" s="385">
        <v>41851</v>
      </c>
      <c r="C18" s="385"/>
      <c r="D18" s="393">
        <v>-285701.64535705606</v>
      </c>
      <c r="E18" s="393">
        <f t="shared" ref="E18:E79" si="3">E17+D18</f>
        <v>-737294.56866337045</v>
      </c>
      <c r="F18" s="389"/>
      <c r="G18" s="393"/>
      <c r="H18" s="389"/>
      <c r="I18" s="383"/>
      <c r="J18" s="383"/>
      <c r="K18" s="389">
        <f>(-D18*0.35)+(G18*0.35)</f>
        <v>99995.575874969611</v>
      </c>
      <c r="L18" s="389">
        <f>L17+K18</f>
        <v>258053.09903217963</v>
      </c>
      <c r="M18" s="389"/>
      <c r="N18" s="384"/>
      <c r="O18" s="399">
        <f t="shared" si="2"/>
        <v>-479241.46963119082</v>
      </c>
      <c r="P18" s="739"/>
    </row>
    <row r="19" spans="1:16" ht="12.75" hidden="1" outlineLevel="1">
      <c r="A19" s="360"/>
      <c r="B19" s="385">
        <v>41882</v>
      </c>
      <c r="C19" s="396"/>
      <c r="D19" s="393">
        <v>-285701.64535705606</v>
      </c>
      <c r="E19" s="393">
        <f t="shared" si="3"/>
        <v>-1022996.2140204265</v>
      </c>
      <c r="F19" s="389"/>
      <c r="G19" s="393"/>
      <c r="H19" s="389"/>
      <c r="I19" s="383"/>
      <c r="J19" s="383"/>
      <c r="K19" s="389">
        <f t="shared" si="0"/>
        <v>99995.575874969611</v>
      </c>
      <c r="L19" s="389">
        <f t="shared" si="1"/>
        <v>358048.67490714922</v>
      </c>
      <c r="M19" s="393"/>
      <c r="N19" s="384"/>
      <c r="O19" s="399">
        <f t="shared" si="2"/>
        <v>-664947.53911327734</v>
      </c>
      <c r="P19" s="739"/>
    </row>
    <row r="20" spans="1:16" ht="12.75" hidden="1" outlineLevel="1">
      <c r="A20" s="360"/>
      <c r="B20" s="385">
        <v>41912</v>
      </c>
      <c r="C20" s="385"/>
      <c r="D20" s="393">
        <v>-285701.64535705606</v>
      </c>
      <c r="E20" s="393">
        <f t="shared" si="3"/>
        <v>-1308697.8593774824</v>
      </c>
      <c r="F20" s="389"/>
      <c r="G20" s="393"/>
      <c r="H20" s="389"/>
      <c r="I20" s="389"/>
      <c r="J20" s="383"/>
      <c r="K20" s="389">
        <f>(-D20*0.35)+(G20*0.35)</f>
        <v>99995.575874969611</v>
      </c>
      <c r="L20" s="389">
        <f t="shared" si="1"/>
        <v>458044.25078211882</v>
      </c>
      <c r="M20" s="393"/>
      <c r="N20" s="384"/>
      <c r="O20" s="399">
        <f t="shared" si="2"/>
        <v>-850653.60859536356</v>
      </c>
      <c r="P20" s="739"/>
    </row>
    <row r="21" spans="1:16" ht="12.75" hidden="1" outlineLevel="1">
      <c r="A21" s="360"/>
      <c r="B21" s="385">
        <v>41943</v>
      </c>
      <c r="C21" s="385"/>
      <c r="D21" s="393">
        <v>-285701.64535705606</v>
      </c>
      <c r="E21" s="393">
        <f t="shared" si="3"/>
        <v>-1594399.5047345385</v>
      </c>
      <c r="F21" s="389"/>
      <c r="G21" s="393"/>
      <c r="H21" s="389"/>
      <c r="I21" s="389"/>
      <c r="J21" s="389"/>
      <c r="K21" s="389">
        <f>(-D21*0.35)+(G21*0.35)</f>
        <v>99995.575874969611</v>
      </c>
      <c r="L21" s="389">
        <f t="shared" si="1"/>
        <v>558039.82665708847</v>
      </c>
      <c r="M21" s="393"/>
      <c r="N21" s="384"/>
      <c r="O21" s="399">
        <f t="shared" si="2"/>
        <v>-1036359.67807745</v>
      </c>
    </row>
    <row r="22" spans="1:16" ht="12.75" hidden="1" outlineLevel="1">
      <c r="A22" s="360"/>
      <c r="B22" s="385">
        <v>41973</v>
      </c>
      <c r="C22" s="385"/>
      <c r="D22" s="389">
        <v>-285701.64535705606</v>
      </c>
      <c r="E22" s="389">
        <f t="shared" si="3"/>
        <v>-1880101.1500915946</v>
      </c>
      <c r="F22" s="389">
        <f>(E15+E22+SUM(E16:E21)*2)/24</f>
        <v>-518410.24359143229</v>
      </c>
      <c r="G22" s="393"/>
      <c r="H22" s="389"/>
      <c r="I22" s="389"/>
      <c r="J22" s="389"/>
      <c r="K22" s="389">
        <f t="shared" si="0"/>
        <v>99995.575874969611</v>
      </c>
      <c r="L22" s="389">
        <f t="shared" si="1"/>
        <v>658035.40253205807</v>
      </c>
      <c r="M22" s="389">
        <f>(L15+L22+SUM(L16:L21)*2)/24</f>
        <v>181443.58525700131</v>
      </c>
      <c r="N22" s="397">
        <f>M22+J22</f>
        <v>181443.58525700131</v>
      </c>
      <c r="O22" s="399">
        <f t="shared" si="2"/>
        <v>-1222065.7475595365</v>
      </c>
    </row>
    <row r="23" spans="1:16" ht="12.75" hidden="1" outlineLevel="1">
      <c r="A23" s="360"/>
      <c r="B23" s="385">
        <v>42004</v>
      </c>
      <c r="C23" s="385"/>
      <c r="D23" s="393"/>
      <c r="E23" s="393">
        <f>E22+D23</f>
        <v>-1880101.1500915946</v>
      </c>
      <c r="F23" s="389">
        <f>(E11+E23+SUM(E12:E22)*2)/24</f>
        <v>-675085.33943239856</v>
      </c>
      <c r="G23" s="393">
        <f>E23/47</f>
        <v>-40002.152129608396</v>
      </c>
      <c r="H23" s="389">
        <f>H22-G23</f>
        <v>40002.152129608396</v>
      </c>
      <c r="I23" s="389">
        <f>(H16+H23+SUM(H17:H22)*2)/24</f>
        <v>1666.7563387336832</v>
      </c>
      <c r="J23" s="389">
        <f>F23+I23</f>
        <v>-673418.58309366484</v>
      </c>
      <c r="K23" s="389">
        <f>(-D23*0.35)+(G23*0.35)</f>
        <v>-14000.753245362937</v>
      </c>
      <c r="L23" s="389">
        <f t="shared" si="1"/>
        <v>644034.64928669517</v>
      </c>
      <c r="M23" s="389">
        <f>(L11+L23+SUM(L12:L22)*2)/24</f>
        <v>235696.50408278266</v>
      </c>
      <c r="N23" s="397">
        <f>M23+J23</f>
        <v>-437722.07901088218</v>
      </c>
      <c r="O23" s="575">
        <f>E23+H23+L23</f>
        <v>-1196064.3486752911</v>
      </c>
    </row>
    <row r="24" spans="1:16" ht="12.75" hidden="1" outlineLevel="1">
      <c r="A24" s="360"/>
      <c r="B24" s="385">
        <v>42035</v>
      </c>
      <c r="C24" s="385"/>
      <c r="D24" s="393"/>
      <c r="E24" s="393">
        <f t="shared" si="3"/>
        <v>-1880101.1500915946</v>
      </c>
      <c r="F24" s="389">
        <f>(E12+E24+SUM(E13:E23)*2)/24</f>
        <v>-831760.43527336477</v>
      </c>
      <c r="G24" s="393">
        <f t="shared" ref="G24:G34" si="4">E24/47</f>
        <v>-40002.152129608396</v>
      </c>
      <c r="H24" s="389">
        <f>H23-G24</f>
        <v>80004.304259216791</v>
      </c>
      <c r="I24" s="389">
        <f>(H16+H24+SUM(H17:H23)*2)/24</f>
        <v>6667.0253549347326</v>
      </c>
      <c r="J24" s="389">
        <f>F24+I24</f>
        <v>-825093.40991843003</v>
      </c>
      <c r="K24" s="389">
        <f t="shared" si="0"/>
        <v>-14000.753245362937</v>
      </c>
      <c r="L24" s="389">
        <f t="shared" si="1"/>
        <v>630033.89604133228</v>
      </c>
      <c r="M24" s="389">
        <f>(L12+L24+SUM(L13:L23)*2)/24</f>
        <v>288782.69347145053</v>
      </c>
      <c r="N24" s="397">
        <f>M24+J24</f>
        <v>-536310.71644697944</v>
      </c>
      <c r="O24" s="575">
        <f t="shared" ref="O24:O68" si="5">E24+H24+L24</f>
        <v>-1170062.9497910454</v>
      </c>
    </row>
    <row r="25" spans="1:16" ht="12.75" hidden="1" outlineLevel="1">
      <c r="A25" s="360"/>
      <c r="B25" s="385">
        <v>42063</v>
      </c>
      <c r="C25" s="385"/>
      <c r="D25" s="393"/>
      <c r="E25" s="393">
        <f t="shared" si="3"/>
        <v>-1880101.1500915946</v>
      </c>
      <c r="F25" s="389">
        <f>(E13+E25+SUM(E14:E24)*2)/24</f>
        <v>-988435.53111433098</v>
      </c>
      <c r="G25" s="393">
        <f t="shared" si="4"/>
        <v>-40002.152129608396</v>
      </c>
      <c r="H25" s="389">
        <f t="shared" ref="H25:H79" si="6">H24-G25</f>
        <v>120006.45638882519</v>
      </c>
      <c r="I25" s="389">
        <f>(H16+H25+SUM(H17:H24)*2)/24</f>
        <v>15000.807048603148</v>
      </c>
      <c r="J25" s="389">
        <f t="shared" ref="J25:J45" si="7">F25+I25</f>
        <v>-973434.72406572779</v>
      </c>
      <c r="K25" s="389">
        <f t="shared" si="0"/>
        <v>-14000.753245362937</v>
      </c>
      <c r="L25" s="389">
        <f t="shared" si="1"/>
        <v>616033.14279596938</v>
      </c>
      <c r="M25" s="389">
        <f t="shared" ref="M25:M26" si="8">(L13+L25+SUM(L14:L24)*2)/24</f>
        <v>340702.15342300473</v>
      </c>
      <c r="N25" s="397">
        <f t="shared" ref="N25" si="9">M25+J25</f>
        <v>-632732.570642723</v>
      </c>
      <c r="O25" s="575">
        <f t="shared" si="5"/>
        <v>-1144061.5509068002</v>
      </c>
    </row>
    <row r="26" spans="1:16" ht="12.75" hidden="1" outlineLevel="1">
      <c r="A26" s="360"/>
      <c r="B26" s="385">
        <v>42094</v>
      </c>
      <c r="C26" s="385"/>
      <c r="D26" s="393"/>
      <c r="E26" s="393">
        <f t="shared" si="3"/>
        <v>-1880101.1500915946</v>
      </c>
      <c r="F26" s="389">
        <f t="shared" ref="F26:F28" si="10">(E14+E26+SUM(E15:E25)*2)/24</f>
        <v>-1145110.6269552971</v>
      </c>
      <c r="G26" s="393">
        <f t="shared" si="4"/>
        <v>-40002.152129608396</v>
      </c>
      <c r="H26" s="389">
        <f>H25-G26</f>
        <v>160008.60851843358</v>
      </c>
      <c r="I26" s="389">
        <f>(H16+H26+SUM(H17:H25)*2)/24</f>
        <v>26668.10141973893</v>
      </c>
      <c r="J26" s="389">
        <f t="shared" si="7"/>
        <v>-1118442.5255355581</v>
      </c>
      <c r="K26" s="389">
        <f t="shared" si="0"/>
        <v>-14000.753245362937</v>
      </c>
      <c r="L26" s="389">
        <f t="shared" si="1"/>
        <v>602032.38955060649</v>
      </c>
      <c r="M26" s="389">
        <f t="shared" si="8"/>
        <v>391454.88393744541</v>
      </c>
      <c r="N26" s="397">
        <f>M26+J26</f>
        <v>-726987.64159811265</v>
      </c>
      <c r="O26" s="575">
        <f t="shared" si="5"/>
        <v>-1118060.1520225545</v>
      </c>
    </row>
    <row r="27" spans="1:16" ht="12.75" hidden="1" outlineLevel="1">
      <c r="A27" s="360"/>
      <c r="B27" s="385">
        <v>42124</v>
      </c>
      <c r="C27" s="385"/>
      <c r="D27" s="393"/>
      <c r="E27" s="393">
        <f t="shared" si="3"/>
        <v>-1880101.1500915946</v>
      </c>
      <c r="F27" s="389">
        <f t="shared" si="10"/>
        <v>-1301785.7227962634</v>
      </c>
      <c r="G27" s="393">
        <f t="shared" si="4"/>
        <v>-40002.152129608396</v>
      </c>
      <c r="H27" s="389">
        <f t="shared" si="6"/>
        <v>200010.76064804196</v>
      </c>
      <c r="I27" s="389">
        <f>(H16+H27+SUM(H17:H26)*2)/24</f>
        <v>41668.908468342073</v>
      </c>
      <c r="J27" s="389">
        <f t="shared" si="7"/>
        <v>-1260116.8143279213</v>
      </c>
      <c r="K27" s="389">
        <f t="shared" si="0"/>
        <v>-14000.753245362937</v>
      </c>
      <c r="L27" s="389">
        <f t="shared" si="1"/>
        <v>588031.63630524359</v>
      </c>
      <c r="M27" s="389">
        <f>(L15+L27+SUM(L16:L26)*2)/24</f>
        <v>441040.88501477247</v>
      </c>
      <c r="N27" s="397">
        <f>M27+J27</f>
        <v>-819075.92931314884</v>
      </c>
      <c r="O27" s="575">
        <f t="shared" si="5"/>
        <v>-1092058.7531383089</v>
      </c>
    </row>
    <row r="28" spans="1:16" ht="12.75" hidden="1" outlineLevel="1">
      <c r="A28" s="360"/>
      <c r="B28" s="385">
        <v>42155</v>
      </c>
      <c r="C28" s="385"/>
      <c r="D28" s="393"/>
      <c r="E28" s="393">
        <f t="shared" si="3"/>
        <v>-1880101.1500915946</v>
      </c>
      <c r="F28" s="389">
        <f t="shared" si="10"/>
        <v>-1451548.6820560105</v>
      </c>
      <c r="G28" s="393">
        <f t="shared" si="4"/>
        <v>-40002.152129608396</v>
      </c>
      <c r="H28" s="389">
        <f t="shared" si="6"/>
        <v>240012.91277765034</v>
      </c>
      <c r="I28" s="389">
        <f>(H16+H28+SUM(H17:H27)*2)/24</f>
        <v>60003.228194412593</v>
      </c>
      <c r="J28" s="389">
        <f t="shared" si="7"/>
        <v>-1391545.4538615979</v>
      </c>
      <c r="K28" s="389">
        <f t="shared" si="0"/>
        <v>-14000.753245362937</v>
      </c>
      <c r="L28" s="389">
        <f t="shared" si="1"/>
        <v>574030.8830598807</v>
      </c>
      <c r="M28" s="389">
        <f t="shared" ref="M28:M40" si="11">(L16+L28+SUM(L17:L27)*2)/24</f>
        <v>487040.90885155933</v>
      </c>
      <c r="N28" s="397">
        <f t="shared" ref="N28:N40" si="12">M28+J28</f>
        <v>-904504.54501003865</v>
      </c>
      <c r="O28" s="575">
        <f t="shared" si="5"/>
        <v>-1066057.3542540635</v>
      </c>
    </row>
    <row r="29" spans="1:16" ht="12.75" hidden="1" outlineLevel="1">
      <c r="A29" s="360"/>
      <c r="B29" s="385">
        <v>42185</v>
      </c>
      <c r="C29" s="385"/>
      <c r="D29" s="393"/>
      <c r="E29" s="393">
        <f t="shared" si="3"/>
        <v>-1880101.1500915946</v>
      </c>
      <c r="F29" s="389">
        <f>(E17+E29+SUM(E18:E28)*2)/24</f>
        <v>-1582495.2695113278</v>
      </c>
      <c r="G29" s="393">
        <f t="shared" si="4"/>
        <v>-40002.152129608396</v>
      </c>
      <c r="H29" s="389">
        <f t="shared" si="6"/>
        <v>280015.06490725873</v>
      </c>
      <c r="I29" s="389">
        <f>(H17+H29+SUM(H18:H28)*2)/24</f>
        <v>81671.060597950476</v>
      </c>
      <c r="J29" s="389">
        <f t="shared" si="7"/>
        <v>-1500824.2089133775</v>
      </c>
      <c r="K29" s="389">
        <f t="shared" si="0"/>
        <v>-14000.753245362937</v>
      </c>
      <c r="L29" s="389">
        <f t="shared" si="1"/>
        <v>560030.1298145178</v>
      </c>
      <c r="M29" s="389">
        <f t="shared" si="11"/>
        <v>525288.47311968217</v>
      </c>
      <c r="N29" s="397">
        <f t="shared" si="12"/>
        <v>-975535.73579369532</v>
      </c>
      <c r="O29" s="575">
        <f t="shared" si="5"/>
        <v>-1040055.9553698179</v>
      </c>
    </row>
    <row r="30" spans="1:16" ht="12.75" hidden="1" outlineLevel="1">
      <c r="A30" s="360"/>
      <c r="B30" s="385">
        <v>42216</v>
      </c>
      <c r="C30" s="385"/>
      <c r="D30" s="393"/>
      <c r="E30" s="393">
        <f>E29+D30</f>
        <v>-1880101.1500915946</v>
      </c>
      <c r="F30" s="389">
        <f>(E18+E30+SUM(E19:E29)*2)/24</f>
        <v>-1689633.3865202237</v>
      </c>
      <c r="G30" s="393">
        <f t="shared" si="4"/>
        <v>-40002.152129608396</v>
      </c>
      <c r="H30" s="389">
        <f t="shared" si="6"/>
        <v>320017.21703686711</v>
      </c>
      <c r="I30" s="389">
        <f>(H18+H30+SUM(H19:H29)*2)/24</f>
        <v>106672.40567895571</v>
      </c>
      <c r="J30" s="389">
        <f t="shared" si="7"/>
        <v>-1582960.9808412681</v>
      </c>
      <c r="K30" s="389">
        <f>(-D30*0.35)+(G30*0.35)</f>
        <v>-14000.753245362937</v>
      </c>
      <c r="L30" s="389">
        <f t="shared" si="1"/>
        <v>546029.37656915491</v>
      </c>
      <c r="M30" s="389">
        <f t="shared" si="11"/>
        <v>554036.34329444391</v>
      </c>
      <c r="N30" s="397">
        <f t="shared" si="12"/>
        <v>-1028924.6375468242</v>
      </c>
      <c r="O30" s="575">
        <f t="shared" si="5"/>
        <v>-1014054.5564855726</v>
      </c>
    </row>
    <row r="31" spans="1:16" ht="12.75" hidden="1" outlineLevel="1">
      <c r="A31" s="360"/>
      <c r="B31" s="385">
        <v>42247</v>
      </c>
      <c r="C31" s="385"/>
      <c r="D31" s="393"/>
      <c r="E31" s="393">
        <f t="shared" si="3"/>
        <v>-1880101.1500915946</v>
      </c>
      <c r="F31" s="389">
        <f>(E19+E31+SUM(E20:E30)*2)/24</f>
        <v>-1772963.0330826985</v>
      </c>
      <c r="G31" s="393">
        <f t="shared" si="4"/>
        <v>-40002.152129608396</v>
      </c>
      <c r="H31" s="389">
        <f t="shared" si="6"/>
        <v>360019.36916647549</v>
      </c>
      <c r="I31" s="389">
        <f>(H19+H31+SUM(H20:H30)*2)/24</f>
        <v>135007.26343742831</v>
      </c>
      <c r="J31" s="389">
        <f t="shared" si="7"/>
        <v>-1637955.7696452702</v>
      </c>
      <c r="K31" s="389">
        <f>(-D31*0.35)+(G31*0.35)</f>
        <v>-14000.753245362937</v>
      </c>
      <c r="L31" s="389">
        <f t="shared" si="1"/>
        <v>532028.62332379201</v>
      </c>
      <c r="M31" s="389">
        <f t="shared" si="11"/>
        <v>573284.51937584463</v>
      </c>
      <c r="N31" s="397">
        <f>M31+J31</f>
        <v>-1064671.2502694256</v>
      </c>
      <c r="O31" s="575">
        <f t="shared" si="5"/>
        <v>-988053.15760132705</v>
      </c>
    </row>
    <row r="32" spans="1:16" ht="12.75" hidden="1" outlineLevel="1">
      <c r="A32" s="360"/>
      <c r="B32" s="385">
        <v>42277</v>
      </c>
      <c r="C32" s="385"/>
      <c r="D32" s="393"/>
      <c r="E32" s="393">
        <f t="shared" si="3"/>
        <v>-1880101.1500915946</v>
      </c>
      <c r="F32" s="389">
        <f>(E20+E32+SUM(E21:E31)*2)/24</f>
        <v>-1832484.2091987517</v>
      </c>
      <c r="G32" s="393">
        <f t="shared" si="4"/>
        <v>-40002.152129608396</v>
      </c>
      <c r="H32" s="389">
        <f t="shared" si="6"/>
        <v>400021.52129608387</v>
      </c>
      <c r="I32" s="389">
        <f t="shared" ref="I32:I40" si="13">(H20+H32+SUM(H21:H31)*2)/24</f>
        <v>166675.63387336829</v>
      </c>
      <c r="J32" s="389">
        <f t="shared" si="7"/>
        <v>-1665808.5753253833</v>
      </c>
      <c r="K32" s="389">
        <f>(-D32*0.35)+(G32*0.35)</f>
        <v>-14000.753245362937</v>
      </c>
      <c r="L32" s="389">
        <f t="shared" si="1"/>
        <v>518027.87007842906</v>
      </c>
      <c r="M32" s="389">
        <f t="shared" si="11"/>
        <v>583033.00136388431</v>
      </c>
      <c r="N32" s="397">
        <f t="shared" si="12"/>
        <v>-1082775.5739614991</v>
      </c>
      <c r="O32" s="575">
        <f t="shared" si="5"/>
        <v>-962051.75871708151</v>
      </c>
    </row>
    <row r="33" spans="1:17" ht="12.75" hidden="1" outlineLevel="1">
      <c r="A33" s="360"/>
      <c r="B33" s="385">
        <v>42308</v>
      </c>
      <c r="C33" s="385"/>
      <c r="D33" s="393"/>
      <c r="E33" s="393">
        <f t="shared" si="3"/>
        <v>-1880101.1500915946</v>
      </c>
      <c r="F33" s="389">
        <f t="shared" ref="F33:F40" si="14">(E21+E33+SUM(E22:E32)*2)/24</f>
        <v>-1868196.9148683839</v>
      </c>
      <c r="G33" s="393">
        <f t="shared" si="4"/>
        <v>-40002.152129608396</v>
      </c>
      <c r="H33" s="389">
        <f t="shared" si="6"/>
        <v>440023.67342569225</v>
      </c>
      <c r="I33" s="389">
        <f t="shared" si="13"/>
        <v>201677.51698677559</v>
      </c>
      <c r="J33" s="389">
        <f t="shared" si="7"/>
        <v>-1666519.3978816082</v>
      </c>
      <c r="K33" s="389">
        <f t="shared" si="0"/>
        <v>-14000.753245362937</v>
      </c>
      <c r="L33" s="389">
        <f t="shared" si="1"/>
        <v>504027.1168330661</v>
      </c>
      <c r="M33" s="389">
        <f t="shared" si="11"/>
        <v>583281.78925856296</v>
      </c>
      <c r="N33" s="397">
        <f t="shared" si="12"/>
        <v>-1083237.6086230453</v>
      </c>
      <c r="O33" s="575">
        <f t="shared" si="5"/>
        <v>-936050.35983283632</v>
      </c>
    </row>
    <row r="34" spans="1:17" ht="12.75" hidden="1" outlineLevel="1">
      <c r="A34" s="360"/>
      <c r="B34" s="395">
        <v>42338</v>
      </c>
      <c r="C34" s="395"/>
      <c r="D34" s="389"/>
      <c r="E34" s="389">
        <f t="shared" si="3"/>
        <v>-1880101.1500915946</v>
      </c>
      <c r="F34" s="389">
        <f>(E22+E34+SUM(E23:E33)*2)/24</f>
        <v>-1880101.1500915948</v>
      </c>
      <c r="G34" s="389">
        <f t="shared" si="4"/>
        <v>-40002.152129608396</v>
      </c>
      <c r="H34" s="389">
        <f t="shared" si="6"/>
        <v>480025.82555530063</v>
      </c>
      <c r="I34" s="389">
        <f>(H22+H34+SUM(H23:H33)*2)/24</f>
        <v>240012.91277765029</v>
      </c>
      <c r="J34" s="389">
        <f t="shared" si="7"/>
        <v>-1640088.2373139444</v>
      </c>
      <c r="K34" s="389">
        <f t="shared" si="0"/>
        <v>-14000.753245362937</v>
      </c>
      <c r="L34" s="389">
        <f t="shared" si="1"/>
        <v>490026.36358770315</v>
      </c>
      <c r="M34" s="389">
        <f>(L22+L34+SUM(L23:L33)*2)/24</f>
        <v>574030.88305988058</v>
      </c>
      <c r="N34" s="397">
        <f t="shared" si="12"/>
        <v>-1066057.3542540637</v>
      </c>
      <c r="O34" s="575">
        <f t="shared" si="5"/>
        <v>-910048.96094859089</v>
      </c>
    </row>
    <row r="35" spans="1:17" ht="12.75" hidden="1" outlineLevel="1">
      <c r="A35" s="360"/>
      <c r="B35" s="386">
        <v>42369</v>
      </c>
      <c r="C35" s="385"/>
      <c r="D35" s="393"/>
      <c r="E35" s="393">
        <f t="shared" si="3"/>
        <v>-1880101.1500915946</v>
      </c>
      <c r="F35" s="389">
        <f>(E23+E35+SUM(E24:E34)*2)/24</f>
        <v>-1880101.1500915948</v>
      </c>
      <c r="G35" s="389">
        <f>E35/47</f>
        <v>-40002.152129608396</v>
      </c>
      <c r="H35" s="389">
        <f t="shared" si="6"/>
        <v>520027.97768490901</v>
      </c>
      <c r="I35" s="389">
        <f>(H23+H35+SUM(H24:H34)*2)/24</f>
        <v>280015.06490725873</v>
      </c>
      <c r="J35" s="389">
        <f t="shared" si="7"/>
        <v>-1600086.0851843362</v>
      </c>
      <c r="K35" s="389">
        <f t="shared" si="0"/>
        <v>-14000.753245362937</v>
      </c>
      <c r="L35" s="389">
        <f t="shared" si="1"/>
        <v>476025.61034234019</v>
      </c>
      <c r="M35" s="389">
        <f>(L23+L35+SUM(L24:L34)*2)/24</f>
        <v>560030.1298145178</v>
      </c>
      <c r="N35" s="397">
        <f>M35+J35</f>
        <v>-1040055.9553698184</v>
      </c>
      <c r="O35" s="399">
        <f t="shared" si="5"/>
        <v>-884047.56206434534</v>
      </c>
    </row>
    <row r="36" spans="1:17" ht="12.75" hidden="1" outlineLevel="1">
      <c r="A36" s="360"/>
      <c r="B36" s="386">
        <v>42400</v>
      </c>
      <c r="C36" s="386"/>
      <c r="D36" s="392"/>
      <c r="E36" s="392">
        <f t="shared" si="3"/>
        <v>-1880101.1500915946</v>
      </c>
      <c r="F36" s="389">
        <f t="shared" si="14"/>
        <v>-1880101.1500915948</v>
      </c>
      <c r="G36" s="389">
        <f>E36/47</f>
        <v>-40002.152129608396</v>
      </c>
      <c r="H36" s="391">
        <f t="shared" si="6"/>
        <v>560030.12981451745</v>
      </c>
      <c r="I36" s="389">
        <f t="shared" si="13"/>
        <v>320017.21703686711</v>
      </c>
      <c r="J36" s="389">
        <f t="shared" si="7"/>
        <v>-1560083.9330547277</v>
      </c>
      <c r="K36" s="391">
        <f t="shared" si="0"/>
        <v>-14000.753245362937</v>
      </c>
      <c r="L36" s="391">
        <f t="shared" si="1"/>
        <v>462024.85709697724</v>
      </c>
      <c r="M36" s="389">
        <f t="shared" si="11"/>
        <v>546029.37656915491</v>
      </c>
      <c r="N36" s="397">
        <f t="shared" si="12"/>
        <v>-1014054.5564855728</v>
      </c>
      <c r="O36" s="399">
        <f t="shared" si="5"/>
        <v>-858046.1631800998</v>
      </c>
    </row>
    <row r="37" spans="1:17" ht="12.75" hidden="1" outlineLevel="1">
      <c r="A37" s="360"/>
      <c r="B37" s="386">
        <v>42428</v>
      </c>
      <c r="C37" s="386"/>
      <c r="D37" s="392"/>
      <c r="E37" s="392">
        <f t="shared" si="3"/>
        <v>-1880101.1500915946</v>
      </c>
      <c r="F37" s="389">
        <f t="shared" si="14"/>
        <v>-1880101.1500915948</v>
      </c>
      <c r="G37" s="389">
        <f t="shared" ref="G37:G68" si="15">E37/47</f>
        <v>-40002.152129608396</v>
      </c>
      <c r="H37" s="391">
        <f t="shared" si="6"/>
        <v>600032.28194412589</v>
      </c>
      <c r="I37" s="389">
        <f t="shared" si="13"/>
        <v>360019.36916647555</v>
      </c>
      <c r="J37" s="389">
        <f t="shared" si="7"/>
        <v>-1520081.7809251193</v>
      </c>
      <c r="K37" s="391">
        <f t="shared" si="0"/>
        <v>-14000.753245362937</v>
      </c>
      <c r="L37" s="391">
        <f t="shared" si="1"/>
        <v>448024.10385161429</v>
      </c>
      <c r="M37" s="389">
        <f t="shared" si="11"/>
        <v>532028.62332379201</v>
      </c>
      <c r="N37" s="397">
        <f t="shared" si="12"/>
        <v>-988053.15760132729</v>
      </c>
      <c r="O37" s="399">
        <f t="shared" si="5"/>
        <v>-832044.76429585437</v>
      </c>
    </row>
    <row r="38" spans="1:17" ht="12.75" hidden="1" outlineLevel="1">
      <c r="A38" s="360"/>
      <c r="B38" s="386">
        <v>42460</v>
      </c>
      <c r="C38" s="386"/>
      <c r="D38" s="392"/>
      <c r="E38" s="392">
        <f t="shared" si="3"/>
        <v>-1880101.1500915946</v>
      </c>
      <c r="F38" s="389">
        <f t="shared" si="14"/>
        <v>-1880101.1500915948</v>
      </c>
      <c r="G38" s="389">
        <f t="shared" si="15"/>
        <v>-40002.152129608396</v>
      </c>
      <c r="H38" s="391">
        <f t="shared" si="6"/>
        <v>640034.43407373433</v>
      </c>
      <c r="I38" s="389">
        <f t="shared" si="13"/>
        <v>400021.52129608393</v>
      </c>
      <c r="J38" s="389">
        <f t="shared" si="7"/>
        <v>-1480079.6287955109</v>
      </c>
      <c r="K38" s="391">
        <f t="shared" si="0"/>
        <v>-14000.753245362937</v>
      </c>
      <c r="L38" s="391">
        <f t="shared" si="1"/>
        <v>434023.35060625133</v>
      </c>
      <c r="M38" s="389">
        <f t="shared" si="11"/>
        <v>518027.87007842906</v>
      </c>
      <c r="N38" s="397">
        <f>M38+J38</f>
        <v>-962051.75871708174</v>
      </c>
      <c r="O38" s="399">
        <f t="shared" si="5"/>
        <v>-806043.36541160895</v>
      </c>
    </row>
    <row r="39" spans="1:17" ht="12.75" hidden="1" outlineLevel="1">
      <c r="A39" s="360"/>
      <c r="B39" s="385">
        <v>42490</v>
      </c>
      <c r="C39" s="386"/>
      <c r="D39" s="392"/>
      <c r="E39" s="392">
        <f t="shared" si="3"/>
        <v>-1880101.1500915946</v>
      </c>
      <c r="F39" s="389">
        <f t="shared" si="14"/>
        <v>-1880101.1500915948</v>
      </c>
      <c r="G39" s="389">
        <f t="shared" si="15"/>
        <v>-40002.152129608396</v>
      </c>
      <c r="H39" s="391">
        <f t="shared" si="6"/>
        <v>680036.58620334277</v>
      </c>
      <c r="I39" s="389">
        <f>(H27+H39+SUM(H28:H38)*2)/24</f>
        <v>440023.67342569231</v>
      </c>
      <c r="J39" s="389">
        <f t="shared" si="7"/>
        <v>-1440077.4766659024</v>
      </c>
      <c r="K39" s="391">
        <f t="shared" si="0"/>
        <v>-14000.753245362937</v>
      </c>
      <c r="L39" s="391">
        <f t="shared" si="1"/>
        <v>420022.59736088838</v>
      </c>
      <c r="M39" s="389">
        <f t="shared" si="11"/>
        <v>504027.1168330661</v>
      </c>
      <c r="N39" s="397">
        <f t="shared" si="12"/>
        <v>-936050.35983283632</v>
      </c>
      <c r="O39" s="399">
        <f t="shared" si="5"/>
        <v>-780041.9665273634</v>
      </c>
    </row>
    <row r="40" spans="1:17" ht="12.75" hidden="1" outlineLevel="1">
      <c r="A40" s="360"/>
      <c r="B40" s="385">
        <v>42521</v>
      </c>
      <c r="C40" s="386"/>
      <c r="D40" s="392"/>
      <c r="E40" s="392">
        <f t="shared" si="3"/>
        <v>-1880101.1500915946</v>
      </c>
      <c r="F40" s="389">
        <f t="shared" si="14"/>
        <v>-1880101.1500915948</v>
      </c>
      <c r="G40" s="389">
        <f t="shared" si="15"/>
        <v>-40002.152129608396</v>
      </c>
      <c r="H40" s="391">
        <f t="shared" si="6"/>
        <v>720038.73833295121</v>
      </c>
      <c r="I40" s="389">
        <f t="shared" si="13"/>
        <v>480025.82555530063</v>
      </c>
      <c r="J40" s="389">
        <f t="shared" si="7"/>
        <v>-1400075.3245362942</v>
      </c>
      <c r="K40" s="391">
        <f t="shared" si="0"/>
        <v>-14000.753245362937</v>
      </c>
      <c r="L40" s="391">
        <f t="shared" si="1"/>
        <v>406021.84411552543</v>
      </c>
      <c r="M40" s="389">
        <f t="shared" si="11"/>
        <v>490026.36358770309</v>
      </c>
      <c r="N40" s="397">
        <f t="shared" si="12"/>
        <v>-910048.96094859112</v>
      </c>
      <c r="O40" s="399">
        <f t="shared" si="5"/>
        <v>-754040.56764311786</v>
      </c>
    </row>
    <row r="41" spans="1:17" ht="12.75" hidden="1" outlineLevel="1">
      <c r="A41" s="361"/>
      <c r="B41" s="395">
        <v>42551</v>
      </c>
      <c r="C41" s="398"/>
      <c r="D41" s="391"/>
      <c r="E41" s="389">
        <f t="shared" si="3"/>
        <v>-1880101.1500915946</v>
      </c>
      <c r="F41" s="389">
        <f>(E29+E41+SUM(E30:E40)*2)/24</f>
        <v>-1880101.1500915948</v>
      </c>
      <c r="G41" s="389">
        <f t="shared" si="15"/>
        <v>-40002.152129608396</v>
      </c>
      <c r="H41" s="389">
        <f t="shared" si="6"/>
        <v>760040.89046255965</v>
      </c>
      <c r="I41" s="389">
        <f>(H29+H41+SUM(H30:H40)*2)/24</f>
        <v>520027.97768490919</v>
      </c>
      <c r="J41" s="389">
        <f t="shared" si="7"/>
        <v>-1360073.1724066855</v>
      </c>
      <c r="K41" s="389">
        <f t="shared" si="0"/>
        <v>-14000.753245362937</v>
      </c>
      <c r="L41" s="389">
        <f t="shared" si="1"/>
        <v>392021.09087016247</v>
      </c>
      <c r="M41" s="389">
        <f>(L29+L41+SUM(L30:L40)*2)/24</f>
        <v>476025.61034234025</v>
      </c>
      <c r="N41" s="397">
        <f>M41+J41</f>
        <v>-884047.56206434523</v>
      </c>
      <c r="O41" s="399">
        <f t="shared" si="5"/>
        <v>-728039.16875887243</v>
      </c>
    </row>
    <row r="42" spans="1:17" ht="12.75" hidden="1" outlineLevel="1">
      <c r="A42" s="361"/>
      <c r="B42" s="386">
        <v>42582</v>
      </c>
      <c r="C42" s="398"/>
      <c r="D42" s="391"/>
      <c r="E42" s="389">
        <f t="shared" si="3"/>
        <v>-1880101.1500915946</v>
      </c>
      <c r="F42" s="389">
        <f t="shared" ref="F42:F46" si="16">(E30+E42+SUM(E31:E41)*2)/24</f>
        <v>-1880101.1500915948</v>
      </c>
      <c r="G42" s="389">
        <f t="shared" si="15"/>
        <v>-40002.152129608396</v>
      </c>
      <c r="H42" s="389">
        <f t="shared" si="6"/>
        <v>800043.04259216809</v>
      </c>
      <c r="I42" s="389">
        <f t="shared" ref="I42:I45" si="17">(H30+H42+SUM(H31:H41)*2)/24</f>
        <v>560030.12981451757</v>
      </c>
      <c r="J42" s="389">
        <f t="shared" si="7"/>
        <v>-1320071.0202770773</v>
      </c>
      <c r="K42" s="389">
        <f t="shared" si="0"/>
        <v>-14000.753245362937</v>
      </c>
      <c r="L42" s="389">
        <f t="shared" si="1"/>
        <v>378020.33762479952</v>
      </c>
      <c r="M42" s="389">
        <f t="shared" ref="M42:M46" si="18">(L30+L42+SUM(L31:L41)*2)/24</f>
        <v>462024.8570969773</v>
      </c>
      <c r="N42" s="397">
        <f t="shared" ref="N42:N79" si="19">M42+J42</f>
        <v>-858046.16318010003</v>
      </c>
      <c r="O42" s="399">
        <f t="shared" si="5"/>
        <v>-702037.769874627</v>
      </c>
    </row>
    <row r="43" spans="1:17" ht="12.75" hidden="1" outlineLevel="1">
      <c r="A43" s="361"/>
      <c r="B43" s="386">
        <v>42613</v>
      </c>
      <c r="C43" s="398"/>
      <c r="D43" s="391"/>
      <c r="E43" s="389">
        <f t="shared" si="3"/>
        <v>-1880101.1500915946</v>
      </c>
      <c r="F43" s="389">
        <f t="shared" si="16"/>
        <v>-1880101.1500915948</v>
      </c>
      <c r="G43" s="389">
        <f t="shared" si="15"/>
        <v>-40002.152129608396</v>
      </c>
      <c r="H43" s="389">
        <f t="shared" si="6"/>
        <v>840045.19472177653</v>
      </c>
      <c r="I43" s="389">
        <f t="shared" si="17"/>
        <v>600032.28194412601</v>
      </c>
      <c r="J43" s="389">
        <f t="shared" si="7"/>
        <v>-1280068.8681474687</v>
      </c>
      <c r="K43" s="389">
        <f t="shared" si="0"/>
        <v>-14000.753245362937</v>
      </c>
      <c r="L43" s="389">
        <f t="shared" si="1"/>
        <v>364019.58437943656</v>
      </c>
      <c r="M43" s="389">
        <f t="shared" si="18"/>
        <v>448024.10385161429</v>
      </c>
      <c r="N43" s="397">
        <f t="shared" si="19"/>
        <v>-832044.76429585437</v>
      </c>
      <c r="O43" s="399">
        <f t="shared" si="5"/>
        <v>-676036.37099038146</v>
      </c>
      <c r="Q43" s="740"/>
    </row>
    <row r="44" spans="1:17" ht="12.75" hidden="1" outlineLevel="1">
      <c r="A44" s="361"/>
      <c r="B44" s="386">
        <v>42643</v>
      </c>
      <c r="C44" s="398"/>
      <c r="D44" s="391"/>
      <c r="E44" s="389">
        <f t="shared" si="3"/>
        <v>-1880101.1500915946</v>
      </c>
      <c r="F44" s="389">
        <f t="shared" si="16"/>
        <v>-1880101.1500915948</v>
      </c>
      <c r="G44" s="389">
        <f t="shared" si="15"/>
        <v>-40002.152129608396</v>
      </c>
      <c r="H44" s="389">
        <f t="shared" si="6"/>
        <v>880047.34685138497</v>
      </c>
      <c r="I44" s="389">
        <f>(H32+H44+SUM(H33:H43)*2)/24</f>
        <v>640034.43407373433</v>
      </c>
      <c r="J44" s="389">
        <f>F44+I44</f>
        <v>-1240066.7160178605</v>
      </c>
      <c r="K44" s="389">
        <f t="shared" si="0"/>
        <v>-14000.753245362937</v>
      </c>
      <c r="L44" s="389">
        <f t="shared" si="1"/>
        <v>350018.83113407361</v>
      </c>
      <c r="M44" s="389">
        <f t="shared" si="18"/>
        <v>434023.35060625133</v>
      </c>
      <c r="N44" s="397">
        <f t="shared" si="19"/>
        <v>-806043.36541160918</v>
      </c>
      <c r="O44" s="399">
        <f t="shared" si="5"/>
        <v>-650034.97210613592</v>
      </c>
    </row>
    <row r="45" spans="1:17" ht="12.75" hidden="1" outlineLevel="1">
      <c r="A45" s="361"/>
      <c r="B45" s="386">
        <v>42674</v>
      </c>
      <c r="C45" s="398"/>
      <c r="D45" s="391"/>
      <c r="E45" s="389">
        <f t="shared" si="3"/>
        <v>-1880101.1500915946</v>
      </c>
      <c r="F45" s="389">
        <f t="shared" si="16"/>
        <v>-1880101.1500915948</v>
      </c>
      <c r="G45" s="389">
        <f t="shared" si="15"/>
        <v>-40002.152129608396</v>
      </c>
      <c r="H45" s="389">
        <f t="shared" si="6"/>
        <v>920049.4989809934</v>
      </c>
      <c r="I45" s="389">
        <f t="shared" si="17"/>
        <v>680036.58620334277</v>
      </c>
      <c r="J45" s="389">
        <f t="shared" si="7"/>
        <v>-1200064.563888252</v>
      </c>
      <c r="K45" s="389">
        <f>(-D45*0.35)+(G45*0.35)</f>
        <v>-14000.753245362937</v>
      </c>
      <c r="L45" s="389">
        <f t="shared" si="1"/>
        <v>336018.07788871066</v>
      </c>
      <c r="M45" s="389">
        <f t="shared" si="18"/>
        <v>420022.59736088844</v>
      </c>
      <c r="N45" s="397">
        <f t="shared" si="19"/>
        <v>-780041.96652736352</v>
      </c>
      <c r="O45" s="399">
        <f t="shared" si="5"/>
        <v>-624033.57322189049</v>
      </c>
    </row>
    <row r="46" spans="1:17" ht="12.75" hidden="1" outlineLevel="1">
      <c r="A46" s="361"/>
      <c r="B46" s="386">
        <v>42704</v>
      </c>
      <c r="C46" s="398"/>
      <c r="D46" s="391"/>
      <c r="E46" s="389">
        <f t="shared" si="3"/>
        <v>-1880101.1500915946</v>
      </c>
      <c r="F46" s="389">
        <f t="shared" si="16"/>
        <v>-1880101.1500915948</v>
      </c>
      <c r="G46" s="389">
        <f t="shared" si="15"/>
        <v>-40002.152129608396</v>
      </c>
      <c r="H46" s="389">
        <f t="shared" si="6"/>
        <v>960051.65111060184</v>
      </c>
      <c r="I46" s="389">
        <f>(H34+H46+SUM(H35:H45)*2)/24</f>
        <v>720038.73833295109</v>
      </c>
      <c r="J46" s="389">
        <f>F46+I46</f>
        <v>-1160062.4117586436</v>
      </c>
      <c r="K46" s="389">
        <f>(-D46*0.35)+(G46*0.35)</f>
        <v>-14000.753245362937</v>
      </c>
      <c r="L46" s="389">
        <f>L45+K46</f>
        <v>322017.3246433477</v>
      </c>
      <c r="M46" s="389">
        <f t="shared" si="18"/>
        <v>406021.84411552543</v>
      </c>
      <c r="N46" s="397">
        <f t="shared" si="19"/>
        <v>-754040.56764311809</v>
      </c>
      <c r="O46" s="399">
        <f t="shared" si="5"/>
        <v>-598032.17433764506</v>
      </c>
    </row>
    <row r="47" spans="1:17" ht="12.75" hidden="1" outlineLevel="1">
      <c r="A47" s="361"/>
      <c r="B47" s="386">
        <v>42735</v>
      </c>
      <c r="C47" s="398"/>
      <c r="D47" s="391"/>
      <c r="E47" s="389">
        <f t="shared" si="3"/>
        <v>-1880101.1500915946</v>
      </c>
      <c r="F47" s="389">
        <f t="shared" ref="F47:F74" si="20">(E35+E47+SUM(E36:E46)*2)/24</f>
        <v>-1880101.1500915948</v>
      </c>
      <c r="G47" s="389">
        <f t="shared" si="15"/>
        <v>-40002.152129608396</v>
      </c>
      <c r="H47" s="389">
        <f t="shared" si="6"/>
        <v>1000053.8032402103</v>
      </c>
      <c r="I47" s="389">
        <f t="shared" ref="I47:I79" si="21">(H35+H47+SUM(H36:H46)*2)/24</f>
        <v>760040.89046255965</v>
      </c>
      <c r="J47" s="389">
        <f t="shared" ref="J47:J68" si="22">F47+I47</f>
        <v>-1120060.2596290351</v>
      </c>
      <c r="K47" s="389">
        <f t="shared" ref="K47:K59" si="23">(-D47*0.35)+(G47*0.35)</f>
        <v>-14000.753245362937</v>
      </c>
      <c r="L47" s="389">
        <f t="shared" ref="L47:L68" si="24">L46+K47</f>
        <v>308016.57139798475</v>
      </c>
      <c r="M47" s="389">
        <f t="shared" ref="M47:M79" si="25">(L35+L47+SUM(L36:L46)*2)/24</f>
        <v>392021.09087016241</v>
      </c>
      <c r="N47" s="397">
        <f t="shared" si="19"/>
        <v>-728039.16875887266</v>
      </c>
      <c r="O47" s="399">
        <f t="shared" si="5"/>
        <v>-572030.77545339952</v>
      </c>
    </row>
    <row r="48" spans="1:17" ht="12.75" hidden="1" outlineLevel="1">
      <c r="A48" s="360"/>
      <c r="B48" s="386">
        <v>42766</v>
      </c>
      <c r="C48" s="385"/>
      <c r="D48" s="392"/>
      <c r="E48" s="389">
        <f t="shared" si="3"/>
        <v>-1880101.1500915946</v>
      </c>
      <c r="F48" s="389">
        <f t="shared" si="20"/>
        <v>-1880101.1500915948</v>
      </c>
      <c r="G48" s="389">
        <f t="shared" si="15"/>
        <v>-40002.152129608396</v>
      </c>
      <c r="H48" s="389">
        <f t="shared" si="6"/>
        <v>1040055.9553698187</v>
      </c>
      <c r="I48" s="389">
        <f t="shared" si="21"/>
        <v>800043.04259216797</v>
      </c>
      <c r="J48" s="389">
        <f t="shared" si="22"/>
        <v>-1080058.1074994267</v>
      </c>
      <c r="K48" s="389">
        <f t="shared" si="23"/>
        <v>-14000.753245362937</v>
      </c>
      <c r="L48" s="389">
        <f t="shared" si="24"/>
        <v>294015.8181526218</v>
      </c>
      <c r="M48" s="389">
        <f t="shared" si="25"/>
        <v>378020.33762479952</v>
      </c>
      <c r="N48" s="397">
        <f t="shared" si="19"/>
        <v>-702037.76987462724</v>
      </c>
      <c r="O48" s="399">
        <f t="shared" si="5"/>
        <v>-546029.37656915397</v>
      </c>
    </row>
    <row r="49" spans="1:15" ht="12.75" hidden="1" outlineLevel="1">
      <c r="A49" s="360"/>
      <c r="B49" s="386">
        <v>42794</v>
      </c>
      <c r="C49" s="385"/>
      <c r="D49" s="392"/>
      <c r="E49" s="389">
        <f t="shared" si="3"/>
        <v>-1880101.1500915946</v>
      </c>
      <c r="F49" s="389">
        <f t="shared" si="20"/>
        <v>-1880101.1500915948</v>
      </c>
      <c r="G49" s="389">
        <f t="shared" si="15"/>
        <v>-40002.152129608396</v>
      </c>
      <c r="H49" s="389">
        <f t="shared" si="6"/>
        <v>1080058.1074994272</v>
      </c>
      <c r="I49" s="389">
        <f t="shared" si="21"/>
        <v>840045.19472177653</v>
      </c>
      <c r="J49" s="389">
        <f t="shared" si="22"/>
        <v>-1040055.9553698183</v>
      </c>
      <c r="K49" s="389">
        <f t="shared" si="23"/>
        <v>-14000.753245362937</v>
      </c>
      <c r="L49" s="389">
        <f t="shared" si="24"/>
        <v>280015.06490725884</v>
      </c>
      <c r="M49" s="389">
        <f t="shared" si="25"/>
        <v>364019.58437943662</v>
      </c>
      <c r="N49" s="397">
        <f t="shared" si="19"/>
        <v>-676036.37099038158</v>
      </c>
      <c r="O49" s="399">
        <f t="shared" si="5"/>
        <v>-520027.97768490855</v>
      </c>
    </row>
    <row r="50" spans="1:15" ht="12.75" hidden="1" outlineLevel="1">
      <c r="A50" s="360"/>
      <c r="B50" s="386">
        <v>42825</v>
      </c>
      <c r="C50" s="385"/>
      <c r="D50" s="392"/>
      <c r="E50" s="389">
        <f t="shared" si="3"/>
        <v>-1880101.1500915946</v>
      </c>
      <c r="F50" s="389">
        <f t="shared" si="20"/>
        <v>-1880101.1500915948</v>
      </c>
      <c r="G50" s="389">
        <f t="shared" si="15"/>
        <v>-40002.152129608396</v>
      </c>
      <c r="H50" s="389">
        <f t="shared" si="6"/>
        <v>1120060.2596290356</v>
      </c>
      <c r="I50" s="389">
        <f t="shared" si="21"/>
        <v>880047.34685138473</v>
      </c>
      <c r="J50" s="389">
        <f t="shared" si="22"/>
        <v>-1000053.8032402101</v>
      </c>
      <c r="K50" s="389">
        <f t="shared" si="23"/>
        <v>-14000.753245362937</v>
      </c>
      <c r="L50" s="389">
        <f t="shared" si="24"/>
        <v>266014.31166189589</v>
      </c>
      <c r="M50" s="389">
        <f t="shared" si="25"/>
        <v>350018.83113407361</v>
      </c>
      <c r="N50" s="397">
        <f t="shared" si="19"/>
        <v>-650034.97210613638</v>
      </c>
      <c r="O50" s="399">
        <f t="shared" si="5"/>
        <v>-494026.57880066306</v>
      </c>
    </row>
    <row r="51" spans="1:15" ht="12.75" hidden="1" outlineLevel="1">
      <c r="A51" s="360"/>
      <c r="B51" s="385">
        <v>42855</v>
      </c>
      <c r="C51" s="385"/>
      <c r="D51" s="392"/>
      <c r="E51" s="389">
        <f t="shared" si="3"/>
        <v>-1880101.1500915946</v>
      </c>
      <c r="F51" s="389">
        <f t="shared" si="20"/>
        <v>-1880101.1500915948</v>
      </c>
      <c r="G51" s="389">
        <f t="shared" si="15"/>
        <v>-40002.152129608396</v>
      </c>
      <c r="H51" s="389">
        <f t="shared" si="6"/>
        <v>1160062.411758644</v>
      </c>
      <c r="I51" s="389">
        <f t="shared" si="21"/>
        <v>920049.4989809934</v>
      </c>
      <c r="J51" s="389">
        <f t="shared" si="22"/>
        <v>-960051.65111060138</v>
      </c>
      <c r="K51" s="389">
        <f t="shared" si="23"/>
        <v>-14000.753245362937</v>
      </c>
      <c r="L51" s="389">
        <f t="shared" si="24"/>
        <v>252013.55841653296</v>
      </c>
      <c r="M51" s="389">
        <f t="shared" si="25"/>
        <v>336018.07788871066</v>
      </c>
      <c r="N51" s="397">
        <f t="shared" si="19"/>
        <v>-624033.57322189072</v>
      </c>
      <c r="O51" s="399">
        <f t="shared" si="5"/>
        <v>-468025.17991641758</v>
      </c>
    </row>
    <row r="52" spans="1:15" ht="12.75" hidden="1" outlineLevel="1">
      <c r="A52" s="360"/>
      <c r="B52" s="385">
        <v>42886</v>
      </c>
      <c r="C52" s="385"/>
      <c r="D52" s="392"/>
      <c r="E52" s="389">
        <f t="shared" si="3"/>
        <v>-1880101.1500915946</v>
      </c>
      <c r="F52" s="389">
        <f t="shared" si="20"/>
        <v>-1880101.1500915948</v>
      </c>
      <c r="G52" s="389">
        <f t="shared" si="15"/>
        <v>-40002.152129608396</v>
      </c>
      <c r="H52" s="389">
        <f t="shared" si="6"/>
        <v>1200064.5638882525</v>
      </c>
      <c r="I52" s="389">
        <f t="shared" si="21"/>
        <v>960051.65111060208</v>
      </c>
      <c r="J52" s="389">
        <f t="shared" si="22"/>
        <v>-920049.49898099271</v>
      </c>
      <c r="K52" s="389">
        <f t="shared" si="23"/>
        <v>-14000.753245362937</v>
      </c>
      <c r="L52" s="389">
        <f t="shared" si="24"/>
        <v>238012.80517117004</v>
      </c>
      <c r="M52" s="389">
        <f t="shared" si="25"/>
        <v>322017.3246433477</v>
      </c>
      <c r="N52" s="397">
        <f t="shared" si="19"/>
        <v>-598032.17433764506</v>
      </c>
      <c r="O52" s="399">
        <f t="shared" si="5"/>
        <v>-442023.78103217203</v>
      </c>
    </row>
    <row r="53" spans="1:15" ht="12.75" hidden="1" outlineLevel="1">
      <c r="A53" s="360"/>
      <c r="B53" s="395">
        <v>42916</v>
      </c>
      <c r="C53" s="385"/>
      <c r="D53" s="392"/>
      <c r="E53" s="389">
        <f t="shared" si="3"/>
        <v>-1880101.1500915946</v>
      </c>
      <c r="F53" s="389">
        <f t="shared" si="20"/>
        <v>-1880101.1500915948</v>
      </c>
      <c r="G53" s="389">
        <f t="shared" si="15"/>
        <v>-40002.152129608396</v>
      </c>
      <c r="H53" s="389">
        <f t="shared" si="6"/>
        <v>1240066.7160178609</v>
      </c>
      <c r="I53" s="389">
        <f t="shared" si="21"/>
        <v>1000053.8032402103</v>
      </c>
      <c r="J53" s="389">
        <f t="shared" si="22"/>
        <v>-880047.3468513845</v>
      </c>
      <c r="K53" s="389">
        <f t="shared" si="23"/>
        <v>-14000.753245362937</v>
      </c>
      <c r="L53" s="389">
        <f t="shared" si="24"/>
        <v>224012.05192580711</v>
      </c>
      <c r="M53" s="389">
        <f t="shared" si="25"/>
        <v>308016.57139798475</v>
      </c>
      <c r="N53" s="397">
        <f t="shared" si="19"/>
        <v>-572030.77545339975</v>
      </c>
      <c r="O53" s="399">
        <f t="shared" si="5"/>
        <v>-416022.38214792649</v>
      </c>
    </row>
    <row r="54" spans="1:15" ht="12.75" hidden="1" outlineLevel="1">
      <c r="A54" s="360"/>
      <c r="B54" s="386">
        <v>42947</v>
      </c>
      <c r="C54" s="385"/>
      <c r="D54" s="392"/>
      <c r="E54" s="389">
        <f t="shared" si="3"/>
        <v>-1880101.1500915946</v>
      </c>
      <c r="F54" s="389">
        <f t="shared" si="20"/>
        <v>-1880101.1500915948</v>
      </c>
      <c r="G54" s="389">
        <f t="shared" si="15"/>
        <v>-40002.152129608396</v>
      </c>
      <c r="H54" s="389">
        <f t="shared" si="6"/>
        <v>1280068.8681474694</v>
      </c>
      <c r="I54" s="389">
        <f t="shared" si="21"/>
        <v>1040055.9553698186</v>
      </c>
      <c r="J54" s="389">
        <f t="shared" si="22"/>
        <v>-840045.19472177618</v>
      </c>
      <c r="K54" s="389">
        <f t="shared" si="23"/>
        <v>-14000.753245362937</v>
      </c>
      <c r="L54" s="389">
        <f t="shared" si="24"/>
        <v>210011.29868044419</v>
      </c>
      <c r="M54" s="389">
        <f t="shared" si="25"/>
        <v>294015.8181526218</v>
      </c>
      <c r="N54" s="397">
        <f t="shared" si="19"/>
        <v>-546029.37656915444</v>
      </c>
      <c r="O54" s="399">
        <f t="shared" si="5"/>
        <v>-390020.983263681</v>
      </c>
    </row>
    <row r="55" spans="1:15" ht="12.75" hidden="1" outlineLevel="1">
      <c r="A55" s="360"/>
      <c r="B55" s="386">
        <v>42978</v>
      </c>
      <c r="C55" s="385"/>
      <c r="D55" s="392"/>
      <c r="E55" s="389">
        <f t="shared" si="3"/>
        <v>-1880101.1500915946</v>
      </c>
      <c r="F55" s="389">
        <f t="shared" si="20"/>
        <v>-1880101.1500915948</v>
      </c>
      <c r="G55" s="389">
        <f t="shared" si="15"/>
        <v>-40002.152129608396</v>
      </c>
      <c r="H55" s="389">
        <f t="shared" si="6"/>
        <v>1320071.0202770778</v>
      </c>
      <c r="I55" s="389">
        <f t="shared" si="21"/>
        <v>1080058.1074994272</v>
      </c>
      <c r="J55" s="389">
        <f t="shared" si="22"/>
        <v>-800043.04259216762</v>
      </c>
      <c r="K55" s="389">
        <f t="shared" si="23"/>
        <v>-14000.753245362937</v>
      </c>
      <c r="L55" s="389">
        <f t="shared" si="24"/>
        <v>196010.54543508127</v>
      </c>
      <c r="M55" s="389">
        <f t="shared" si="25"/>
        <v>280015.0649072589</v>
      </c>
      <c r="N55" s="397">
        <f t="shared" si="19"/>
        <v>-520027.97768490872</v>
      </c>
      <c r="O55" s="399">
        <f t="shared" si="5"/>
        <v>-364019.58437943552</v>
      </c>
    </row>
    <row r="56" spans="1:15" ht="12.75" hidden="1" outlineLevel="1">
      <c r="A56" s="360"/>
      <c r="B56" s="386">
        <v>43008</v>
      </c>
      <c r="C56" s="385"/>
      <c r="D56" s="392"/>
      <c r="E56" s="389">
        <f t="shared" si="3"/>
        <v>-1880101.1500915946</v>
      </c>
      <c r="F56" s="389">
        <f t="shared" si="20"/>
        <v>-1880101.1500915948</v>
      </c>
      <c r="G56" s="389">
        <f t="shared" si="15"/>
        <v>-40002.152129608396</v>
      </c>
      <c r="H56" s="389">
        <f t="shared" si="6"/>
        <v>1360073.1724066862</v>
      </c>
      <c r="I56" s="389">
        <f t="shared" si="21"/>
        <v>1120060.2596290356</v>
      </c>
      <c r="J56" s="389">
        <f t="shared" si="22"/>
        <v>-760040.89046255918</v>
      </c>
      <c r="K56" s="389">
        <f t="shared" si="23"/>
        <v>-14000.753245362937</v>
      </c>
      <c r="L56" s="389">
        <f t="shared" si="24"/>
        <v>182009.79218971834</v>
      </c>
      <c r="M56" s="389">
        <f t="shared" si="25"/>
        <v>266014.31166189595</v>
      </c>
      <c r="N56" s="397">
        <f t="shared" si="19"/>
        <v>-494026.57880066324</v>
      </c>
      <c r="O56" s="399">
        <f t="shared" si="5"/>
        <v>-338018.18549518997</v>
      </c>
    </row>
    <row r="57" spans="1:15" ht="12.75" hidden="1" outlineLevel="1">
      <c r="A57" s="360"/>
      <c r="B57" s="386">
        <v>43039</v>
      </c>
      <c r="C57" s="385"/>
      <c r="D57" s="392"/>
      <c r="E57" s="389">
        <f t="shared" si="3"/>
        <v>-1880101.1500915946</v>
      </c>
      <c r="F57" s="389">
        <f t="shared" si="20"/>
        <v>-1880101.1500915948</v>
      </c>
      <c r="G57" s="389">
        <f t="shared" si="15"/>
        <v>-40002.152129608396</v>
      </c>
      <c r="H57" s="389">
        <f t="shared" si="6"/>
        <v>1400075.3245362947</v>
      </c>
      <c r="I57" s="389">
        <f t="shared" si="21"/>
        <v>1160062.411758644</v>
      </c>
      <c r="J57" s="389">
        <f t="shared" si="22"/>
        <v>-720038.73833295074</v>
      </c>
      <c r="K57" s="389">
        <f t="shared" si="23"/>
        <v>-14000.753245362937</v>
      </c>
      <c r="L57" s="389">
        <f t="shared" si="24"/>
        <v>168009.03894435542</v>
      </c>
      <c r="M57" s="389">
        <f t="shared" si="25"/>
        <v>252013.55841653296</v>
      </c>
      <c r="N57" s="397">
        <f t="shared" si="19"/>
        <v>-468025.17991641781</v>
      </c>
      <c r="O57" s="399">
        <f t="shared" si="5"/>
        <v>-312016.78661094443</v>
      </c>
    </row>
    <row r="58" spans="1:15" ht="12.75" hidden="1" outlineLevel="1">
      <c r="A58" s="360"/>
      <c r="B58" s="386">
        <v>43069</v>
      </c>
      <c r="C58" s="385"/>
      <c r="D58" s="392"/>
      <c r="E58" s="389">
        <f t="shared" si="3"/>
        <v>-1880101.1500915946</v>
      </c>
      <c r="F58" s="389">
        <f t="shared" si="20"/>
        <v>-1880101.1500915948</v>
      </c>
      <c r="G58" s="389">
        <f t="shared" si="15"/>
        <v>-40002.152129608396</v>
      </c>
      <c r="H58" s="389">
        <f t="shared" si="6"/>
        <v>1440077.4766659031</v>
      </c>
      <c r="I58" s="389">
        <f t="shared" si="21"/>
        <v>1200064.5638882525</v>
      </c>
      <c r="J58" s="389">
        <f t="shared" si="22"/>
        <v>-680036.5862033423</v>
      </c>
      <c r="K58" s="389">
        <f>(-D58*0.35)+(G58*0.35)</f>
        <v>-14000.753245362937</v>
      </c>
      <c r="L58" s="389">
        <f t="shared" si="24"/>
        <v>154008.28569899249</v>
      </c>
      <c r="M58" s="389">
        <f t="shared" si="25"/>
        <v>238012.80517117004</v>
      </c>
      <c r="N58" s="397">
        <f t="shared" si="19"/>
        <v>-442023.78103217226</v>
      </c>
      <c r="O58" s="399">
        <f t="shared" si="5"/>
        <v>-286015.38772669894</v>
      </c>
    </row>
    <row r="59" spans="1:15" ht="12.75" hidden="1" outlineLevel="1">
      <c r="A59" s="360"/>
      <c r="B59" s="386">
        <v>43100</v>
      </c>
      <c r="C59" s="385"/>
      <c r="D59" s="392"/>
      <c r="E59" s="389">
        <f t="shared" si="3"/>
        <v>-1880101.1500915946</v>
      </c>
      <c r="F59" s="389">
        <f t="shared" si="20"/>
        <v>-1880101.1500915948</v>
      </c>
      <c r="G59" s="389">
        <f t="shared" si="15"/>
        <v>-40002.152129608396</v>
      </c>
      <c r="H59" s="389">
        <f t="shared" si="6"/>
        <v>1480079.6287955116</v>
      </c>
      <c r="I59" s="389">
        <f t="shared" si="21"/>
        <v>1240066.7160178609</v>
      </c>
      <c r="J59" s="389">
        <f t="shared" si="22"/>
        <v>-640034.43407373386</v>
      </c>
      <c r="K59" s="389">
        <f t="shared" si="23"/>
        <v>-14000.753245362937</v>
      </c>
      <c r="L59" s="389">
        <f t="shared" si="24"/>
        <v>140007.53245362957</v>
      </c>
      <c r="M59" s="389">
        <f t="shared" si="25"/>
        <v>224012.05192580714</v>
      </c>
      <c r="N59" s="397">
        <f t="shared" si="19"/>
        <v>-416022.38214792672</v>
      </c>
      <c r="O59" s="399">
        <f t="shared" si="5"/>
        <v>-260013.98884245343</v>
      </c>
    </row>
    <row r="60" spans="1:15" ht="12.75" collapsed="1">
      <c r="B60" s="386">
        <v>43131</v>
      </c>
      <c r="E60" s="389">
        <f t="shared" si="3"/>
        <v>-1880101.1500915946</v>
      </c>
      <c r="F60" s="389">
        <f t="shared" si="20"/>
        <v>-1880101.1500915948</v>
      </c>
      <c r="G60" s="389">
        <f t="shared" si="15"/>
        <v>-40002.152129608396</v>
      </c>
      <c r="H60" s="389">
        <f t="shared" si="6"/>
        <v>1520081.78092512</v>
      </c>
      <c r="I60" s="389">
        <f t="shared" si="21"/>
        <v>1280068.8681474694</v>
      </c>
      <c r="J60" s="389">
        <f t="shared" si="22"/>
        <v>-600032.28194412543</v>
      </c>
      <c r="K60" s="389">
        <f t="shared" ref="K60:K87" si="26">(-D60*0.21)+(G60*0.21)</f>
        <v>-8400.4519472177635</v>
      </c>
      <c r="L60" s="389">
        <f t="shared" si="24"/>
        <v>131607.08050641179</v>
      </c>
      <c r="M60" s="389">
        <f t="shared" si="25"/>
        <v>210244.64456786693</v>
      </c>
      <c r="N60" s="397">
        <f t="shared" si="19"/>
        <v>-389787.6373762585</v>
      </c>
      <c r="O60" s="399">
        <f t="shared" si="5"/>
        <v>-228412.28866006277</v>
      </c>
    </row>
    <row r="61" spans="1:15" ht="12.75">
      <c r="B61" s="386">
        <v>43159</v>
      </c>
      <c r="E61" s="389">
        <f t="shared" si="3"/>
        <v>-1880101.1500915946</v>
      </c>
      <c r="F61" s="389">
        <f t="shared" si="20"/>
        <v>-1880101.1500915948</v>
      </c>
      <c r="G61" s="389">
        <f t="shared" si="15"/>
        <v>-40002.152129608396</v>
      </c>
      <c r="H61" s="389">
        <f t="shared" si="6"/>
        <v>1560083.9330547284</v>
      </c>
      <c r="I61" s="389">
        <f t="shared" si="21"/>
        <v>1320071.0202770776</v>
      </c>
      <c r="J61" s="389">
        <f t="shared" si="22"/>
        <v>-560030.12981451722</v>
      </c>
      <c r="K61" s="389">
        <f t="shared" si="26"/>
        <v>-8400.4519472177635</v>
      </c>
      <c r="L61" s="389">
        <f t="shared" si="24"/>
        <v>123206.62855919403</v>
      </c>
      <c r="M61" s="389">
        <f t="shared" si="25"/>
        <v>196943.92898477215</v>
      </c>
      <c r="N61" s="397">
        <f t="shared" si="19"/>
        <v>-363086.20082974504</v>
      </c>
      <c r="O61" s="399">
        <f t="shared" si="5"/>
        <v>-196810.58847767208</v>
      </c>
    </row>
    <row r="62" spans="1:15" ht="12.75">
      <c r="B62" s="386">
        <v>43190</v>
      </c>
      <c r="E62" s="389">
        <f t="shared" si="3"/>
        <v>-1880101.1500915946</v>
      </c>
      <c r="F62" s="389">
        <f t="shared" si="20"/>
        <v>-1880101.1500915948</v>
      </c>
      <c r="G62" s="389">
        <f t="shared" si="15"/>
        <v>-40002.152129608396</v>
      </c>
      <c r="H62" s="389">
        <f t="shared" si="6"/>
        <v>1600086.0851843369</v>
      </c>
      <c r="I62" s="389">
        <f t="shared" si="21"/>
        <v>1360073.1724066862</v>
      </c>
      <c r="J62" s="389">
        <f t="shared" si="22"/>
        <v>-520027.97768490855</v>
      </c>
      <c r="K62" s="389">
        <f t="shared" si="26"/>
        <v>-8400.4519472177635</v>
      </c>
      <c r="L62" s="389">
        <f t="shared" si="24"/>
        <v>114806.17661197626</v>
      </c>
      <c r="M62" s="389">
        <f t="shared" si="25"/>
        <v>184109.90517652279</v>
      </c>
      <c r="N62" s="397">
        <f t="shared" si="19"/>
        <v>-335918.07250838575</v>
      </c>
      <c r="O62" s="399">
        <f t="shared" si="5"/>
        <v>-165208.88829528142</v>
      </c>
    </row>
    <row r="63" spans="1:15" ht="12.75">
      <c r="B63" s="385">
        <v>43220</v>
      </c>
      <c r="E63" s="389">
        <f t="shared" si="3"/>
        <v>-1880101.1500915946</v>
      </c>
      <c r="F63" s="389">
        <f t="shared" si="20"/>
        <v>-1880101.1500915948</v>
      </c>
      <c r="G63" s="389">
        <f t="shared" si="15"/>
        <v>-40002.152129608396</v>
      </c>
      <c r="H63" s="389">
        <f t="shared" si="6"/>
        <v>1640088.2373139453</v>
      </c>
      <c r="I63" s="389">
        <f t="shared" si="21"/>
        <v>1400075.3245362947</v>
      </c>
      <c r="J63" s="389">
        <f t="shared" si="22"/>
        <v>-480025.82555530011</v>
      </c>
      <c r="K63" s="389">
        <f t="shared" si="26"/>
        <v>-8400.4519472177635</v>
      </c>
      <c r="L63" s="389">
        <f t="shared" si="24"/>
        <v>106405.7246647585</v>
      </c>
      <c r="M63" s="389">
        <f t="shared" si="25"/>
        <v>171742.57314311885</v>
      </c>
      <c r="N63" s="397">
        <f t="shared" si="19"/>
        <v>-308283.25241218123</v>
      </c>
      <c r="O63" s="399">
        <f t="shared" si="5"/>
        <v>-133607.18811289076</v>
      </c>
    </row>
    <row r="64" spans="1:15" ht="12.75">
      <c r="B64" s="385">
        <v>43251</v>
      </c>
      <c r="E64" s="389">
        <f t="shared" si="3"/>
        <v>-1880101.1500915946</v>
      </c>
      <c r="F64" s="389">
        <f t="shared" si="20"/>
        <v>-1880101.1500915948</v>
      </c>
      <c r="G64" s="389">
        <f t="shared" si="15"/>
        <v>-40002.152129608396</v>
      </c>
      <c r="H64" s="389">
        <f t="shared" si="6"/>
        <v>1680090.3894435538</v>
      </c>
      <c r="I64" s="389">
        <f t="shared" si="21"/>
        <v>1440077.4766659031</v>
      </c>
      <c r="J64" s="389">
        <f t="shared" si="22"/>
        <v>-440023.67342569167</v>
      </c>
      <c r="K64" s="389">
        <f t="shared" si="26"/>
        <v>-8400.4519472177635</v>
      </c>
      <c r="L64" s="389">
        <f t="shared" si="24"/>
        <v>98005.272717540734</v>
      </c>
      <c r="M64" s="389">
        <f t="shared" si="25"/>
        <v>159841.93288456037</v>
      </c>
      <c r="N64" s="397">
        <f t="shared" si="19"/>
        <v>-280181.74054113129</v>
      </c>
      <c r="O64" s="399">
        <f t="shared" si="5"/>
        <v>-102005.48793050006</v>
      </c>
    </row>
    <row r="65" spans="2:16" s="563" customFormat="1" ht="12.75">
      <c r="B65" s="495">
        <v>43281</v>
      </c>
      <c r="E65" s="630">
        <f t="shared" si="3"/>
        <v>-1880101.1500915946</v>
      </c>
      <c r="F65" s="630">
        <f t="shared" si="20"/>
        <v>-1880101.1500915948</v>
      </c>
      <c r="G65" s="630">
        <f t="shared" si="15"/>
        <v>-40002.152129608396</v>
      </c>
      <c r="H65" s="630">
        <f t="shared" si="6"/>
        <v>1720092.5415731622</v>
      </c>
      <c r="I65" s="630">
        <f t="shared" si="21"/>
        <v>1480079.6287955113</v>
      </c>
      <c r="J65" s="630">
        <f t="shared" si="22"/>
        <v>-400021.52129608346</v>
      </c>
      <c r="K65" s="630">
        <f t="shared" si="26"/>
        <v>-8400.4519472177635</v>
      </c>
      <c r="L65" s="630">
        <f t="shared" si="24"/>
        <v>89604.820770322971</v>
      </c>
      <c r="M65" s="630">
        <f t="shared" si="25"/>
        <v>148407.98440084732</v>
      </c>
      <c r="N65" s="630">
        <f t="shared" si="19"/>
        <v>-251613.53689523615</v>
      </c>
      <c r="O65" s="561">
        <f t="shared" si="5"/>
        <v>-70403.787748109389</v>
      </c>
    </row>
    <row r="66" spans="2:16" s="563" customFormat="1" ht="12.75">
      <c r="B66" s="398">
        <v>43312</v>
      </c>
      <c r="E66" s="630">
        <f t="shared" si="3"/>
        <v>-1880101.1500915946</v>
      </c>
      <c r="F66" s="630">
        <f t="shared" si="20"/>
        <v>-1880101.1500915948</v>
      </c>
      <c r="G66" s="630">
        <f t="shared" si="15"/>
        <v>-40002.152129608396</v>
      </c>
      <c r="H66" s="630">
        <f t="shared" si="6"/>
        <v>1760094.6937027706</v>
      </c>
      <c r="I66" s="630">
        <f t="shared" si="21"/>
        <v>1520081.78092512</v>
      </c>
      <c r="J66" s="630">
        <f t="shared" si="22"/>
        <v>-360019.36916647479</v>
      </c>
      <c r="K66" s="630">
        <f t="shared" si="26"/>
        <v>-8400.4519472177635</v>
      </c>
      <c r="L66" s="630">
        <f t="shared" si="24"/>
        <v>81204.368823105207</v>
      </c>
      <c r="M66" s="630">
        <f t="shared" si="25"/>
        <v>137440.72769197964</v>
      </c>
      <c r="N66" s="630">
        <f t="shared" si="19"/>
        <v>-222578.64147449515</v>
      </c>
      <c r="O66" s="561">
        <f t="shared" si="5"/>
        <v>-38802.087565718713</v>
      </c>
    </row>
    <row r="67" spans="2:16" s="563" customFormat="1" ht="12.75">
      <c r="B67" s="398">
        <v>43343</v>
      </c>
      <c r="E67" s="630">
        <f t="shared" si="3"/>
        <v>-1880101.1500915946</v>
      </c>
      <c r="F67" s="630">
        <f t="shared" si="20"/>
        <v>-1880101.1500915948</v>
      </c>
      <c r="G67" s="630">
        <f t="shared" si="15"/>
        <v>-40002.152129608396</v>
      </c>
      <c r="H67" s="630">
        <f t="shared" si="6"/>
        <v>1800096.8458323791</v>
      </c>
      <c r="I67" s="630">
        <f t="shared" si="21"/>
        <v>1560083.9330547284</v>
      </c>
      <c r="J67" s="630">
        <f t="shared" si="22"/>
        <v>-320017.21703686635</v>
      </c>
      <c r="K67" s="630">
        <f t="shared" si="26"/>
        <v>-8400.4519472177635</v>
      </c>
      <c r="L67" s="630">
        <f t="shared" si="24"/>
        <v>72803.916875887444</v>
      </c>
      <c r="M67" s="630">
        <f t="shared" si="25"/>
        <v>126940.16275795747</v>
      </c>
      <c r="N67" s="630">
        <f t="shared" si="19"/>
        <v>-193077.05427890888</v>
      </c>
      <c r="O67" s="561">
        <f t="shared" si="5"/>
        <v>-7200.3873833280377</v>
      </c>
    </row>
    <row r="68" spans="2:16" s="563" customFormat="1" ht="12.75">
      <c r="B68" s="398">
        <v>43373</v>
      </c>
      <c r="E68" s="630">
        <f t="shared" si="3"/>
        <v>-1880101.1500915946</v>
      </c>
      <c r="F68" s="630">
        <f t="shared" si="20"/>
        <v>-1880101.1500915948</v>
      </c>
      <c r="G68" s="630">
        <f t="shared" si="15"/>
        <v>-40002.152129608396</v>
      </c>
      <c r="H68" s="630">
        <f t="shared" si="6"/>
        <v>1840098.9979619875</v>
      </c>
      <c r="I68" s="630">
        <f t="shared" si="21"/>
        <v>1600086.0851843366</v>
      </c>
      <c r="J68" s="630">
        <f t="shared" si="22"/>
        <v>-280015.06490725814</v>
      </c>
      <c r="K68" s="630">
        <f t="shared" si="26"/>
        <v>-8400.4519472177635</v>
      </c>
      <c r="L68" s="630">
        <f t="shared" si="24"/>
        <v>64403.46492866968</v>
      </c>
      <c r="M68" s="630">
        <f t="shared" si="25"/>
        <v>116906.2895987807</v>
      </c>
      <c r="N68" s="630">
        <f t="shared" si="19"/>
        <v>-163108.77530847746</v>
      </c>
      <c r="O68" s="561">
        <f t="shared" si="5"/>
        <v>24401.312799062638</v>
      </c>
    </row>
    <row r="69" spans="2:16" s="563" customFormat="1" ht="12.75">
      <c r="B69" s="398">
        <v>43404</v>
      </c>
      <c r="E69" s="630">
        <f t="shared" si="3"/>
        <v>-1880101.1500915946</v>
      </c>
      <c r="F69" s="630">
        <f t="shared" si="20"/>
        <v>-1880101.1500915948</v>
      </c>
      <c r="G69" s="630">
        <f>-1880101+1840099</f>
        <v>-40002</v>
      </c>
      <c r="H69" s="630">
        <f t="shared" si="6"/>
        <v>1880100.9979619875</v>
      </c>
      <c r="I69" s="630">
        <f t="shared" si="21"/>
        <v>1640088.2309752116</v>
      </c>
      <c r="J69" s="630">
        <f>F69+I69</f>
        <v>-240012.91911638319</v>
      </c>
      <c r="K69" s="630">
        <v>-8399</v>
      </c>
      <c r="L69" s="630">
        <f>L68+K69</f>
        <v>56004.46492866968</v>
      </c>
      <c r="M69" s="630">
        <f>(L57+L69+SUM(L58:L68)*2)/24</f>
        <v>107339.16871225009</v>
      </c>
      <c r="N69" s="630">
        <f t="shared" si="19"/>
        <v>-132673.75040413311</v>
      </c>
      <c r="O69" s="561">
        <f>E69+H69+L69</f>
        <v>56004.312799062638</v>
      </c>
      <c r="P69" s="910"/>
    </row>
    <row r="70" spans="2:16" s="563" customFormat="1" ht="12.75">
      <c r="B70" s="398">
        <v>43434</v>
      </c>
      <c r="E70" s="630">
        <f t="shared" si="3"/>
        <v>-1880101.1500915946</v>
      </c>
      <c r="F70" s="630">
        <f t="shared" si="20"/>
        <v>-1880101.1500915948</v>
      </c>
      <c r="G70" s="561"/>
      <c r="H70" s="630">
        <f t="shared" si="6"/>
        <v>1880100.9979619875</v>
      </c>
      <c r="I70" s="630">
        <f>(H58+H70+SUM(H59:H69)*2)/24</f>
        <v>1678423.6140886189</v>
      </c>
      <c r="J70" s="630">
        <f t="shared" ref="J70:J79" si="27">F70+I70</f>
        <v>-201677.53600297589</v>
      </c>
      <c r="K70" s="630">
        <f t="shared" si="26"/>
        <v>0</v>
      </c>
      <c r="L70" s="630">
        <f t="shared" ref="L70:L87" si="28">L69+K70</f>
        <v>56004.46492866968</v>
      </c>
      <c r="M70" s="630">
        <f>(L58+L70+SUM(L59:L69)*2)/24</f>
        <v>98588.818929499728</v>
      </c>
      <c r="N70" s="630">
        <f t="shared" si="19"/>
        <v>-103088.71707347616</v>
      </c>
      <c r="O70" s="561">
        <f t="shared" ref="O70:O87" si="29">E70+H70+L70</f>
        <v>56004.312799062638</v>
      </c>
    </row>
    <row r="71" spans="2:16" s="563" customFormat="1" ht="12.75">
      <c r="B71" s="398">
        <v>43465</v>
      </c>
      <c r="E71" s="630">
        <f t="shared" si="3"/>
        <v>-1880101.1500915946</v>
      </c>
      <c r="F71" s="630">
        <f t="shared" si="20"/>
        <v>-1880101.1500915948</v>
      </c>
      <c r="G71" s="561"/>
      <c r="H71" s="630">
        <f t="shared" si="6"/>
        <v>1880100.9979619875</v>
      </c>
      <c r="I71" s="630">
        <f>(H59+H71+SUM(H60:H70)*2)/24</f>
        <v>1713425.4845245585</v>
      </c>
      <c r="J71" s="630">
        <f t="shared" si="27"/>
        <v>-166675.66556703625</v>
      </c>
      <c r="K71" s="630">
        <f t="shared" si="26"/>
        <v>0</v>
      </c>
      <c r="L71" s="630">
        <f t="shared" si="28"/>
        <v>56004.46492866968</v>
      </c>
      <c r="M71" s="630">
        <f t="shared" si="25"/>
        <v>91005.198583862963</v>
      </c>
      <c r="N71" s="630">
        <f>M71+J71</f>
        <v>-75670.46698317329</v>
      </c>
      <c r="O71" s="561">
        <f t="shared" si="29"/>
        <v>56004.312799062638</v>
      </c>
    </row>
    <row r="72" spans="2:16" s="563" customFormat="1" ht="12.75">
      <c r="B72" s="398">
        <v>43496</v>
      </c>
      <c r="E72" s="630">
        <f t="shared" si="3"/>
        <v>-1880101.1500915946</v>
      </c>
      <c r="F72" s="630">
        <f t="shared" si="20"/>
        <v>-1880101.1500915948</v>
      </c>
      <c r="G72" s="561"/>
      <c r="H72" s="630">
        <f t="shared" si="6"/>
        <v>1880100.9979619875</v>
      </c>
      <c r="I72" s="630">
        <f t="shared" si="21"/>
        <v>1745093.8422830317</v>
      </c>
      <c r="J72" s="630">
        <f t="shared" si="27"/>
        <v>-135007.30780856311</v>
      </c>
      <c r="K72" s="630">
        <f t="shared" si="26"/>
        <v>0</v>
      </c>
      <c r="L72" s="630">
        <f t="shared" si="28"/>
        <v>56004.46492866968</v>
      </c>
      <c r="M72" s="630">
        <f t="shared" si="25"/>
        <v>84354.96178791704</v>
      </c>
      <c r="N72" s="630">
        <f t="shared" si="19"/>
        <v>-50652.346020646073</v>
      </c>
      <c r="O72" s="561">
        <f t="shared" si="29"/>
        <v>56004.312799062638</v>
      </c>
    </row>
    <row r="73" spans="2:16" s="563" customFormat="1" ht="12.75">
      <c r="B73" s="398">
        <v>43524</v>
      </c>
      <c r="E73" s="630">
        <f t="shared" si="3"/>
        <v>-1880101.1500915946</v>
      </c>
      <c r="F73" s="630">
        <f t="shared" si="20"/>
        <v>-1880101.1500915948</v>
      </c>
      <c r="G73" s="561"/>
      <c r="H73" s="630">
        <f t="shared" si="6"/>
        <v>1880100.9979619875</v>
      </c>
      <c r="I73" s="630">
        <f t="shared" si="21"/>
        <v>1773428.6873640369</v>
      </c>
      <c r="J73" s="630">
        <f t="shared" si="27"/>
        <v>-106672.46272755787</v>
      </c>
      <c r="K73" s="630">
        <f t="shared" si="26"/>
        <v>0</v>
      </c>
      <c r="L73" s="630">
        <f t="shared" si="28"/>
        <v>56004.46492866968</v>
      </c>
      <c r="M73" s="630">
        <f t="shared" si="25"/>
        <v>78404.762654239268</v>
      </c>
      <c r="N73" s="630">
        <f t="shared" si="19"/>
        <v>-28267.7000733186</v>
      </c>
      <c r="O73" s="561">
        <f t="shared" si="29"/>
        <v>56004.312799062638</v>
      </c>
    </row>
    <row r="74" spans="2:16" s="563" customFormat="1" ht="12.75">
      <c r="B74" s="398">
        <v>43555</v>
      </c>
      <c r="E74" s="630">
        <f t="shared" si="3"/>
        <v>-1880101.1500915946</v>
      </c>
      <c r="F74" s="630">
        <f t="shared" si="20"/>
        <v>-1880101.1500915948</v>
      </c>
      <c r="G74" s="561"/>
      <c r="H74" s="630">
        <f t="shared" si="6"/>
        <v>1880100.9979619875</v>
      </c>
      <c r="I74" s="630">
        <f t="shared" si="21"/>
        <v>1798430.0197675747</v>
      </c>
      <c r="J74" s="630">
        <f t="shared" si="27"/>
        <v>-81671.13032402005</v>
      </c>
      <c r="K74" s="630">
        <f t="shared" si="26"/>
        <v>0</v>
      </c>
      <c r="L74" s="630">
        <f t="shared" si="28"/>
        <v>56004.46492866968</v>
      </c>
      <c r="M74" s="630">
        <f t="shared" si="25"/>
        <v>73154.601182829632</v>
      </c>
      <c r="N74" s="630">
        <f t="shared" si="19"/>
        <v>-8516.5291411904182</v>
      </c>
      <c r="O74" s="561">
        <f t="shared" si="29"/>
        <v>56004.312799062638</v>
      </c>
    </row>
    <row r="75" spans="2:16" s="563" customFormat="1" ht="12.75">
      <c r="B75" s="495">
        <v>43585</v>
      </c>
      <c r="E75" s="630">
        <f t="shared" si="3"/>
        <v>-1880101.1500915946</v>
      </c>
      <c r="F75" s="630">
        <f t="shared" ref="F75:F79" si="30">(E63+E75+SUM(E64:E74)*2)/24</f>
        <v>-1880101.1500915948</v>
      </c>
      <c r="G75" s="561"/>
      <c r="H75" s="630">
        <f t="shared" si="6"/>
        <v>1880100.9979619875</v>
      </c>
      <c r="I75" s="630">
        <f t="shared" si="21"/>
        <v>1820097.8394936451</v>
      </c>
      <c r="J75" s="630">
        <f t="shared" si="27"/>
        <v>-60003.310597949661</v>
      </c>
      <c r="K75" s="630">
        <f t="shared" si="26"/>
        <v>0</v>
      </c>
      <c r="L75" s="630">
        <f t="shared" si="28"/>
        <v>56004.46492866968</v>
      </c>
      <c r="M75" s="630">
        <f t="shared" si="25"/>
        <v>68604.477373688176</v>
      </c>
      <c r="N75" s="630">
        <f t="shared" si="19"/>
        <v>8601.1667757385148</v>
      </c>
      <c r="O75" s="561">
        <f t="shared" si="29"/>
        <v>56004.312799062638</v>
      </c>
    </row>
    <row r="76" spans="2:16" s="563" customFormat="1" ht="12.75">
      <c r="B76" s="495">
        <v>43616</v>
      </c>
      <c r="E76" s="630">
        <f t="shared" si="3"/>
        <v>-1880101.1500915946</v>
      </c>
      <c r="F76" s="630">
        <f t="shared" si="30"/>
        <v>-1880101.1500915948</v>
      </c>
      <c r="G76" s="561"/>
      <c r="H76" s="630">
        <f t="shared" si="6"/>
        <v>1880100.9979619875</v>
      </c>
      <c r="I76" s="630">
        <f t="shared" si="21"/>
        <v>1838432.1465422483</v>
      </c>
      <c r="J76" s="630">
        <f t="shared" si="27"/>
        <v>-41669.003549346467</v>
      </c>
      <c r="K76" s="630">
        <f t="shared" si="26"/>
        <v>0</v>
      </c>
      <c r="L76" s="630">
        <f t="shared" si="28"/>
        <v>56004.46492866968</v>
      </c>
      <c r="M76" s="630">
        <f t="shared" si="25"/>
        <v>64754.391226814849</v>
      </c>
      <c r="N76" s="630">
        <f t="shared" si="19"/>
        <v>23085.387677468381</v>
      </c>
      <c r="O76" s="561">
        <f t="shared" si="29"/>
        <v>56004.312799062638</v>
      </c>
    </row>
    <row r="77" spans="2:16" s="563" customFormat="1" ht="12.75">
      <c r="B77" s="495">
        <v>43646</v>
      </c>
      <c r="E77" s="630">
        <f t="shared" si="3"/>
        <v>-1880101.1500915946</v>
      </c>
      <c r="F77" s="630">
        <f t="shared" si="30"/>
        <v>-1880101.1500915948</v>
      </c>
      <c r="G77" s="561"/>
      <c r="H77" s="630">
        <f t="shared" si="6"/>
        <v>1880100.9979619875</v>
      </c>
      <c r="I77" s="630">
        <f t="shared" si="21"/>
        <v>1853432.9409133841</v>
      </c>
      <c r="J77" s="630">
        <f t="shared" si="27"/>
        <v>-26668.209178210702</v>
      </c>
      <c r="K77" s="630">
        <f t="shared" si="26"/>
        <v>0</v>
      </c>
      <c r="L77" s="630">
        <f t="shared" si="28"/>
        <v>56004.46492866968</v>
      </c>
      <c r="M77" s="630">
        <f t="shared" si="25"/>
        <v>61604.342742209672</v>
      </c>
      <c r="N77" s="630">
        <f t="shared" si="19"/>
        <v>34936.13356399897</v>
      </c>
      <c r="O77" s="561">
        <f t="shared" si="29"/>
        <v>56004.312799062638</v>
      </c>
    </row>
    <row r="78" spans="2:16" s="563" customFormat="1" ht="12.75">
      <c r="B78" s="398">
        <v>43677</v>
      </c>
      <c r="E78" s="630">
        <f t="shared" si="3"/>
        <v>-1880101.1500915946</v>
      </c>
      <c r="F78" s="630">
        <f t="shared" si="30"/>
        <v>-1880101.1500915948</v>
      </c>
      <c r="G78" s="561"/>
      <c r="H78" s="630">
        <f t="shared" si="6"/>
        <v>1880100.9979619875</v>
      </c>
      <c r="I78" s="630">
        <f t="shared" si="21"/>
        <v>1865100.2226070522</v>
      </c>
      <c r="J78" s="630">
        <f t="shared" si="27"/>
        <v>-15000.927484542597</v>
      </c>
      <c r="K78" s="630">
        <f t="shared" si="26"/>
        <v>0</v>
      </c>
      <c r="L78" s="630">
        <f t="shared" si="28"/>
        <v>56004.46492866968</v>
      </c>
      <c r="M78" s="630">
        <f t="shared" si="25"/>
        <v>59154.331919872631</v>
      </c>
      <c r="N78" s="630">
        <f t="shared" si="19"/>
        <v>44153.404435330034</v>
      </c>
      <c r="O78" s="561">
        <f t="shared" si="29"/>
        <v>56004.312799062638</v>
      </c>
    </row>
    <row r="79" spans="2:16" s="563" customFormat="1" ht="12.75">
      <c r="B79" s="398">
        <v>43708</v>
      </c>
      <c r="E79" s="630">
        <f t="shared" si="3"/>
        <v>-1880101.1500915946</v>
      </c>
      <c r="F79" s="630">
        <f t="shared" si="30"/>
        <v>-1880101.1500915948</v>
      </c>
      <c r="G79" s="561"/>
      <c r="H79" s="630">
        <f t="shared" si="6"/>
        <v>1880100.9979619875</v>
      </c>
      <c r="I79" s="630">
        <f t="shared" si="21"/>
        <v>1873433.9916232536</v>
      </c>
      <c r="J79" s="630">
        <f t="shared" si="27"/>
        <v>-6667.158468341222</v>
      </c>
      <c r="K79" s="630">
        <f t="shared" si="26"/>
        <v>0</v>
      </c>
      <c r="L79" s="630">
        <f t="shared" si="28"/>
        <v>56004.46492866968</v>
      </c>
      <c r="M79" s="630">
        <f t="shared" si="25"/>
        <v>57404.358759803756</v>
      </c>
      <c r="N79" s="630">
        <f t="shared" si="19"/>
        <v>50737.200291462534</v>
      </c>
      <c r="O79" s="561">
        <f t="shared" si="29"/>
        <v>56004.312799062638</v>
      </c>
    </row>
    <row r="80" spans="2:16" s="563" customFormat="1" ht="12.75">
      <c r="B80" s="495">
        <v>43738</v>
      </c>
      <c r="E80" s="630">
        <f t="shared" ref="E80:E87" si="31">E79+D80</f>
        <v>-1880101.1500915946</v>
      </c>
      <c r="F80" s="630">
        <f t="shared" ref="F80:F87" si="32">(E68+E80+SUM(E69:E79)*2)/24</f>
        <v>-1880101.1500915948</v>
      </c>
      <c r="G80" s="561"/>
      <c r="H80" s="630">
        <f t="shared" ref="H80:H87" si="33">H79-G80</f>
        <v>1880100.9979619875</v>
      </c>
      <c r="I80" s="630">
        <f t="shared" ref="I80:I87" si="34">(H68+H80+SUM(H69:H79)*2)/24</f>
        <v>1878434.247961987</v>
      </c>
      <c r="J80" s="630">
        <f t="shared" ref="J80:J87" si="35">F80+I80</f>
        <v>-1666.9021296077408</v>
      </c>
      <c r="K80" s="630">
        <f t="shared" si="26"/>
        <v>0</v>
      </c>
      <c r="L80" s="630">
        <f t="shared" si="28"/>
        <v>56004.46492866968</v>
      </c>
      <c r="M80" s="630">
        <f t="shared" ref="M80:M87" si="36">(L68+L80+SUM(L69:L79)*2)/24</f>
        <v>56354.423262003016</v>
      </c>
      <c r="N80" s="630">
        <f t="shared" ref="N80:N87" si="37">M80+J80</f>
        <v>54687.521132395275</v>
      </c>
      <c r="O80" s="561">
        <f t="shared" si="29"/>
        <v>56004.312799062638</v>
      </c>
    </row>
    <row r="81" spans="2:15" s="563" customFormat="1" ht="12.75">
      <c r="B81" s="495">
        <v>43769</v>
      </c>
      <c r="E81" s="630">
        <f t="shared" si="31"/>
        <v>-1880101.1500915946</v>
      </c>
      <c r="F81" s="630">
        <f t="shared" si="32"/>
        <v>-1880101.1500915948</v>
      </c>
      <c r="G81" s="561"/>
      <c r="H81" s="630">
        <f t="shared" si="33"/>
        <v>1880100.9979619875</v>
      </c>
      <c r="I81" s="630">
        <f t="shared" si="34"/>
        <v>1880100.997961987</v>
      </c>
      <c r="J81" s="630">
        <f t="shared" si="35"/>
        <v>-0.15212960774078965</v>
      </c>
      <c r="K81" s="630">
        <f t="shared" si="26"/>
        <v>0</v>
      </c>
      <c r="L81" s="630">
        <f t="shared" si="28"/>
        <v>56004.46492866968</v>
      </c>
      <c r="M81" s="630">
        <f t="shared" si="36"/>
        <v>56004.46492866968</v>
      </c>
      <c r="N81" s="630">
        <f t="shared" si="37"/>
        <v>56004.31279906194</v>
      </c>
      <c r="O81" s="561">
        <f t="shared" si="29"/>
        <v>56004.312799062638</v>
      </c>
    </row>
    <row r="82" spans="2:15" ht="12.75">
      <c r="B82" s="386">
        <v>43799</v>
      </c>
      <c r="E82" s="389">
        <f t="shared" si="31"/>
        <v>-1880101.1500915946</v>
      </c>
      <c r="F82" s="389">
        <f t="shared" si="32"/>
        <v>-1880101.1500915948</v>
      </c>
      <c r="G82" s="392"/>
      <c r="H82" s="389">
        <f t="shared" si="33"/>
        <v>1880100.9979619875</v>
      </c>
      <c r="I82" s="389">
        <f t="shared" si="34"/>
        <v>1880100.997961987</v>
      </c>
      <c r="J82" s="389">
        <f t="shared" si="35"/>
        <v>-0.15212960774078965</v>
      </c>
      <c r="K82" s="389">
        <f t="shared" si="26"/>
        <v>0</v>
      </c>
      <c r="L82" s="389">
        <f t="shared" si="28"/>
        <v>56004.46492866968</v>
      </c>
      <c r="M82" s="389">
        <f t="shared" si="36"/>
        <v>56004.46492866968</v>
      </c>
      <c r="N82" s="397">
        <f t="shared" si="37"/>
        <v>56004.31279906194</v>
      </c>
      <c r="O82" s="399">
        <f t="shared" si="29"/>
        <v>56004.312799062638</v>
      </c>
    </row>
    <row r="83" spans="2:15" ht="12.75">
      <c r="B83" s="386">
        <v>43830</v>
      </c>
      <c r="E83" s="389">
        <f t="shared" si="31"/>
        <v>-1880101.1500915946</v>
      </c>
      <c r="F83" s="389">
        <f t="shared" si="32"/>
        <v>-1880101.1500915948</v>
      </c>
      <c r="G83" s="392"/>
      <c r="H83" s="389">
        <f t="shared" si="33"/>
        <v>1880100.9979619875</v>
      </c>
      <c r="I83" s="389">
        <f t="shared" si="34"/>
        <v>1880100.997961987</v>
      </c>
      <c r="J83" s="389">
        <f t="shared" si="35"/>
        <v>-0.15212960774078965</v>
      </c>
      <c r="K83" s="389">
        <f t="shared" si="26"/>
        <v>0</v>
      </c>
      <c r="L83" s="389">
        <f t="shared" si="28"/>
        <v>56004.46492866968</v>
      </c>
      <c r="M83" s="389">
        <f t="shared" si="36"/>
        <v>56004.46492866968</v>
      </c>
      <c r="N83" s="397">
        <f t="shared" si="37"/>
        <v>56004.31279906194</v>
      </c>
      <c r="O83" s="399">
        <f t="shared" si="29"/>
        <v>56004.312799062638</v>
      </c>
    </row>
    <row r="84" spans="2:15" ht="12.75">
      <c r="B84" s="385">
        <v>43861</v>
      </c>
      <c r="E84" s="389">
        <f t="shared" si="31"/>
        <v>-1880101.1500915946</v>
      </c>
      <c r="F84" s="389">
        <f t="shared" si="32"/>
        <v>-1880101.1500915948</v>
      </c>
      <c r="G84" s="392"/>
      <c r="H84" s="389">
        <f t="shared" si="33"/>
        <v>1880100.9979619875</v>
      </c>
      <c r="I84" s="389">
        <f t="shared" si="34"/>
        <v>1880100.997961987</v>
      </c>
      <c r="J84" s="389">
        <f t="shared" si="35"/>
        <v>-0.15212960774078965</v>
      </c>
      <c r="K84" s="389">
        <f t="shared" si="26"/>
        <v>0</v>
      </c>
      <c r="L84" s="389">
        <f t="shared" si="28"/>
        <v>56004.46492866968</v>
      </c>
      <c r="M84" s="389">
        <f t="shared" si="36"/>
        <v>56004.46492866968</v>
      </c>
      <c r="N84" s="397">
        <f t="shared" si="37"/>
        <v>56004.31279906194</v>
      </c>
      <c r="O84" s="399">
        <f t="shared" si="29"/>
        <v>56004.312799062638</v>
      </c>
    </row>
    <row r="85" spans="2:15" ht="12.75">
      <c r="B85" s="395">
        <v>43890</v>
      </c>
      <c r="E85" s="389">
        <f t="shared" si="31"/>
        <v>-1880101.1500915946</v>
      </c>
      <c r="F85" s="389">
        <f t="shared" si="32"/>
        <v>-1880101.1500915948</v>
      </c>
      <c r="G85" s="392"/>
      <c r="H85" s="389">
        <f t="shared" si="33"/>
        <v>1880100.9979619875</v>
      </c>
      <c r="I85" s="389">
        <f t="shared" si="34"/>
        <v>1880100.997961987</v>
      </c>
      <c r="J85" s="389">
        <f t="shared" si="35"/>
        <v>-0.15212960774078965</v>
      </c>
      <c r="K85" s="389">
        <f t="shared" si="26"/>
        <v>0</v>
      </c>
      <c r="L85" s="389">
        <f t="shared" si="28"/>
        <v>56004.46492866968</v>
      </c>
      <c r="M85" s="389">
        <f t="shared" si="36"/>
        <v>56004.46492866968</v>
      </c>
      <c r="N85" s="397">
        <f t="shared" si="37"/>
        <v>56004.31279906194</v>
      </c>
      <c r="O85" s="399">
        <f t="shared" si="29"/>
        <v>56004.312799062638</v>
      </c>
    </row>
    <row r="86" spans="2:15" ht="12.75">
      <c r="B86" s="386">
        <v>43921</v>
      </c>
      <c r="E86" s="389">
        <f t="shared" si="31"/>
        <v>-1880101.1500915946</v>
      </c>
      <c r="F86" s="389">
        <f t="shared" si="32"/>
        <v>-1880101.1500915948</v>
      </c>
      <c r="G86" s="392"/>
      <c r="H86" s="389">
        <f t="shared" si="33"/>
        <v>1880100.9979619875</v>
      </c>
      <c r="I86" s="389">
        <f t="shared" si="34"/>
        <v>1880100.997961987</v>
      </c>
      <c r="J86" s="389">
        <f t="shared" si="35"/>
        <v>-0.15212960774078965</v>
      </c>
      <c r="K86" s="389">
        <f t="shared" si="26"/>
        <v>0</v>
      </c>
      <c r="L86" s="389">
        <f t="shared" si="28"/>
        <v>56004.46492866968</v>
      </c>
      <c r="M86" s="389">
        <f t="shared" si="36"/>
        <v>56004.46492866968</v>
      </c>
      <c r="N86" s="397">
        <f t="shared" si="37"/>
        <v>56004.31279906194</v>
      </c>
      <c r="O86" s="399">
        <f t="shared" si="29"/>
        <v>56004.312799062638</v>
      </c>
    </row>
    <row r="87" spans="2:15" ht="12.75">
      <c r="B87" s="386">
        <v>43951</v>
      </c>
      <c r="E87" s="389">
        <f t="shared" si="31"/>
        <v>-1880101.1500915946</v>
      </c>
      <c r="F87" s="389">
        <f t="shared" si="32"/>
        <v>-1880101.1500915948</v>
      </c>
      <c r="G87" s="392"/>
      <c r="H87" s="389">
        <f t="shared" si="33"/>
        <v>1880100.9979619875</v>
      </c>
      <c r="I87" s="389">
        <f t="shared" si="34"/>
        <v>1880100.997961987</v>
      </c>
      <c r="J87" s="389">
        <f t="shared" si="35"/>
        <v>-0.15212960774078965</v>
      </c>
      <c r="K87" s="389">
        <f t="shared" si="26"/>
        <v>0</v>
      </c>
      <c r="L87" s="389">
        <f t="shared" si="28"/>
        <v>56004.46492866968</v>
      </c>
      <c r="M87" s="389">
        <f t="shared" si="36"/>
        <v>56004.46492866968</v>
      </c>
      <c r="N87" s="397">
        <f t="shared" si="37"/>
        <v>56004.31279906194</v>
      </c>
      <c r="O87" s="399">
        <f t="shared" si="29"/>
        <v>56004.312799062638</v>
      </c>
    </row>
    <row r="88" spans="2:15" ht="12.75">
      <c r="B88" s="385">
        <v>43982</v>
      </c>
      <c r="E88" s="389">
        <f t="shared" ref="E88:E99" si="38">E87+D88</f>
        <v>-1880101.1500915946</v>
      </c>
      <c r="F88" s="389">
        <f t="shared" ref="F88:F99" si="39">(E76+E88+SUM(E77:E87)*2)/24</f>
        <v>-1880101.1500915948</v>
      </c>
      <c r="G88" s="392"/>
      <c r="H88" s="389">
        <f t="shared" ref="H88:H99" si="40">H87-G88</f>
        <v>1880100.9979619875</v>
      </c>
      <c r="I88" s="389">
        <f t="shared" ref="I88:I99" si="41">(H76+H88+SUM(H77:H87)*2)/24</f>
        <v>1880100.997961987</v>
      </c>
      <c r="J88" s="389">
        <f t="shared" ref="J88:J99" si="42">F88+I88</f>
        <v>-0.15212960774078965</v>
      </c>
      <c r="K88" s="389">
        <f t="shared" ref="K88:K99" si="43">(-D88*0.21)+(G88*0.21)</f>
        <v>0</v>
      </c>
      <c r="L88" s="389">
        <f t="shared" ref="L88:L99" si="44">L87+K88</f>
        <v>56004.46492866968</v>
      </c>
      <c r="M88" s="389">
        <f t="shared" ref="M88:M99" si="45">(L76+L88+SUM(L77:L87)*2)/24</f>
        <v>56004.46492866968</v>
      </c>
      <c r="N88" s="397">
        <f t="shared" ref="N88:N99" si="46">M88+J88</f>
        <v>56004.31279906194</v>
      </c>
      <c r="O88" s="399">
        <f t="shared" ref="O88:O99" si="47">E88+H88+L88</f>
        <v>56004.312799062638</v>
      </c>
    </row>
    <row r="89" spans="2:15" ht="12.75">
      <c r="B89" s="395">
        <v>44012</v>
      </c>
      <c r="E89" s="389">
        <f t="shared" si="38"/>
        <v>-1880101.1500915946</v>
      </c>
      <c r="F89" s="389">
        <f t="shared" si="39"/>
        <v>-1880101.1500915948</v>
      </c>
      <c r="G89" s="392"/>
      <c r="H89" s="389">
        <f t="shared" si="40"/>
        <v>1880100.9979619875</v>
      </c>
      <c r="I89" s="389">
        <f t="shared" si="41"/>
        <v>1880100.997961987</v>
      </c>
      <c r="J89" s="389">
        <f t="shared" si="42"/>
        <v>-0.15212960774078965</v>
      </c>
      <c r="K89" s="389">
        <f t="shared" si="43"/>
        <v>0</v>
      </c>
      <c r="L89" s="389">
        <f t="shared" si="44"/>
        <v>56004.46492866968</v>
      </c>
      <c r="M89" s="389">
        <f t="shared" si="45"/>
        <v>56004.46492866968</v>
      </c>
      <c r="N89" s="397">
        <f t="shared" si="46"/>
        <v>56004.31279906194</v>
      </c>
      <c r="O89" s="399">
        <f t="shared" si="47"/>
        <v>56004.312799062638</v>
      </c>
    </row>
    <row r="90" spans="2:15" ht="12.75">
      <c r="B90" s="386">
        <v>44043</v>
      </c>
      <c r="E90" s="389">
        <f t="shared" si="38"/>
        <v>-1880101.1500915946</v>
      </c>
      <c r="F90" s="389">
        <f t="shared" si="39"/>
        <v>-1880101.1500915948</v>
      </c>
      <c r="G90" s="392"/>
      <c r="H90" s="389">
        <f t="shared" si="40"/>
        <v>1880100.9979619875</v>
      </c>
      <c r="I90" s="389">
        <f t="shared" si="41"/>
        <v>1880100.997961987</v>
      </c>
      <c r="J90" s="389">
        <f t="shared" si="42"/>
        <v>-0.15212960774078965</v>
      </c>
      <c r="K90" s="389">
        <f t="shared" si="43"/>
        <v>0</v>
      </c>
      <c r="L90" s="389">
        <f t="shared" si="44"/>
        <v>56004.46492866968</v>
      </c>
      <c r="M90" s="389">
        <f t="shared" si="45"/>
        <v>56004.46492866968</v>
      </c>
      <c r="N90" s="397">
        <f t="shared" si="46"/>
        <v>56004.31279906194</v>
      </c>
      <c r="O90" s="399">
        <f t="shared" si="47"/>
        <v>56004.312799062638</v>
      </c>
    </row>
    <row r="91" spans="2:15" ht="12.75">
      <c r="B91" s="386">
        <v>44074</v>
      </c>
      <c r="E91" s="389">
        <f t="shared" si="38"/>
        <v>-1880101.1500915946</v>
      </c>
      <c r="F91" s="389">
        <f t="shared" si="39"/>
        <v>-1880101.1500915948</v>
      </c>
      <c r="G91" s="392"/>
      <c r="H91" s="389">
        <f t="shared" si="40"/>
        <v>1880100.9979619875</v>
      </c>
      <c r="I91" s="389">
        <f t="shared" si="41"/>
        <v>1880100.997961987</v>
      </c>
      <c r="J91" s="389">
        <f t="shared" si="42"/>
        <v>-0.15212960774078965</v>
      </c>
      <c r="K91" s="389">
        <f t="shared" si="43"/>
        <v>0</v>
      </c>
      <c r="L91" s="389">
        <f t="shared" si="44"/>
        <v>56004.46492866968</v>
      </c>
      <c r="M91" s="389">
        <f t="shared" si="45"/>
        <v>56004.46492866968</v>
      </c>
      <c r="N91" s="397">
        <f t="shared" si="46"/>
        <v>56004.31279906194</v>
      </c>
      <c r="O91" s="399">
        <f t="shared" si="47"/>
        <v>56004.312799062638</v>
      </c>
    </row>
    <row r="92" spans="2:15" ht="12.75">
      <c r="B92" s="385">
        <v>44104</v>
      </c>
      <c r="E92" s="389">
        <f t="shared" si="38"/>
        <v>-1880101.1500915946</v>
      </c>
      <c r="F92" s="389">
        <f t="shared" si="39"/>
        <v>-1880101.1500915948</v>
      </c>
      <c r="G92" s="392"/>
      <c r="H92" s="389">
        <f t="shared" si="40"/>
        <v>1880100.9979619875</v>
      </c>
      <c r="I92" s="389">
        <f t="shared" si="41"/>
        <v>1880100.997961987</v>
      </c>
      <c r="J92" s="389">
        <f t="shared" si="42"/>
        <v>-0.15212960774078965</v>
      </c>
      <c r="K92" s="389">
        <f t="shared" si="43"/>
        <v>0</v>
      </c>
      <c r="L92" s="389">
        <f t="shared" si="44"/>
        <v>56004.46492866968</v>
      </c>
      <c r="M92" s="389">
        <f t="shared" si="45"/>
        <v>56004.46492866968</v>
      </c>
      <c r="N92" s="397">
        <f t="shared" si="46"/>
        <v>56004.31279906194</v>
      </c>
      <c r="O92" s="399">
        <f t="shared" si="47"/>
        <v>56004.312799062638</v>
      </c>
    </row>
    <row r="93" spans="2:15" ht="12.75">
      <c r="B93" s="395">
        <v>44135</v>
      </c>
      <c r="E93" s="389">
        <f t="shared" si="38"/>
        <v>-1880101.1500915946</v>
      </c>
      <c r="F93" s="389">
        <f t="shared" si="39"/>
        <v>-1880101.1500915948</v>
      </c>
      <c r="G93" s="392"/>
      <c r="H93" s="389">
        <f t="shared" si="40"/>
        <v>1880100.9979619875</v>
      </c>
      <c r="I93" s="389">
        <f t="shared" si="41"/>
        <v>1880100.997961987</v>
      </c>
      <c r="J93" s="389">
        <f t="shared" si="42"/>
        <v>-0.15212960774078965</v>
      </c>
      <c r="K93" s="389">
        <f t="shared" si="43"/>
        <v>0</v>
      </c>
      <c r="L93" s="389">
        <f t="shared" si="44"/>
        <v>56004.46492866968</v>
      </c>
      <c r="M93" s="389">
        <f t="shared" si="45"/>
        <v>56004.46492866968</v>
      </c>
      <c r="N93" s="397">
        <f t="shared" si="46"/>
        <v>56004.31279906194</v>
      </c>
      <c r="O93" s="399">
        <f t="shared" si="47"/>
        <v>56004.312799062638</v>
      </c>
    </row>
    <row r="94" spans="2:15" ht="12.75">
      <c r="B94" s="386">
        <v>44165</v>
      </c>
      <c r="E94" s="389">
        <f t="shared" si="38"/>
        <v>-1880101.1500915946</v>
      </c>
      <c r="F94" s="389">
        <f t="shared" si="39"/>
        <v>-1880101.1500915948</v>
      </c>
      <c r="G94" s="392"/>
      <c r="H94" s="389">
        <f t="shared" si="40"/>
        <v>1880100.9979619875</v>
      </c>
      <c r="I94" s="389">
        <f t="shared" si="41"/>
        <v>1880100.997961987</v>
      </c>
      <c r="J94" s="389">
        <f t="shared" si="42"/>
        <v>-0.15212960774078965</v>
      </c>
      <c r="K94" s="389">
        <f t="shared" si="43"/>
        <v>0</v>
      </c>
      <c r="L94" s="389">
        <f t="shared" si="44"/>
        <v>56004.46492866968</v>
      </c>
      <c r="M94" s="389">
        <f t="shared" si="45"/>
        <v>56004.46492866968</v>
      </c>
      <c r="N94" s="397">
        <f t="shared" si="46"/>
        <v>56004.31279906194</v>
      </c>
      <c r="O94" s="399">
        <f t="shared" si="47"/>
        <v>56004.312799062638</v>
      </c>
    </row>
    <row r="95" spans="2:15" ht="12.75">
      <c r="B95" s="386">
        <v>44196</v>
      </c>
      <c r="E95" s="389">
        <f t="shared" si="38"/>
        <v>-1880101.1500915946</v>
      </c>
      <c r="F95" s="389">
        <f t="shared" si="39"/>
        <v>-1880101.1500915948</v>
      </c>
      <c r="G95" s="392"/>
      <c r="H95" s="389">
        <f t="shared" si="40"/>
        <v>1880100.9979619875</v>
      </c>
      <c r="I95" s="389">
        <f t="shared" si="41"/>
        <v>1880100.997961987</v>
      </c>
      <c r="J95" s="389">
        <f t="shared" si="42"/>
        <v>-0.15212960774078965</v>
      </c>
      <c r="K95" s="389">
        <f t="shared" si="43"/>
        <v>0</v>
      </c>
      <c r="L95" s="389">
        <f t="shared" si="44"/>
        <v>56004.46492866968</v>
      </c>
      <c r="M95" s="389">
        <f t="shared" si="45"/>
        <v>56004.46492866968</v>
      </c>
      <c r="N95" s="397">
        <f t="shared" si="46"/>
        <v>56004.31279906194</v>
      </c>
      <c r="O95" s="399">
        <f t="shared" si="47"/>
        <v>56004.312799062638</v>
      </c>
    </row>
    <row r="96" spans="2:15" ht="12.75">
      <c r="B96" s="385">
        <v>44227</v>
      </c>
      <c r="E96" s="389">
        <f t="shared" si="38"/>
        <v>-1880101.1500915946</v>
      </c>
      <c r="F96" s="389">
        <f t="shared" si="39"/>
        <v>-1880101.1500915948</v>
      </c>
      <c r="G96" s="392"/>
      <c r="H96" s="389">
        <f t="shared" si="40"/>
        <v>1880100.9979619875</v>
      </c>
      <c r="I96" s="389">
        <f t="shared" si="41"/>
        <v>1880100.997961987</v>
      </c>
      <c r="J96" s="389">
        <f t="shared" si="42"/>
        <v>-0.15212960774078965</v>
      </c>
      <c r="K96" s="389">
        <f t="shared" si="43"/>
        <v>0</v>
      </c>
      <c r="L96" s="389">
        <f t="shared" si="44"/>
        <v>56004.46492866968</v>
      </c>
      <c r="M96" s="389">
        <f t="shared" si="45"/>
        <v>56004.46492866968</v>
      </c>
      <c r="N96" s="397">
        <f t="shared" si="46"/>
        <v>56004.31279906194</v>
      </c>
      <c r="O96" s="399">
        <f t="shared" si="47"/>
        <v>56004.312799062638</v>
      </c>
    </row>
    <row r="97" spans="2:15" ht="12.75">
      <c r="B97" s="395">
        <v>44255</v>
      </c>
      <c r="E97" s="389">
        <f t="shared" si="38"/>
        <v>-1880101.1500915946</v>
      </c>
      <c r="F97" s="389">
        <f t="shared" si="39"/>
        <v>-1880101.1500915948</v>
      </c>
      <c r="G97" s="392"/>
      <c r="H97" s="389">
        <f t="shared" si="40"/>
        <v>1880100.9979619875</v>
      </c>
      <c r="I97" s="389">
        <f t="shared" si="41"/>
        <v>1880100.997961987</v>
      </c>
      <c r="J97" s="389">
        <f t="shared" si="42"/>
        <v>-0.15212960774078965</v>
      </c>
      <c r="K97" s="389">
        <f t="shared" si="43"/>
        <v>0</v>
      </c>
      <c r="L97" s="389">
        <f t="shared" si="44"/>
        <v>56004.46492866968</v>
      </c>
      <c r="M97" s="389">
        <f t="shared" si="45"/>
        <v>56004.46492866968</v>
      </c>
      <c r="N97" s="397">
        <f t="shared" si="46"/>
        <v>56004.31279906194</v>
      </c>
      <c r="O97" s="399">
        <f t="shared" si="47"/>
        <v>56004.312799062638</v>
      </c>
    </row>
    <row r="98" spans="2:15" ht="12.75">
      <c r="B98" s="385">
        <v>44286</v>
      </c>
      <c r="E98" s="389">
        <f t="shared" si="38"/>
        <v>-1880101.1500915946</v>
      </c>
      <c r="F98" s="389">
        <f t="shared" si="39"/>
        <v>-1880101.1500915948</v>
      </c>
      <c r="G98" s="392"/>
      <c r="H98" s="389">
        <f t="shared" si="40"/>
        <v>1880100.9979619875</v>
      </c>
      <c r="I98" s="389">
        <f t="shared" si="41"/>
        <v>1880100.997961987</v>
      </c>
      <c r="J98" s="389">
        <f t="shared" si="42"/>
        <v>-0.15212960774078965</v>
      </c>
      <c r="K98" s="389">
        <f t="shared" si="43"/>
        <v>0</v>
      </c>
      <c r="L98" s="389">
        <f t="shared" si="44"/>
        <v>56004.46492866968</v>
      </c>
      <c r="M98" s="389">
        <f t="shared" si="45"/>
        <v>56004.46492866968</v>
      </c>
      <c r="N98" s="397">
        <f t="shared" si="46"/>
        <v>56004.31279906194</v>
      </c>
      <c r="O98" s="399">
        <f t="shared" si="47"/>
        <v>56004.312799062638</v>
      </c>
    </row>
    <row r="99" spans="2:15" ht="12.75">
      <c r="B99" s="395">
        <v>44316</v>
      </c>
      <c r="E99" s="389">
        <f t="shared" si="38"/>
        <v>-1880101.1500915946</v>
      </c>
      <c r="F99" s="389">
        <f t="shared" si="39"/>
        <v>-1880101.1500915948</v>
      </c>
      <c r="G99" s="392"/>
      <c r="H99" s="389">
        <f t="shared" si="40"/>
        <v>1880100.9979619875</v>
      </c>
      <c r="I99" s="389">
        <f t="shared" si="41"/>
        <v>1880100.997961987</v>
      </c>
      <c r="J99" s="389">
        <f t="shared" si="42"/>
        <v>-0.15212960774078965</v>
      </c>
      <c r="K99" s="389">
        <f t="shared" si="43"/>
        <v>0</v>
      </c>
      <c r="L99" s="389">
        <f t="shared" si="44"/>
        <v>56004.46492866968</v>
      </c>
      <c r="M99" s="389">
        <f t="shared" si="45"/>
        <v>56004.46492866968</v>
      </c>
      <c r="N99" s="397">
        <f t="shared" si="46"/>
        <v>56004.31279906194</v>
      </c>
      <c r="O99" s="399">
        <f t="shared" si="47"/>
        <v>56004.312799062638</v>
      </c>
    </row>
    <row r="100" spans="2:15" ht="12.75">
      <c r="B100" s="386"/>
      <c r="E100" s="389"/>
      <c r="F100" s="389"/>
      <c r="G100" s="392"/>
      <c r="H100" s="389"/>
      <c r="I100" s="389"/>
      <c r="J100" s="389"/>
      <c r="K100" s="389"/>
      <c r="L100" s="389"/>
      <c r="M100" s="389"/>
      <c r="N100" s="397"/>
      <c r="O100" s="399"/>
    </row>
    <row r="101" spans="2:15" ht="13.5" thickBot="1">
      <c r="B101" s="385"/>
      <c r="E101" s="389"/>
      <c r="F101" s="389"/>
      <c r="G101" s="392"/>
      <c r="H101" s="389"/>
      <c r="I101" s="389"/>
      <c r="J101" s="389"/>
      <c r="K101" s="389"/>
      <c r="L101" s="389"/>
      <c r="M101" s="389"/>
      <c r="N101" s="397"/>
    </row>
    <row r="102" spans="2:15" ht="13.5" thickBot="1">
      <c r="B102" s="721" t="s">
        <v>799</v>
      </c>
      <c r="E102" s="389"/>
      <c r="F102" s="389"/>
      <c r="G102" s="722">
        <f>SUM(G60:G71)</f>
        <v>-400021.36916647549</v>
      </c>
      <c r="H102" s="722"/>
      <c r="I102" s="389"/>
      <c r="J102" s="389"/>
      <c r="K102" s="389"/>
      <c r="L102" s="389"/>
      <c r="M102" s="389"/>
      <c r="N102" s="397"/>
    </row>
    <row r="103" spans="2:15" ht="12.75">
      <c r="B103" s="721" t="s">
        <v>800</v>
      </c>
      <c r="E103" s="389"/>
      <c r="F103" s="389"/>
      <c r="G103" s="722">
        <f>SUM(G88:G99)</f>
        <v>0</v>
      </c>
      <c r="H103" s="722"/>
      <c r="I103" s="389"/>
      <c r="J103" s="389"/>
      <c r="K103" s="389"/>
      <c r="L103" s="389"/>
      <c r="M103" s="389"/>
      <c r="N103" s="397"/>
    </row>
    <row r="104" spans="2:15" ht="12.75">
      <c r="B104" s="386"/>
      <c r="E104" s="389"/>
      <c r="F104" s="389"/>
      <c r="G104" s="392"/>
      <c r="H104" s="389"/>
      <c r="I104" s="389"/>
      <c r="J104" s="389"/>
      <c r="K104" s="389"/>
      <c r="L104" s="389"/>
      <c r="M104" s="389"/>
      <c r="N104" s="397"/>
    </row>
    <row r="105" spans="2:15" ht="12.75">
      <c r="B105" s="386"/>
      <c r="E105" s="863"/>
      <c r="F105" s="864"/>
      <c r="G105" s="865"/>
      <c r="H105" s="864"/>
      <c r="I105" s="864"/>
      <c r="J105" s="864"/>
      <c r="K105" s="864"/>
      <c r="L105" s="866"/>
      <c r="M105" s="389"/>
      <c r="N105" s="397"/>
    </row>
    <row r="106" spans="2:15" ht="12.75">
      <c r="B106" s="386"/>
      <c r="E106" s="867"/>
      <c r="F106" s="389"/>
      <c r="G106" s="393"/>
      <c r="H106" s="389"/>
      <c r="I106" s="389"/>
      <c r="J106" s="877" t="s">
        <v>875</v>
      </c>
      <c r="K106" s="389"/>
      <c r="L106" s="868"/>
      <c r="M106" s="389"/>
      <c r="N106" s="397"/>
    </row>
    <row r="107" spans="2:15" ht="12.75">
      <c r="B107" s="386"/>
      <c r="E107" s="867" t="s">
        <v>873</v>
      </c>
      <c r="F107" s="389"/>
      <c r="G107" s="878" t="s">
        <v>6</v>
      </c>
      <c r="H107" s="877" t="s">
        <v>871</v>
      </c>
      <c r="I107" s="877" t="s">
        <v>587</v>
      </c>
      <c r="J107" s="877" t="s">
        <v>9</v>
      </c>
      <c r="K107" s="877" t="s">
        <v>2</v>
      </c>
      <c r="L107" s="868"/>
      <c r="M107" s="389"/>
      <c r="N107" s="397"/>
    </row>
    <row r="108" spans="2:15" ht="12.75">
      <c r="B108" s="386"/>
      <c r="E108" s="867" t="s">
        <v>872</v>
      </c>
      <c r="F108" s="345"/>
      <c r="G108" s="870" t="s">
        <v>870</v>
      </c>
      <c r="H108" s="389"/>
      <c r="I108" s="389"/>
      <c r="J108" s="389"/>
      <c r="K108" s="389">
        <v>-400029</v>
      </c>
      <c r="L108" s="868"/>
      <c r="M108" s="389"/>
      <c r="N108" s="397"/>
    </row>
    <row r="109" spans="2:15" ht="12.75">
      <c r="B109" s="386"/>
      <c r="E109" s="867"/>
      <c r="F109" s="389"/>
      <c r="G109" s="871">
        <v>1</v>
      </c>
      <c r="H109" s="389">
        <v>40002</v>
      </c>
      <c r="I109" s="389"/>
      <c r="J109" s="389">
        <v>40002</v>
      </c>
      <c r="K109" s="389">
        <f>K108+H109-I109</f>
        <v>-360027</v>
      </c>
      <c r="L109" s="868"/>
      <c r="M109" s="389"/>
      <c r="N109" s="397"/>
    </row>
    <row r="110" spans="2:15" ht="12.75">
      <c r="B110" s="386"/>
      <c r="E110" s="867"/>
      <c r="F110" s="389"/>
      <c r="G110" s="871">
        <v>2</v>
      </c>
      <c r="H110" s="389">
        <v>40002</v>
      </c>
      <c r="I110" s="389"/>
      <c r="J110" s="389">
        <v>40002</v>
      </c>
      <c r="K110" s="389">
        <f t="shared" ref="K110:K120" si="48">K109+H110-I110</f>
        <v>-320025</v>
      </c>
      <c r="L110" s="868"/>
      <c r="M110" s="389"/>
      <c r="N110" s="397"/>
    </row>
    <row r="111" spans="2:15" ht="12.75">
      <c r="B111" s="386"/>
      <c r="E111" s="867"/>
      <c r="F111" s="389"/>
      <c r="G111" s="871">
        <v>3</v>
      </c>
      <c r="H111" s="389">
        <v>40002</v>
      </c>
      <c r="I111" s="389"/>
      <c r="J111" s="389">
        <v>40002</v>
      </c>
      <c r="K111" s="389">
        <f t="shared" si="48"/>
        <v>-280023</v>
      </c>
      <c r="L111" s="868"/>
      <c r="M111" s="389"/>
      <c r="N111" s="397"/>
    </row>
    <row r="112" spans="2:15" ht="12.75">
      <c r="B112" s="386"/>
      <c r="E112" s="867"/>
      <c r="F112" s="389"/>
      <c r="G112" s="871">
        <v>4</v>
      </c>
      <c r="H112" s="389">
        <v>40002</v>
      </c>
      <c r="I112" s="389"/>
      <c r="J112" s="389">
        <v>40002</v>
      </c>
      <c r="K112" s="389">
        <f t="shared" si="48"/>
        <v>-240021</v>
      </c>
      <c r="L112" s="868"/>
      <c r="M112" s="389"/>
      <c r="N112" s="397"/>
    </row>
    <row r="113" spans="2:14" ht="12.75">
      <c r="B113" s="386"/>
      <c r="E113" s="867"/>
      <c r="F113" s="389"/>
      <c r="G113" s="871">
        <v>5</v>
      </c>
      <c r="H113" s="389">
        <v>40002</v>
      </c>
      <c r="I113" s="389"/>
      <c r="J113" s="389">
        <v>40002</v>
      </c>
      <c r="K113" s="389">
        <f t="shared" si="48"/>
        <v>-200019</v>
      </c>
      <c r="L113" s="868"/>
      <c r="M113" s="389"/>
      <c r="N113" s="397"/>
    </row>
    <row r="114" spans="2:14" ht="12.75">
      <c r="B114" s="385"/>
      <c r="E114" s="867"/>
      <c r="F114" s="389"/>
      <c r="G114" s="871">
        <v>6</v>
      </c>
      <c r="H114" s="389">
        <v>40002</v>
      </c>
      <c r="I114" s="389"/>
      <c r="J114" s="389">
        <v>40002</v>
      </c>
      <c r="K114" s="389">
        <f t="shared" si="48"/>
        <v>-160017</v>
      </c>
      <c r="L114" s="868"/>
      <c r="M114" s="389"/>
      <c r="N114" s="397"/>
    </row>
    <row r="115" spans="2:14" ht="12.75">
      <c r="B115" s="385"/>
      <c r="E115" s="867"/>
      <c r="F115" s="389"/>
      <c r="G115" s="871">
        <v>7</v>
      </c>
      <c r="H115" s="389">
        <v>40002</v>
      </c>
      <c r="I115" s="389"/>
      <c r="J115" s="389">
        <v>40002</v>
      </c>
      <c r="K115" s="389">
        <f t="shared" si="48"/>
        <v>-120015</v>
      </c>
      <c r="L115" s="868"/>
      <c r="M115" s="389"/>
      <c r="N115" s="397"/>
    </row>
    <row r="116" spans="2:14" ht="12.75">
      <c r="B116" s="395"/>
      <c r="E116" s="867"/>
      <c r="F116" s="389"/>
      <c r="G116" s="871">
        <v>8</v>
      </c>
      <c r="H116" s="389">
        <v>40002</v>
      </c>
      <c r="I116" s="389"/>
      <c r="J116" s="389">
        <v>40002</v>
      </c>
      <c r="K116" s="389">
        <f t="shared" si="48"/>
        <v>-80013</v>
      </c>
      <c r="L116" s="868"/>
      <c r="M116" s="389"/>
      <c r="N116" s="397"/>
    </row>
    <row r="117" spans="2:14" ht="12.75">
      <c r="B117" s="386"/>
      <c r="E117" s="867"/>
      <c r="F117" s="389"/>
      <c r="G117" s="871">
        <v>9</v>
      </c>
      <c r="H117" s="389">
        <v>40002</v>
      </c>
      <c r="I117" s="389"/>
      <c r="J117" s="389">
        <v>40002</v>
      </c>
      <c r="K117" s="389">
        <f t="shared" si="48"/>
        <v>-40011</v>
      </c>
      <c r="L117" s="868"/>
      <c r="M117" s="389"/>
      <c r="N117" s="397"/>
    </row>
    <row r="118" spans="2:14" ht="12.75">
      <c r="B118" s="386"/>
      <c r="E118" s="867"/>
      <c r="F118" s="389"/>
      <c r="G118" s="871">
        <v>10</v>
      </c>
      <c r="H118" s="389">
        <v>40011</v>
      </c>
      <c r="I118" s="389"/>
      <c r="J118" s="389">
        <v>40011</v>
      </c>
      <c r="K118" s="389">
        <f t="shared" si="48"/>
        <v>0</v>
      </c>
      <c r="L118" s="868"/>
      <c r="M118" s="389"/>
      <c r="N118" s="397"/>
    </row>
    <row r="119" spans="2:14" ht="12.75">
      <c r="E119" s="869"/>
      <c r="F119" s="345"/>
      <c r="G119" s="871">
        <v>11</v>
      </c>
      <c r="H119" s="345"/>
      <c r="I119" s="345"/>
      <c r="J119" s="345"/>
      <c r="K119" s="389">
        <f t="shared" si="48"/>
        <v>0</v>
      </c>
      <c r="L119" s="872"/>
    </row>
    <row r="120" spans="2:14" ht="12.75">
      <c r="E120" s="869"/>
      <c r="F120" s="345"/>
      <c r="G120" s="871">
        <v>12</v>
      </c>
      <c r="H120" s="345"/>
      <c r="I120" s="345"/>
      <c r="J120" s="345"/>
      <c r="K120" s="389">
        <f t="shared" si="48"/>
        <v>0</v>
      </c>
      <c r="L120" s="872"/>
    </row>
    <row r="121" spans="2:14">
      <c r="E121" s="873"/>
      <c r="F121" s="874"/>
      <c r="G121" s="874"/>
      <c r="H121" s="874"/>
      <c r="I121" s="874"/>
      <c r="J121" s="874"/>
      <c r="K121" s="874"/>
      <c r="L121" s="875"/>
    </row>
  </sheetData>
  <printOptions horizontalCentered="1"/>
  <pageMargins left="0.2" right="0.2" top="0.75" bottom="0.75" header="0.3" footer="0.3"/>
  <pageSetup scale="5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V193"/>
  <sheetViews>
    <sheetView zoomScale="70" zoomScaleNormal="70" workbookViewId="0">
      <pane xSplit="1" ySplit="12" topLeftCell="G126" activePane="bottomRight" state="frozen"/>
      <selection activeCell="R193" sqref="R193"/>
      <selection pane="topRight" activeCell="R193" sqref="R193"/>
      <selection pane="bottomLeft" activeCell="R193" sqref="R193"/>
      <selection pane="bottomRight" activeCell="N128" sqref="N128"/>
    </sheetView>
  </sheetViews>
  <sheetFormatPr defaultColWidth="9.1640625" defaultRowHeight="12.95" customHeight="1" outlineLevelRow="1" outlineLevelCol="1"/>
  <cols>
    <col min="1" max="1" width="48.5" customWidth="1"/>
    <col min="2" max="3" width="15.5" bestFit="1" customWidth="1"/>
    <col min="4" max="4" width="1.83203125" customWidth="1"/>
    <col min="5" max="5" width="22.1640625" customWidth="1"/>
    <col min="6" max="6" width="16.6640625" customWidth="1"/>
    <col min="7" max="7" width="1.83203125" customWidth="1"/>
    <col min="8" max="9" width="14.5" bestFit="1" customWidth="1"/>
    <col min="10" max="10" width="2.5" customWidth="1"/>
    <col min="11" max="11" width="17.5" customWidth="1"/>
    <col min="12" max="12" width="15.83203125" bestFit="1" customWidth="1"/>
    <col min="13" max="13" width="1.83203125" customWidth="1"/>
    <col min="14" max="14" width="14.83203125" bestFit="1" customWidth="1"/>
    <col min="15" max="16" width="17.83203125" bestFit="1" customWidth="1"/>
    <col min="17" max="17" width="15.5" bestFit="1" customWidth="1"/>
    <col min="18" max="18" width="16.5" bestFit="1" customWidth="1"/>
    <col min="19" max="19" width="14.83203125" style="81" hidden="1" customWidth="1" outlineLevel="1"/>
    <col min="20" max="20" width="13.1640625" style="81" hidden="1" customWidth="1" outlineLevel="1"/>
    <col min="21" max="21" width="9.1640625" style="81" hidden="1" customWidth="1" outlineLevel="1"/>
    <col min="22" max="22" width="9.5" style="81" bestFit="1" customWidth="1" collapsed="1"/>
    <col min="23" max="16384" width="9.1640625" style="81"/>
  </cols>
  <sheetData>
    <row r="1" spans="1:18" ht="12.95" customHeight="1">
      <c r="A1" s="5" t="s">
        <v>802</v>
      </c>
      <c r="B1" s="101"/>
      <c r="C1" s="101"/>
      <c r="D1" s="101"/>
      <c r="E1" s="101"/>
      <c r="F1" s="101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8" ht="12.95" customHeight="1">
      <c r="A2" s="108" t="s">
        <v>116</v>
      </c>
      <c r="B2" s="81"/>
      <c r="C2" s="81"/>
      <c r="D2" s="101"/>
      <c r="E2" s="109">
        <v>4614625</v>
      </c>
      <c r="F2" s="101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12.95" customHeight="1">
      <c r="A3" s="108" t="s">
        <v>117</v>
      </c>
      <c r="B3" s="81"/>
      <c r="C3" s="81"/>
      <c r="D3" s="101"/>
      <c r="E3" s="110" t="s">
        <v>171</v>
      </c>
      <c r="F3" s="101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ht="12.95" customHeight="1">
      <c r="A4" s="5" t="s">
        <v>133</v>
      </c>
      <c r="B4" s="81"/>
      <c r="C4" s="81"/>
      <c r="D4" s="101"/>
      <c r="E4" s="101"/>
      <c r="F4" s="101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.95" customHeight="1">
      <c r="A5" s="5" t="s">
        <v>119</v>
      </c>
      <c r="B5" s="81"/>
      <c r="C5" s="81"/>
      <c r="D5" s="101"/>
      <c r="E5" s="111">
        <v>103</v>
      </c>
      <c r="F5" s="112" t="s">
        <v>82</v>
      </c>
      <c r="G5" s="6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>
      <c r="A6" s="5" t="s">
        <v>83</v>
      </c>
      <c r="B6" s="81"/>
      <c r="C6" s="81"/>
      <c r="D6" s="101"/>
      <c r="E6" s="10" t="s">
        <v>84</v>
      </c>
      <c r="F6" s="101"/>
      <c r="G6" s="6"/>
      <c r="H6" s="6"/>
      <c r="I6" s="6"/>
      <c r="J6" s="6"/>
      <c r="K6" s="6"/>
      <c r="L6" s="695" t="s">
        <v>172</v>
      </c>
      <c r="M6" s="696"/>
      <c r="N6" s="696"/>
      <c r="O6" s="697" t="s">
        <v>178</v>
      </c>
      <c r="P6" s="89"/>
    </row>
    <row r="7" spans="1:18" ht="12.95" customHeight="1">
      <c r="A7" s="101"/>
      <c r="B7" s="101"/>
      <c r="C7" s="101"/>
      <c r="D7" s="101"/>
      <c r="E7" s="101"/>
      <c r="F7" s="101"/>
      <c r="G7" s="6"/>
      <c r="H7" s="6"/>
      <c r="I7" s="6"/>
      <c r="J7" s="6"/>
      <c r="K7" s="6"/>
      <c r="L7" s="698"/>
      <c r="M7" s="698"/>
      <c r="N7" s="698"/>
      <c r="O7" s="698"/>
      <c r="P7" s="6"/>
    </row>
    <row r="8" spans="1:18" ht="12.9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8" ht="12.95" customHeight="1">
      <c r="A9" s="11" t="s">
        <v>85</v>
      </c>
      <c r="B9" s="12" t="s">
        <v>170</v>
      </c>
      <c r="C9" s="13"/>
      <c r="D9" s="14"/>
      <c r="E9" s="15" t="s">
        <v>3</v>
      </c>
      <c r="F9" s="15"/>
      <c r="G9" s="14"/>
      <c r="H9" s="15" t="s">
        <v>86</v>
      </c>
      <c r="I9" s="15"/>
      <c r="J9" s="14"/>
      <c r="K9" s="15" t="s">
        <v>87</v>
      </c>
      <c r="L9" s="15"/>
      <c r="M9" s="82"/>
      <c r="N9" s="16" t="s">
        <v>88</v>
      </c>
      <c r="O9" s="16" t="s">
        <v>89</v>
      </c>
      <c r="P9" s="11" t="s">
        <v>90</v>
      </c>
      <c r="Q9" s="16" t="s">
        <v>21</v>
      </c>
      <c r="R9" s="16" t="s">
        <v>18</v>
      </c>
    </row>
    <row r="10" spans="1:18" ht="12.95" customHeight="1">
      <c r="A10" s="17"/>
      <c r="B10" s="18" t="s">
        <v>91</v>
      </c>
      <c r="C10" s="19" t="s">
        <v>92</v>
      </c>
      <c r="D10" s="20"/>
      <c r="E10" s="18" t="s">
        <v>91</v>
      </c>
      <c r="F10" s="19" t="s">
        <v>92</v>
      </c>
      <c r="G10" s="20"/>
      <c r="H10" s="18" t="s">
        <v>91</v>
      </c>
      <c r="I10" s="19" t="s">
        <v>92</v>
      </c>
      <c r="J10" s="20"/>
      <c r="K10" s="18" t="s">
        <v>91</v>
      </c>
      <c r="L10" s="19" t="s">
        <v>92</v>
      </c>
      <c r="M10" s="17"/>
      <c r="N10" s="20" t="s">
        <v>93</v>
      </c>
      <c r="O10" s="21">
        <v>0.35</v>
      </c>
      <c r="P10" s="22" t="s">
        <v>121</v>
      </c>
      <c r="Q10" s="21" t="s">
        <v>17</v>
      </c>
      <c r="R10" s="21" t="s">
        <v>19</v>
      </c>
    </row>
    <row r="11" spans="1:18" ht="12.95" customHeight="1">
      <c r="A11" s="17"/>
      <c r="B11" s="18" t="s">
        <v>22</v>
      </c>
      <c r="C11" s="19" t="s">
        <v>23</v>
      </c>
      <c r="D11" s="20"/>
      <c r="E11" s="18" t="s">
        <v>94</v>
      </c>
      <c r="F11" s="19" t="s">
        <v>165</v>
      </c>
      <c r="G11" s="20"/>
      <c r="H11" s="18" t="s">
        <v>123</v>
      </c>
      <c r="I11" s="19" t="s">
        <v>124</v>
      </c>
      <c r="J11" s="20"/>
      <c r="K11" s="18"/>
      <c r="L11" s="19"/>
      <c r="M11" s="17"/>
      <c r="N11" s="20"/>
      <c r="O11" s="21">
        <v>0.21</v>
      </c>
      <c r="P11" s="22" t="s">
        <v>125</v>
      </c>
      <c r="Q11" s="21"/>
      <c r="R11" s="21" t="s">
        <v>126</v>
      </c>
    </row>
    <row r="12" spans="1:18" ht="12.95" customHeight="1" thickBot="1">
      <c r="A12" s="23"/>
      <c r="B12" s="24"/>
      <c r="C12" s="25"/>
      <c r="D12" s="23"/>
      <c r="E12" s="24"/>
      <c r="F12" s="25" t="s">
        <v>82</v>
      </c>
      <c r="G12" s="23"/>
      <c r="H12" s="24" t="s">
        <v>127</v>
      </c>
      <c r="I12" s="25" t="s">
        <v>128</v>
      </c>
      <c r="J12" s="23"/>
      <c r="K12" s="24" t="s">
        <v>95</v>
      </c>
      <c r="L12" s="25" t="s">
        <v>96</v>
      </c>
      <c r="M12" s="33"/>
      <c r="N12" s="23" t="s">
        <v>97</v>
      </c>
      <c r="O12" s="26" t="s">
        <v>98</v>
      </c>
      <c r="P12" s="27" t="s">
        <v>129</v>
      </c>
      <c r="Q12" s="83" t="s">
        <v>130</v>
      </c>
      <c r="R12" s="83" t="s">
        <v>131</v>
      </c>
    </row>
    <row r="13" spans="1:18" ht="12.95" hidden="1" customHeight="1" outlineLevel="1" thickTop="1">
      <c r="A13" s="85"/>
      <c r="B13" s="32"/>
      <c r="C13" s="32"/>
      <c r="D13" s="31"/>
      <c r="E13" s="32"/>
      <c r="F13" s="32"/>
      <c r="G13" s="31"/>
      <c r="H13" s="32"/>
      <c r="I13" s="32"/>
      <c r="J13" s="31"/>
      <c r="K13" s="32"/>
      <c r="L13" s="32"/>
      <c r="M13" s="31"/>
      <c r="N13" s="32"/>
      <c r="O13" s="32"/>
      <c r="P13" s="32"/>
      <c r="Q13" s="32"/>
      <c r="R13" s="32"/>
    </row>
    <row r="14" spans="1:18" ht="12.95" hidden="1" customHeight="1" outlineLevel="1">
      <c r="A14" s="86">
        <v>40248</v>
      </c>
      <c r="B14" s="87">
        <f>-E2</f>
        <v>-4614625</v>
      </c>
      <c r="C14" s="87">
        <f>-E2</f>
        <v>-4614625</v>
      </c>
      <c r="D14" s="88"/>
      <c r="E14" s="87">
        <f>B14</f>
        <v>-4614625</v>
      </c>
      <c r="F14" s="87"/>
      <c r="G14" s="88"/>
      <c r="H14" s="87">
        <f>E2</f>
        <v>4614625</v>
      </c>
      <c r="I14" s="87">
        <f t="shared" ref="I14:I19" si="0">I13-F14</f>
        <v>0</v>
      </c>
      <c r="J14" s="88"/>
      <c r="K14" s="87">
        <f t="shared" ref="K14:L28" si="1">B14+H14</f>
        <v>0</v>
      </c>
      <c r="L14" s="87">
        <f>B14+I14</f>
        <v>-4614625</v>
      </c>
      <c r="M14" s="88"/>
      <c r="N14" s="87">
        <f>L14-K14</f>
        <v>-4614625</v>
      </c>
      <c r="O14" s="87">
        <v>1695875</v>
      </c>
      <c r="P14" s="87"/>
      <c r="Q14" s="87">
        <f>L14+O14</f>
        <v>-2918750</v>
      </c>
      <c r="R14" s="87">
        <f>($Q$13+Q14+SUM($Q13:Q$14)*2)/24</f>
        <v>-364843.75</v>
      </c>
    </row>
    <row r="15" spans="1:18" ht="12.95" hidden="1" customHeight="1" outlineLevel="1">
      <c r="A15" s="86">
        <v>40298</v>
      </c>
      <c r="B15" s="87">
        <f t="shared" ref="B15:B51" si="2">B14</f>
        <v>-4614625</v>
      </c>
      <c r="C15" s="87">
        <f t="shared" ref="C15:C51" si="3">C14</f>
        <v>-4614625</v>
      </c>
      <c r="D15" s="88"/>
      <c r="E15" s="87">
        <v>0</v>
      </c>
      <c r="F15" s="87">
        <f>C15/$E$5</f>
        <v>-44802.184466019418</v>
      </c>
      <c r="G15" s="88"/>
      <c r="H15" s="87">
        <f>H14-E15</f>
        <v>4614625</v>
      </c>
      <c r="I15" s="87">
        <f>I14-F15</f>
        <v>44802.184466019418</v>
      </c>
      <c r="J15" s="88"/>
      <c r="K15" s="87">
        <f t="shared" si="1"/>
        <v>0</v>
      </c>
      <c r="L15" s="87">
        <f>C15+I15</f>
        <v>-4569822.8155339807</v>
      </c>
      <c r="M15" s="88"/>
      <c r="N15" s="87">
        <f>L15-K15</f>
        <v>-4569822.8155339807</v>
      </c>
      <c r="O15" s="87">
        <v>1614875</v>
      </c>
      <c r="P15" s="87">
        <f>-O15+O14</f>
        <v>81000</v>
      </c>
      <c r="Q15" s="87">
        <f>L15+O15</f>
        <v>-2954947.8155339807</v>
      </c>
      <c r="R15" s="87">
        <f>($Q$13+Q15+SUM($Q$14:Q14)*2)/24</f>
        <v>-366351.99231391586</v>
      </c>
    </row>
    <row r="16" spans="1:18" ht="12.95" hidden="1" customHeight="1" outlineLevel="1">
      <c r="A16" s="85">
        <v>40329</v>
      </c>
      <c r="B16" s="32">
        <f t="shared" si="2"/>
        <v>-4614625</v>
      </c>
      <c r="C16" s="32">
        <f t="shared" si="3"/>
        <v>-4614625</v>
      </c>
      <c r="D16" s="31"/>
      <c r="E16" s="32">
        <v>0</v>
      </c>
      <c r="F16" s="87">
        <f>C16/$E$5</f>
        <v>-44802.184466019418</v>
      </c>
      <c r="G16" s="31"/>
      <c r="H16" s="32">
        <f>H15-E16</f>
        <v>4614625</v>
      </c>
      <c r="I16" s="32">
        <f t="shared" si="0"/>
        <v>89604.368932038837</v>
      </c>
      <c r="J16" s="31"/>
      <c r="K16" s="32">
        <f t="shared" si="1"/>
        <v>0</v>
      </c>
      <c r="L16" s="32">
        <f>C16+I16</f>
        <v>-4525020.6310679615</v>
      </c>
      <c r="M16" s="31"/>
      <c r="N16" s="32">
        <f>L16-K16</f>
        <v>-4525020.6310679615</v>
      </c>
      <c r="O16" s="32">
        <v>1598875</v>
      </c>
      <c r="P16" s="32">
        <f>-O16+O15</f>
        <v>16000</v>
      </c>
      <c r="Q16" s="32">
        <f>L16+O16</f>
        <v>-2926145.6310679615</v>
      </c>
      <c r="R16" s="87">
        <f>($Q$13+Q16+SUM($Q$14:Q15)*2)/24</f>
        <v>-611397.55258899683</v>
      </c>
    </row>
    <row r="17" spans="1:21" ht="12.95" hidden="1" customHeight="1" outlineLevel="1">
      <c r="A17" s="86">
        <v>40359</v>
      </c>
      <c r="B17" s="87">
        <f t="shared" si="2"/>
        <v>-4614625</v>
      </c>
      <c r="C17" s="87">
        <f t="shared" si="3"/>
        <v>-4614625</v>
      </c>
      <c r="D17" s="88"/>
      <c r="E17" s="87">
        <v>0</v>
      </c>
      <c r="F17" s="87">
        <f t="shared" ref="F17:F51" si="4">C17/$E$5</f>
        <v>-44802.184466019418</v>
      </c>
      <c r="G17" s="88"/>
      <c r="H17" s="87">
        <f t="shared" ref="H17:I29" si="5">H16-E17</f>
        <v>4614625</v>
      </c>
      <c r="I17" s="87">
        <f t="shared" si="0"/>
        <v>134406.55339805825</v>
      </c>
      <c r="J17" s="88"/>
      <c r="K17" s="87">
        <f t="shared" si="1"/>
        <v>0</v>
      </c>
      <c r="L17" s="87">
        <f>C17+I17</f>
        <v>-4480218.4466019422</v>
      </c>
      <c r="M17" s="88"/>
      <c r="N17" s="87">
        <f>L17-K17</f>
        <v>-4480218.4466019422</v>
      </c>
      <c r="O17" s="87">
        <v>1567875</v>
      </c>
      <c r="P17" s="87">
        <f t="shared" ref="P17:P33" si="6">-O17+O16</f>
        <v>31000</v>
      </c>
      <c r="Q17" s="87">
        <f t="shared" ref="Q17:Q33" si="7">L17+O17</f>
        <v>-2912343.4466019422</v>
      </c>
      <c r="R17" s="87">
        <f>($Q$13+Q17+SUM($Q$14:Q16)*2)/24</f>
        <v>-854667.93082524277</v>
      </c>
      <c r="S17" s="87">
        <f>($L$13+L17+SUM($L$14:L16)*2)/24</f>
        <v>-1329131.4724919095</v>
      </c>
      <c r="T17" s="87">
        <f>($O$13+O17+SUM($O$14:O16)*2)/24</f>
        <v>474463.54166666669</v>
      </c>
      <c r="U17" s="478"/>
    </row>
    <row r="18" spans="1:21" ht="12.95" hidden="1" customHeight="1" outlineLevel="1">
      <c r="A18" s="86">
        <v>40390</v>
      </c>
      <c r="B18" s="87">
        <f t="shared" si="2"/>
        <v>-4614625</v>
      </c>
      <c r="C18" s="87">
        <f t="shared" si="3"/>
        <v>-4614625</v>
      </c>
      <c r="D18" s="88"/>
      <c r="E18" s="87">
        <v>0</v>
      </c>
      <c r="F18" s="87">
        <f t="shared" si="4"/>
        <v>-44802.184466019418</v>
      </c>
      <c r="G18" s="88"/>
      <c r="H18" s="87">
        <f>H17-E18</f>
        <v>4614625</v>
      </c>
      <c r="I18" s="87">
        <f t="shared" si="0"/>
        <v>179208.73786407767</v>
      </c>
      <c r="J18" s="88"/>
      <c r="K18" s="87">
        <f t="shared" si="1"/>
        <v>0</v>
      </c>
      <c r="L18" s="87">
        <f>C18+I18</f>
        <v>-4435416.262135922</v>
      </c>
      <c r="M18" s="88"/>
      <c r="N18" s="87">
        <f t="shared" ref="N18:N33" si="8">L18-K18</f>
        <v>-4435416.262135922</v>
      </c>
      <c r="O18" s="87">
        <v>1551875</v>
      </c>
      <c r="P18" s="87">
        <f t="shared" si="6"/>
        <v>16000</v>
      </c>
      <c r="Q18" s="87">
        <f t="shared" si="7"/>
        <v>-2883541.262135922</v>
      </c>
      <c r="R18" s="87">
        <f>($Q$13+Q18+SUM($Q$14:Q17)*2)/24</f>
        <v>-1096163.1270226538</v>
      </c>
      <c r="S18" s="87">
        <f>($L$13+L18+SUM($L$14:L17)*2)/24</f>
        <v>-1700616.2520226538</v>
      </c>
      <c r="T18" s="87">
        <f>($O$13+O18+SUM($O$14:O17)*2)/24</f>
        <v>604453.125</v>
      </c>
      <c r="U18" s="478"/>
    </row>
    <row r="19" spans="1:21" ht="12.95" hidden="1" customHeight="1" outlineLevel="1">
      <c r="A19" s="86">
        <v>40421</v>
      </c>
      <c r="B19" s="87">
        <f t="shared" si="2"/>
        <v>-4614625</v>
      </c>
      <c r="C19" s="87">
        <f t="shared" si="3"/>
        <v>-4614625</v>
      </c>
      <c r="D19" s="88"/>
      <c r="E19" s="87">
        <v>0</v>
      </c>
      <c r="F19" s="87">
        <f t="shared" si="4"/>
        <v>-44802.184466019418</v>
      </c>
      <c r="G19" s="88"/>
      <c r="H19" s="87">
        <f t="shared" si="5"/>
        <v>4614625</v>
      </c>
      <c r="I19" s="87">
        <f t="shared" si="0"/>
        <v>224010.92233009709</v>
      </c>
      <c r="J19" s="88"/>
      <c r="K19" s="87">
        <f t="shared" si="1"/>
        <v>0</v>
      </c>
      <c r="L19" s="87">
        <f>C19+I19</f>
        <v>-4390614.0776699027</v>
      </c>
      <c r="M19" s="88"/>
      <c r="N19" s="87">
        <f t="shared" si="8"/>
        <v>-4390614.0776699027</v>
      </c>
      <c r="O19" s="87">
        <v>1535875</v>
      </c>
      <c r="P19" s="87">
        <f t="shared" si="6"/>
        <v>16000</v>
      </c>
      <c r="Q19" s="87">
        <f t="shared" si="7"/>
        <v>-2854739.0776699027</v>
      </c>
      <c r="R19" s="87">
        <f>($Q$13+Q19+SUM($Q$14:Q18)*2)/24</f>
        <v>-1335258.1411812298</v>
      </c>
      <c r="S19" s="87">
        <f>($L$13+L19+SUM($L$14:L18)*2)/24</f>
        <v>-2068367.5161812298</v>
      </c>
      <c r="T19" s="87">
        <f>($O$13+O19+SUM($O$14:O18)*2)/24</f>
        <v>733109.375</v>
      </c>
      <c r="U19" s="478"/>
    </row>
    <row r="20" spans="1:21" ht="12.95" hidden="1" customHeight="1" outlineLevel="1">
      <c r="A20" s="86">
        <v>40451</v>
      </c>
      <c r="B20" s="87">
        <f t="shared" si="2"/>
        <v>-4614625</v>
      </c>
      <c r="C20" s="87">
        <f t="shared" si="3"/>
        <v>-4614625</v>
      </c>
      <c r="D20" s="88"/>
      <c r="E20" s="87">
        <v>0</v>
      </c>
      <c r="F20" s="87">
        <f t="shared" si="4"/>
        <v>-44802.184466019418</v>
      </c>
      <c r="G20" s="88"/>
      <c r="H20" s="87">
        <f t="shared" si="5"/>
        <v>4614625</v>
      </c>
      <c r="I20" s="87">
        <f t="shared" si="5"/>
        <v>268813.10679611651</v>
      </c>
      <c r="J20" s="88"/>
      <c r="K20" s="87">
        <f t="shared" si="1"/>
        <v>0</v>
      </c>
      <c r="L20" s="87">
        <f t="shared" si="1"/>
        <v>-4345811.8932038834</v>
      </c>
      <c r="M20" s="88"/>
      <c r="N20" s="87">
        <f t="shared" si="8"/>
        <v>-4345811.8932038834</v>
      </c>
      <c r="O20" s="87">
        <v>1521035</v>
      </c>
      <c r="P20" s="87">
        <f t="shared" si="6"/>
        <v>14840</v>
      </c>
      <c r="Q20" s="87">
        <f>L20+O20</f>
        <v>-2824776.8932038834</v>
      </c>
      <c r="R20" s="87">
        <f>($Q$13+Q20+SUM($Q$14:Q19)*2)/24</f>
        <v>-1571904.6399676378</v>
      </c>
      <c r="S20" s="87">
        <f>($L$13+L20+SUM($L$14:L19)*2)/24</f>
        <v>-2432385.2649676376</v>
      </c>
      <c r="T20" s="87">
        <f>($O$13+O20+SUM($O$14:O19)*2)/24</f>
        <v>860480.625</v>
      </c>
      <c r="U20" s="478"/>
    </row>
    <row r="21" spans="1:21" ht="12.95" hidden="1" customHeight="1" outlineLevel="1">
      <c r="A21" s="86">
        <v>40482</v>
      </c>
      <c r="B21" s="87">
        <f t="shared" si="2"/>
        <v>-4614625</v>
      </c>
      <c r="C21" s="87">
        <f t="shared" si="3"/>
        <v>-4614625</v>
      </c>
      <c r="D21" s="88"/>
      <c r="E21" s="87">
        <v>0</v>
      </c>
      <c r="F21" s="87">
        <f t="shared" si="4"/>
        <v>-44802.184466019418</v>
      </c>
      <c r="G21" s="88"/>
      <c r="H21" s="87">
        <f t="shared" si="5"/>
        <v>4614625</v>
      </c>
      <c r="I21" s="87">
        <f t="shared" si="5"/>
        <v>313615.29126213596</v>
      </c>
      <c r="J21" s="88"/>
      <c r="K21" s="87">
        <f t="shared" si="1"/>
        <v>0</v>
      </c>
      <c r="L21" s="87">
        <f t="shared" si="1"/>
        <v>-4301009.7087378642</v>
      </c>
      <c r="M21" s="88"/>
      <c r="N21" s="87">
        <f t="shared" si="8"/>
        <v>-4301009.7087378642</v>
      </c>
      <c r="O21" s="87">
        <v>1505354</v>
      </c>
      <c r="P21" s="87">
        <f t="shared" si="6"/>
        <v>15681</v>
      </c>
      <c r="Q21" s="87">
        <f t="shared" si="7"/>
        <v>-2795655.7087378642</v>
      </c>
      <c r="R21" s="87">
        <f>($Q$13+Q21+SUM($Q$14:Q20)*2)/24</f>
        <v>-1806089.3317152106</v>
      </c>
      <c r="S21" s="87">
        <f>($L$13+L21+SUM($L$14:L20)*2)/24</f>
        <v>-2792669.4983818773</v>
      </c>
      <c r="T21" s="87">
        <f>($O$13+O21+SUM($O$14:O20)*2)/24</f>
        <v>986580.16666666663</v>
      </c>
      <c r="U21" s="478"/>
    </row>
    <row r="22" spans="1:21" ht="12.95" hidden="1" customHeight="1" outlineLevel="1">
      <c r="A22" s="86">
        <v>40512</v>
      </c>
      <c r="B22" s="87">
        <f t="shared" si="2"/>
        <v>-4614625</v>
      </c>
      <c r="C22" s="87">
        <f t="shared" si="3"/>
        <v>-4614625</v>
      </c>
      <c r="D22" s="88"/>
      <c r="E22" s="87">
        <v>0</v>
      </c>
      <c r="F22" s="87">
        <f t="shared" si="4"/>
        <v>-44802.184466019418</v>
      </c>
      <c r="G22" s="88"/>
      <c r="H22" s="87">
        <f t="shared" si="5"/>
        <v>4614625</v>
      </c>
      <c r="I22" s="87">
        <f t="shared" si="5"/>
        <v>358417.47572815535</v>
      </c>
      <c r="J22" s="88"/>
      <c r="K22" s="87">
        <f t="shared" si="1"/>
        <v>0</v>
      </c>
      <c r="L22" s="87">
        <f t="shared" si="1"/>
        <v>-4256207.5242718449</v>
      </c>
      <c r="M22" s="88"/>
      <c r="N22" s="87">
        <f t="shared" si="8"/>
        <v>-4256207.5242718449</v>
      </c>
      <c r="O22" s="87">
        <v>1489673</v>
      </c>
      <c r="P22" s="87">
        <f t="shared" si="6"/>
        <v>15681</v>
      </c>
      <c r="Q22" s="87">
        <f t="shared" si="7"/>
        <v>-2766534.5242718449</v>
      </c>
      <c r="R22" s="87">
        <f>($Q$13+Q22+SUM($Q$14:Q21)*2)/24</f>
        <v>-2037847.2580906153</v>
      </c>
      <c r="S22" s="87">
        <f>($L$13+L22+SUM($L$14:L21)*2)/24</f>
        <v>-3149220.2164239488</v>
      </c>
      <c r="T22" s="87">
        <f>($O$13+O22+SUM($O$14:O21)*2)/24</f>
        <v>1111372.9583333333</v>
      </c>
      <c r="U22" s="478"/>
    </row>
    <row r="23" spans="1:21" ht="12.95" hidden="1" customHeight="1" outlineLevel="1">
      <c r="A23" s="86">
        <v>40543</v>
      </c>
      <c r="B23" s="87">
        <f t="shared" si="2"/>
        <v>-4614625</v>
      </c>
      <c r="C23" s="87">
        <f t="shared" si="3"/>
        <v>-4614625</v>
      </c>
      <c r="D23" s="88"/>
      <c r="E23" s="87">
        <v>0</v>
      </c>
      <c r="F23" s="87">
        <f t="shared" si="4"/>
        <v>-44802.184466019418</v>
      </c>
      <c r="G23" s="88"/>
      <c r="H23" s="87">
        <f t="shared" si="5"/>
        <v>4614625</v>
      </c>
      <c r="I23" s="87">
        <f t="shared" si="5"/>
        <v>403219.66019417474</v>
      </c>
      <c r="J23" s="88"/>
      <c r="K23" s="87">
        <f t="shared" si="1"/>
        <v>0</v>
      </c>
      <c r="L23" s="87">
        <f t="shared" si="1"/>
        <v>-4211405.3398058256</v>
      </c>
      <c r="M23" s="88"/>
      <c r="N23" s="87">
        <f t="shared" si="8"/>
        <v>-4211405.3398058256</v>
      </c>
      <c r="O23" s="87">
        <f t="shared" ref="O23:O33" si="9">-N23*$O$10</f>
        <v>1473991.8689320388</v>
      </c>
      <c r="P23" s="87">
        <f t="shared" si="6"/>
        <v>15681.131067961222</v>
      </c>
      <c r="Q23" s="87">
        <f>L23+O23</f>
        <v>-2737413.4708737871</v>
      </c>
      <c r="R23" s="87">
        <f>($Q$13+Q23+SUM($Q$14:Q22)*2)/24</f>
        <v>-2267178.4245550167</v>
      </c>
      <c r="S23" s="87">
        <f>($L$13+L23+SUM($L$14:L22)*2)/24</f>
        <v>-3502037.4190938515</v>
      </c>
      <c r="T23" s="87">
        <f>($O$13+O23+SUM($O$14:O22)*2)/24</f>
        <v>1234858.994538835</v>
      </c>
      <c r="U23" s="478"/>
    </row>
    <row r="24" spans="1:21" ht="12.95" hidden="1" customHeight="1" outlineLevel="1">
      <c r="A24" s="86">
        <v>40574</v>
      </c>
      <c r="B24" s="87">
        <f t="shared" si="2"/>
        <v>-4614625</v>
      </c>
      <c r="C24" s="87">
        <f t="shared" si="3"/>
        <v>-4614625</v>
      </c>
      <c r="D24" s="88"/>
      <c r="E24" s="87">
        <v>0</v>
      </c>
      <c r="F24" s="87">
        <f t="shared" si="4"/>
        <v>-44802.184466019418</v>
      </c>
      <c r="G24" s="88"/>
      <c r="H24" s="87">
        <f t="shared" si="5"/>
        <v>4614625</v>
      </c>
      <c r="I24" s="87">
        <f t="shared" si="5"/>
        <v>448021.84466019413</v>
      </c>
      <c r="J24" s="88"/>
      <c r="K24" s="87">
        <f t="shared" si="1"/>
        <v>0</v>
      </c>
      <c r="L24" s="87">
        <f t="shared" si="1"/>
        <v>-4166603.1553398059</v>
      </c>
      <c r="M24" s="88"/>
      <c r="N24" s="87">
        <f t="shared" si="8"/>
        <v>-4166603.1553398059</v>
      </c>
      <c r="O24" s="87">
        <f t="shared" si="9"/>
        <v>1458311.1043689321</v>
      </c>
      <c r="P24" s="87">
        <f t="shared" si="6"/>
        <v>15680.764563106699</v>
      </c>
      <c r="Q24" s="87">
        <f t="shared" si="7"/>
        <v>-2708292.0509708738</v>
      </c>
      <c r="R24" s="87">
        <f>($Q$13+Q24+SUM($Q$14:Q23)*2)/24</f>
        <v>-2494082.8212985443</v>
      </c>
      <c r="S24" s="87">
        <f>($L$13+L24+SUM($L$14:L23)*2)/24</f>
        <v>-3851121.1063915864</v>
      </c>
      <c r="T24" s="87">
        <f>($O$13+O24+SUM($O$14:O23)*2)/24</f>
        <v>1357038.2850930421</v>
      </c>
      <c r="U24" s="478"/>
    </row>
    <row r="25" spans="1:21" ht="12.95" hidden="1" customHeight="1" outlineLevel="1">
      <c r="A25" s="86">
        <v>40602</v>
      </c>
      <c r="B25" s="87">
        <f t="shared" si="2"/>
        <v>-4614625</v>
      </c>
      <c r="C25" s="87">
        <f t="shared" si="3"/>
        <v>-4614625</v>
      </c>
      <c r="D25" s="88"/>
      <c r="E25" s="87">
        <v>0</v>
      </c>
      <c r="F25" s="87">
        <f t="shared" si="4"/>
        <v>-44802.184466019418</v>
      </c>
      <c r="G25" s="88"/>
      <c r="H25" s="87">
        <f t="shared" si="5"/>
        <v>4614625</v>
      </c>
      <c r="I25" s="87">
        <f t="shared" si="5"/>
        <v>492824.02912621351</v>
      </c>
      <c r="J25" s="88"/>
      <c r="K25" s="87">
        <f t="shared" si="1"/>
        <v>0</v>
      </c>
      <c r="L25" s="87">
        <f t="shared" si="1"/>
        <v>-4121800.9708737866</v>
      </c>
      <c r="M25" s="88"/>
      <c r="N25" s="87">
        <f t="shared" si="8"/>
        <v>-4121800.9708737866</v>
      </c>
      <c r="O25" s="87">
        <f t="shared" si="9"/>
        <v>1442630.3398058251</v>
      </c>
      <c r="P25" s="87">
        <f t="shared" si="6"/>
        <v>15680.764563106932</v>
      </c>
      <c r="Q25" s="87">
        <f t="shared" si="7"/>
        <v>-2679170.6310679615</v>
      </c>
      <c r="R25" s="87">
        <f>($Q$13+Q25+SUM($Q$14:Q24)*2)/24</f>
        <v>-2718560.4330501626</v>
      </c>
      <c r="S25" s="87">
        <f>($L$13+L25+SUM($L$14:L24)*2)/24</f>
        <v>-4196471.2783171525</v>
      </c>
      <c r="T25" s="87">
        <f>($O$13+O25+SUM($O$14:O24)*2)/24</f>
        <v>1477910.8452669904</v>
      </c>
      <c r="U25" s="478"/>
    </row>
    <row r="26" spans="1:21" ht="12.95" hidden="1" customHeight="1" outlineLevel="1">
      <c r="A26" s="86">
        <v>40633</v>
      </c>
      <c r="B26" s="87">
        <f t="shared" si="2"/>
        <v>-4614625</v>
      </c>
      <c r="C26" s="87">
        <f t="shared" si="3"/>
        <v>-4614625</v>
      </c>
      <c r="D26" s="88"/>
      <c r="E26" s="87">
        <v>0</v>
      </c>
      <c r="F26" s="87">
        <f t="shared" si="4"/>
        <v>-44802.184466019418</v>
      </c>
      <c r="G26" s="88"/>
      <c r="H26" s="87">
        <f t="shared" si="5"/>
        <v>4614625</v>
      </c>
      <c r="I26" s="87">
        <f t="shared" si="5"/>
        <v>537626.2135922329</v>
      </c>
      <c r="J26" s="88"/>
      <c r="K26" s="87">
        <f t="shared" si="1"/>
        <v>0</v>
      </c>
      <c r="L26" s="87">
        <f t="shared" si="1"/>
        <v>-4076998.7864077669</v>
      </c>
      <c r="M26" s="88"/>
      <c r="N26" s="87">
        <f t="shared" si="8"/>
        <v>-4076998.7864077669</v>
      </c>
      <c r="O26" s="87">
        <f t="shared" si="9"/>
        <v>1426949.5752427182</v>
      </c>
      <c r="P26" s="87">
        <f t="shared" si="6"/>
        <v>15680.764563106932</v>
      </c>
      <c r="Q26" s="87">
        <f t="shared" si="7"/>
        <v>-2650049.2111650486</v>
      </c>
      <c r="R26" s="87">
        <f>(Q14+Q26+SUM(Q15:Q25)*2)/24</f>
        <v>-2818996.6764765382</v>
      </c>
      <c r="S26" s="87">
        <f>($L$13+L26+SUM($L$14:L25)*2)/24</f>
        <v>-4538087.9348705513</v>
      </c>
      <c r="T26" s="87">
        <f>($O$14+O26+SUM($O$15:O25)*2)/24</f>
        <v>1526815.2167273462</v>
      </c>
      <c r="U26" s="478"/>
    </row>
    <row r="27" spans="1:21" ht="12.95" hidden="1" customHeight="1" outlineLevel="1">
      <c r="A27" s="86">
        <v>40663</v>
      </c>
      <c r="B27" s="87">
        <f t="shared" si="2"/>
        <v>-4614625</v>
      </c>
      <c r="C27" s="87">
        <f t="shared" si="3"/>
        <v>-4614625</v>
      </c>
      <c r="D27" s="88"/>
      <c r="E27" s="87">
        <v>0</v>
      </c>
      <c r="F27" s="87">
        <f t="shared" si="4"/>
        <v>-44802.184466019418</v>
      </c>
      <c r="G27" s="88"/>
      <c r="H27" s="87">
        <f t="shared" si="5"/>
        <v>4614625</v>
      </c>
      <c r="I27" s="87">
        <f t="shared" si="5"/>
        <v>582428.39805825229</v>
      </c>
      <c r="J27" s="88"/>
      <c r="K27" s="87">
        <f t="shared" si="1"/>
        <v>0</v>
      </c>
      <c r="L27" s="87">
        <f t="shared" si="1"/>
        <v>-4032196.6019417476</v>
      </c>
      <c r="M27" s="88"/>
      <c r="N27" s="87">
        <f t="shared" si="8"/>
        <v>-4032196.6019417476</v>
      </c>
      <c r="O27" s="87">
        <f t="shared" si="9"/>
        <v>1411268.8106796115</v>
      </c>
      <c r="P27" s="87">
        <f t="shared" si="6"/>
        <v>15680.764563106699</v>
      </c>
      <c r="Q27" s="87">
        <f t="shared" si="7"/>
        <v>-2620927.7912621358</v>
      </c>
      <c r="R27" s="87">
        <f t="shared" ref="R27:R46" si="10">(Q15+Q27+SUM(Q16:Q26)*2)/24</f>
        <v>-2793883.3092637546</v>
      </c>
      <c r="S27" s="87">
        <f>($L$15+L27+SUM($L$16:L26)*2)/24</f>
        <v>-4301009.7087378651</v>
      </c>
      <c r="T27" s="87">
        <f>($O$15+O27+SUM($O$16:O26)*2)/24</f>
        <v>1507126.3994741102</v>
      </c>
      <c r="U27" s="478"/>
    </row>
    <row r="28" spans="1:21" ht="12.95" hidden="1" customHeight="1" outlineLevel="1">
      <c r="A28" s="86">
        <v>40694</v>
      </c>
      <c r="B28" s="87">
        <f t="shared" si="2"/>
        <v>-4614625</v>
      </c>
      <c r="C28" s="87">
        <f t="shared" si="3"/>
        <v>-4614625</v>
      </c>
      <c r="D28" s="88"/>
      <c r="E28" s="87">
        <v>0</v>
      </c>
      <c r="F28" s="87">
        <f t="shared" si="4"/>
        <v>-44802.184466019418</v>
      </c>
      <c r="G28" s="88"/>
      <c r="H28" s="87">
        <f t="shared" si="5"/>
        <v>4614625</v>
      </c>
      <c r="I28" s="87">
        <f t="shared" si="5"/>
        <v>627230.58252427168</v>
      </c>
      <c r="J28" s="88"/>
      <c r="K28" s="87">
        <f t="shared" si="1"/>
        <v>0</v>
      </c>
      <c r="L28" s="87">
        <f t="shared" si="1"/>
        <v>-3987394.4174757283</v>
      </c>
      <c r="M28" s="88"/>
      <c r="N28" s="87">
        <f t="shared" si="8"/>
        <v>-3987394.4174757283</v>
      </c>
      <c r="O28" s="87">
        <f t="shared" si="9"/>
        <v>1395588.0461165048</v>
      </c>
      <c r="P28" s="87">
        <f t="shared" si="6"/>
        <v>15680.764563106699</v>
      </c>
      <c r="Q28" s="87">
        <f t="shared" si="7"/>
        <v>-2591806.3713592235</v>
      </c>
      <c r="R28" s="87">
        <f t="shared" si="10"/>
        <v>-2766035.0057645631</v>
      </c>
      <c r="S28" s="87">
        <f>($L$16+L28+SUM($L$17:L27)*2)/24</f>
        <v>-4256207.5242718458</v>
      </c>
      <c r="T28" s="87">
        <f>($O$16+O28+SUM($O$17:O27)*2)/24</f>
        <v>1490172.5185072813</v>
      </c>
      <c r="U28" s="478"/>
    </row>
    <row r="29" spans="1:21" ht="12.95" hidden="1" customHeight="1" outlineLevel="1">
      <c r="A29" s="86">
        <v>40724</v>
      </c>
      <c r="B29" s="32">
        <f t="shared" si="2"/>
        <v>-4614625</v>
      </c>
      <c r="C29" s="32">
        <f t="shared" si="3"/>
        <v>-4614625</v>
      </c>
      <c r="D29" s="31"/>
      <c r="E29" s="32">
        <v>0</v>
      </c>
      <c r="F29" s="87">
        <f t="shared" si="4"/>
        <v>-44802.184466019418</v>
      </c>
      <c r="G29" s="31"/>
      <c r="H29" s="32">
        <f t="shared" si="5"/>
        <v>4614625</v>
      </c>
      <c r="I29" s="32">
        <f t="shared" si="5"/>
        <v>672032.76699029107</v>
      </c>
      <c r="J29" s="31"/>
      <c r="K29" s="32">
        <f t="shared" ref="K29:L47" si="11">B29+H29</f>
        <v>0</v>
      </c>
      <c r="L29" s="32">
        <f t="shared" si="11"/>
        <v>-3942592.233009709</v>
      </c>
      <c r="M29" s="31"/>
      <c r="N29" s="32">
        <f t="shared" si="8"/>
        <v>-3942592.233009709</v>
      </c>
      <c r="O29" s="32">
        <f t="shared" si="9"/>
        <v>1379907.2815533981</v>
      </c>
      <c r="P29" s="32">
        <f t="shared" si="6"/>
        <v>15680.764563106699</v>
      </c>
      <c r="Q29" s="32">
        <f t="shared" si="7"/>
        <v>-2562684.9514563112</v>
      </c>
      <c r="R29" s="32">
        <f>(Q17+Q29+SUM(Q18:Q28)*2)/24</f>
        <v>-2737535.099312298</v>
      </c>
      <c r="S29" s="87">
        <f>($L$17+L29+SUM($L$18:L28)*2)/24</f>
        <v>-4211405.3398058256</v>
      </c>
      <c r="T29" s="87">
        <f>($O$17+O29+SUM($O$18:O28)*2)/24</f>
        <v>1473870.2404935274</v>
      </c>
      <c r="U29" s="478"/>
    </row>
    <row r="30" spans="1:21" ht="12.95" hidden="1" customHeight="1" outlineLevel="1">
      <c r="A30" s="86">
        <v>40755</v>
      </c>
      <c r="B30" s="87">
        <f t="shared" si="2"/>
        <v>-4614625</v>
      </c>
      <c r="C30" s="87">
        <f t="shared" si="3"/>
        <v>-4614625</v>
      </c>
      <c r="D30" s="88"/>
      <c r="E30" s="87">
        <v>0</v>
      </c>
      <c r="F30" s="87">
        <f t="shared" si="4"/>
        <v>-44802.184466019418</v>
      </c>
      <c r="G30" s="88"/>
      <c r="H30" s="87">
        <f t="shared" ref="H30:I33" si="12">H29-E30</f>
        <v>4614625</v>
      </c>
      <c r="I30" s="87">
        <f t="shared" si="12"/>
        <v>716834.95145631046</v>
      </c>
      <c r="J30" s="88"/>
      <c r="K30" s="87">
        <f t="shared" si="11"/>
        <v>0</v>
      </c>
      <c r="L30" s="87">
        <f t="shared" si="11"/>
        <v>-3897790.0485436898</v>
      </c>
      <c r="M30" s="88"/>
      <c r="N30" s="87">
        <f t="shared" si="8"/>
        <v>-3897790.0485436898</v>
      </c>
      <c r="O30" s="87">
        <f t="shared" si="9"/>
        <v>1364226.5169902914</v>
      </c>
      <c r="P30" s="87">
        <f t="shared" si="6"/>
        <v>15680.764563106699</v>
      </c>
      <c r="Q30" s="87">
        <f t="shared" si="7"/>
        <v>-2533563.5315533984</v>
      </c>
      <c r="R30" s="87">
        <f t="shared" si="10"/>
        <v>-2708383.5899069584</v>
      </c>
      <c r="S30" s="87">
        <f>(L18+L30+SUM(L19:L29)*2)/24</f>
        <v>-4166603.1553398068</v>
      </c>
      <c r="T30" s="87">
        <f>(O18+O30+SUM(O19:O29)*2)/24</f>
        <v>1458219.5654328477</v>
      </c>
      <c r="U30" s="478"/>
    </row>
    <row r="31" spans="1:21" ht="12.95" hidden="1" customHeight="1" outlineLevel="1">
      <c r="A31" s="86">
        <v>40786</v>
      </c>
      <c r="B31" s="87">
        <f t="shared" si="2"/>
        <v>-4614625</v>
      </c>
      <c r="C31" s="87">
        <f t="shared" si="3"/>
        <v>-4614625</v>
      </c>
      <c r="D31" s="88"/>
      <c r="E31" s="87">
        <v>0</v>
      </c>
      <c r="F31" s="87">
        <f t="shared" si="4"/>
        <v>-44802.184466019418</v>
      </c>
      <c r="G31" s="88"/>
      <c r="H31" s="87">
        <f t="shared" si="12"/>
        <v>4614625</v>
      </c>
      <c r="I31" s="87">
        <f t="shared" si="12"/>
        <v>761637.13592232985</v>
      </c>
      <c r="J31" s="88"/>
      <c r="K31" s="87">
        <f t="shared" si="11"/>
        <v>0</v>
      </c>
      <c r="L31" s="87">
        <f t="shared" si="11"/>
        <v>-3852987.86407767</v>
      </c>
      <c r="M31" s="88"/>
      <c r="N31" s="87">
        <f t="shared" si="8"/>
        <v>-3852987.86407767</v>
      </c>
      <c r="O31" s="87">
        <f t="shared" si="9"/>
        <v>1348545.7524271845</v>
      </c>
      <c r="P31" s="87">
        <f t="shared" si="6"/>
        <v>15680.764563106932</v>
      </c>
      <c r="Q31" s="87">
        <f t="shared" si="7"/>
        <v>-2504442.1116504855</v>
      </c>
      <c r="R31" s="87">
        <f t="shared" si="10"/>
        <v>-2679205.4775485438</v>
      </c>
      <c r="S31" s="87">
        <f>(L19+L31+SUM(L20:L30)*2)/24</f>
        <v>-4121800.9708737875</v>
      </c>
      <c r="T31" s="87">
        <f>(O19+O31+SUM(O20:O30)*2)/24</f>
        <v>1442595.4933252428</v>
      </c>
      <c r="U31" s="478"/>
    </row>
    <row r="32" spans="1:21" ht="12.95" hidden="1" customHeight="1" outlineLevel="1">
      <c r="A32" s="86">
        <v>40816</v>
      </c>
      <c r="B32" s="87">
        <f t="shared" si="2"/>
        <v>-4614625</v>
      </c>
      <c r="C32" s="87">
        <f t="shared" si="3"/>
        <v>-4614625</v>
      </c>
      <c r="D32" s="88"/>
      <c r="E32" s="87">
        <v>0</v>
      </c>
      <c r="F32" s="87">
        <f t="shared" si="4"/>
        <v>-44802.184466019418</v>
      </c>
      <c r="G32" s="88"/>
      <c r="H32" s="87">
        <f t="shared" si="12"/>
        <v>4614625</v>
      </c>
      <c r="I32" s="87">
        <f t="shared" si="12"/>
        <v>806439.32038834924</v>
      </c>
      <c r="J32" s="88"/>
      <c r="K32" s="87">
        <f t="shared" si="11"/>
        <v>0</v>
      </c>
      <c r="L32" s="87">
        <f t="shared" si="11"/>
        <v>-3808185.6796116508</v>
      </c>
      <c r="M32" s="88"/>
      <c r="N32" s="87">
        <f t="shared" si="8"/>
        <v>-3808185.6796116508</v>
      </c>
      <c r="O32" s="87">
        <f t="shared" si="9"/>
        <v>1332864.9878640778</v>
      </c>
      <c r="P32" s="87">
        <f t="shared" si="6"/>
        <v>15680.764563106699</v>
      </c>
      <c r="Q32" s="87">
        <f t="shared" si="7"/>
        <v>-2475320.6917475732</v>
      </c>
      <c r="R32" s="87">
        <f t="shared" si="10"/>
        <v>-2650049.0955703887</v>
      </c>
      <c r="S32" s="87">
        <f>(L20+L32+SUM(L21:L31)*2)/24</f>
        <v>-4076998.7864077683</v>
      </c>
      <c r="T32" s="87">
        <f>(O20+O32+SUM(O21:O31)*2)/24</f>
        <v>1426949.6908373786</v>
      </c>
      <c r="U32" s="478"/>
    </row>
    <row r="33" spans="1:21" ht="12.95" hidden="1" customHeight="1" outlineLevel="1">
      <c r="A33" s="86">
        <v>40847</v>
      </c>
      <c r="B33" s="87">
        <f t="shared" si="2"/>
        <v>-4614625</v>
      </c>
      <c r="C33" s="87">
        <f t="shared" si="3"/>
        <v>-4614625</v>
      </c>
      <c r="D33" s="88"/>
      <c r="E33" s="87">
        <v>0</v>
      </c>
      <c r="F33" s="87">
        <f t="shared" si="4"/>
        <v>-44802.184466019418</v>
      </c>
      <c r="G33" s="88"/>
      <c r="H33" s="87">
        <f t="shared" si="12"/>
        <v>4614625</v>
      </c>
      <c r="I33" s="87">
        <f t="shared" si="12"/>
        <v>851241.50485436863</v>
      </c>
      <c r="J33" s="88"/>
      <c r="K33" s="87">
        <f t="shared" si="11"/>
        <v>0</v>
      </c>
      <c r="L33" s="87">
        <f t="shared" si="11"/>
        <v>-3763383.4951456315</v>
      </c>
      <c r="M33" s="88"/>
      <c r="N33" s="87">
        <f t="shared" si="8"/>
        <v>-3763383.4951456315</v>
      </c>
      <c r="O33" s="87">
        <f t="shared" si="9"/>
        <v>1317184.2233009709</v>
      </c>
      <c r="P33" s="87">
        <f t="shared" si="6"/>
        <v>15680.764563106932</v>
      </c>
      <c r="Q33" s="87">
        <f t="shared" si="7"/>
        <v>-2446199.2718446609</v>
      </c>
      <c r="R33" s="87">
        <f t="shared" si="10"/>
        <v>-2620927.7356391591</v>
      </c>
      <c r="S33" s="87">
        <f>(L21+L33+SUM(L22:L32)*2)/24</f>
        <v>-4032196.601941749</v>
      </c>
      <c r="T33" s="87">
        <f>(O21+O33+SUM(O22:O32)*2)/24</f>
        <v>1411268.866302589</v>
      </c>
      <c r="U33" s="478"/>
    </row>
    <row r="34" spans="1:21" ht="12.95" hidden="1" customHeight="1" outlineLevel="1">
      <c r="A34" s="86">
        <v>40877</v>
      </c>
      <c r="B34" s="87">
        <f t="shared" si="2"/>
        <v>-4614625</v>
      </c>
      <c r="C34" s="87">
        <f>C33</f>
        <v>-4614625</v>
      </c>
      <c r="D34" s="88"/>
      <c r="E34" s="87">
        <v>0</v>
      </c>
      <c r="F34" s="87">
        <f t="shared" si="4"/>
        <v>-44802.184466019418</v>
      </c>
      <c r="G34" s="88"/>
      <c r="H34" s="87">
        <f>H33-E34</f>
        <v>4614625</v>
      </c>
      <c r="I34" s="87">
        <f>I33-F34</f>
        <v>896043.68932038802</v>
      </c>
      <c r="J34" s="88"/>
      <c r="K34" s="87">
        <f t="shared" si="11"/>
        <v>0</v>
      </c>
      <c r="L34" s="87">
        <f>C34+I34</f>
        <v>-3718581.3106796117</v>
      </c>
      <c r="M34" s="88"/>
      <c r="N34" s="87">
        <f>L34-K34</f>
        <v>-3718581.3106796117</v>
      </c>
      <c r="O34" s="87">
        <f>-N34*$O$10</f>
        <v>1301503.4587378639</v>
      </c>
      <c r="P34" s="87">
        <f>-O34+O33</f>
        <v>15680.764563106932</v>
      </c>
      <c r="Q34" s="87">
        <f>L34+O34</f>
        <v>-2417077.8519417476</v>
      </c>
      <c r="R34" s="87">
        <f t="shared" si="10"/>
        <v>-2591806.356088188</v>
      </c>
      <c r="S34" s="87">
        <f t="shared" ref="S34:S43" si="13">(L22+L34+SUM(L23:L33)*2)/24</f>
        <v>-3987394.4174757297</v>
      </c>
      <c r="T34" s="87">
        <f t="shared" ref="T34:T43" si="14">(O22+O34+SUM(O23:O33)*2)/24</f>
        <v>1395588.0613875405</v>
      </c>
      <c r="U34" s="478"/>
    </row>
    <row r="35" spans="1:21" ht="12.95" hidden="1" customHeight="1" outlineLevel="1">
      <c r="A35" s="86">
        <v>40908</v>
      </c>
      <c r="B35" s="87">
        <f t="shared" si="2"/>
        <v>-4614625</v>
      </c>
      <c r="C35" s="87">
        <f t="shared" si="3"/>
        <v>-4614625</v>
      </c>
      <c r="D35" s="88"/>
      <c r="E35" s="87">
        <v>0</v>
      </c>
      <c r="F35" s="87">
        <f t="shared" si="4"/>
        <v>-44802.184466019418</v>
      </c>
      <c r="G35" s="88"/>
      <c r="H35" s="87">
        <f t="shared" ref="H35:I47" si="15">H34-E35</f>
        <v>4614625</v>
      </c>
      <c r="I35" s="87">
        <f t="shared" si="15"/>
        <v>940845.87378640741</v>
      </c>
      <c r="J35" s="88"/>
      <c r="K35" s="87">
        <f t="shared" si="11"/>
        <v>0</v>
      </c>
      <c r="L35" s="87">
        <f t="shared" si="11"/>
        <v>-3673779.1262135925</v>
      </c>
      <c r="M35" s="123"/>
      <c r="N35" s="87">
        <f t="shared" ref="N35:N47" si="16">L35-K35</f>
        <v>-3673779.1262135925</v>
      </c>
      <c r="O35" s="87">
        <f t="shared" ref="O35:O47" si="17">-N35*$O$10</f>
        <v>1285822.6941747572</v>
      </c>
      <c r="P35" s="87">
        <f t="shared" ref="P35:P46" si="18">-O35+O34</f>
        <v>15680.764563106699</v>
      </c>
      <c r="Q35" s="87">
        <f t="shared" ref="Q35:Q47" si="19">L35+O35</f>
        <v>-2387956.4320388352</v>
      </c>
      <c r="R35" s="87">
        <f>(Q23+Q35+SUM(Q24:Q34)*2)/24</f>
        <v>-2562684.9514563112</v>
      </c>
      <c r="S35" s="87">
        <f t="shared" si="13"/>
        <v>-3942592.2330097095</v>
      </c>
      <c r="T35" s="87">
        <f t="shared" si="14"/>
        <v>1379907.2815533979</v>
      </c>
      <c r="U35" s="478"/>
    </row>
    <row r="36" spans="1:21" ht="12.95" hidden="1" customHeight="1" outlineLevel="1">
      <c r="A36" s="86">
        <v>40939</v>
      </c>
      <c r="B36" s="87">
        <f t="shared" si="2"/>
        <v>-4614625</v>
      </c>
      <c r="C36" s="87">
        <f t="shared" si="3"/>
        <v>-4614625</v>
      </c>
      <c r="D36" s="128"/>
      <c r="E36" s="87">
        <v>0</v>
      </c>
      <c r="F36" s="87">
        <f t="shared" si="4"/>
        <v>-44802.184466019418</v>
      </c>
      <c r="G36" s="128"/>
      <c r="H36" s="87">
        <f t="shared" si="15"/>
        <v>4614625</v>
      </c>
      <c r="I36" s="87">
        <f t="shared" si="15"/>
        <v>985648.0582524268</v>
      </c>
      <c r="J36" s="128"/>
      <c r="K36" s="87">
        <f t="shared" si="11"/>
        <v>0</v>
      </c>
      <c r="L36" s="87">
        <f t="shared" si="11"/>
        <v>-3628976.9417475732</v>
      </c>
      <c r="M36" s="128"/>
      <c r="N36" s="87">
        <f t="shared" si="16"/>
        <v>-3628976.9417475732</v>
      </c>
      <c r="O36" s="87">
        <f t="shared" si="17"/>
        <v>1270141.9296116505</v>
      </c>
      <c r="P36" s="87">
        <f t="shared" si="18"/>
        <v>15680.764563106699</v>
      </c>
      <c r="Q36" s="87">
        <f t="shared" si="19"/>
        <v>-2358835.0121359229</v>
      </c>
      <c r="R36" s="87">
        <f t="shared" si="10"/>
        <v>-2533563.5315533984</v>
      </c>
      <c r="S36" s="87">
        <f t="shared" si="13"/>
        <v>-3897790.0485436902</v>
      </c>
      <c r="T36" s="87">
        <f t="shared" si="14"/>
        <v>1364226.5169902912</v>
      </c>
      <c r="U36" s="478"/>
    </row>
    <row r="37" spans="1:21" ht="12.95" hidden="1" customHeight="1" outlineLevel="1">
      <c r="A37" s="86">
        <v>40967</v>
      </c>
      <c r="B37" s="87">
        <f t="shared" si="2"/>
        <v>-4614625</v>
      </c>
      <c r="C37" s="87">
        <f t="shared" si="3"/>
        <v>-4614625</v>
      </c>
      <c r="D37" s="128"/>
      <c r="E37" s="87">
        <v>0</v>
      </c>
      <c r="F37" s="87">
        <f t="shared" si="4"/>
        <v>-44802.184466019418</v>
      </c>
      <c r="G37" s="128"/>
      <c r="H37" s="87">
        <f t="shared" si="15"/>
        <v>4614625</v>
      </c>
      <c r="I37" s="87">
        <f t="shared" si="15"/>
        <v>1030450.2427184462</v>
      </c>
      <c r="J37" s="128"/>
      <c r="K37" s="87">
        <f t="shared" si="11"/>
        <v>0</v>
      </c>
      <c r="L37" s="87">
        <f t="shared" si="11"/>
        <v>-3584174.7572815539</v>
      </c>
      <c r="M37" s="128"/>
      <c r="N37" s="87">
        <f t="shared" si="16"/>
        <v>-3584174.7572815539</v>
      </c>
      <c r="O37" s="87">
        <f t="shared" si="17"/>
        <v>1254461.1650485438</v>
      </c>
      <c r="P37" s="87">
        <f t="shared" si="18"/>
        <v>15680.764563106699</v>
      </c>
      <c r="Q37" s="87">
        <f t="shared" si="19"/>
        <v>-2329713.5922330101</v>
      </c>
      <c r="R37" s="87">
        <f t="shared" si="10"/>
        <v>-2504442.111650486</v>
      </c>
      <c r="S37" s="87">
        <f t="shared" si="13"/>
        <v>-3852987.8640776705</v>
      </c>
      <c r="T37" s="87">
        <f t="shared" si="14"/>
        <v>1348545.7524271845</v>
      </c>
      <c r="U37" s="478"/>
    </row>
    <row r="38" spans="1:21" ht="12.95" hidden="1" customHeight="1" outlineLevel="1">
      <c r="A38" s="85">
        <v>40999</v>
      </c>
      <c r="B38" s="32">
        <f t="shared" si="2"/>
        <v>-4614625</v>
      </c>
      <c r="C38" s="32">
        <f t="shared" si="3"/>
        <v>-4614625</v>
      </c>
      <c r="D38" s="89"/>
      <c r="E38" s="32">
        <v>0</v>
      </c>
      <c r="F38" s="87">
        <f t="shared" si="4"/>
        <v>-44802.184466019418</v>
      </c>
      <c r="G38" s="89"/>
      <c r="H38" s="32">
        <f t="shared" si="15"/>
        <v>4614625</v>
      </c>
      <c r="I38" s="32">
        <f t="shared" si="15"/>
        <v>1075252.4271844656</v>
      </c>
      <c r="J38" s="89"/>
      <c r="K38" s="32">
        <f t="shared" si="11"/>
        <v>0</v>
      </c>
      <c r="L38" s="32">
        <f t="shared" si="11"/>
        <v>-3539372.5728155347</v>
      </c>
      <c r="M38" s="89"/>
      <c r="N38" s="32">
        <f t="shared" si="16"/>
        <v>-3539372.5728155347</v>
      </c>
      <c r="O38" s="32">
        <f t="shared" si="17"/>
        <v>1238780.4004854371</v>
      </c>
      <c r="P38" s="32">
        <f t="shared" si="18"/>
        <v>15680.764563106699</v>
      </c>
      <c r="Q38" s="32">
        <f t="shared" si="19"/>
        <v>-2300592.1723300973</v>
      </c>
      <c r="R38" s="32">
        <f t="shared" si="10"/>
        <v>-2475320.6917475732</v>
      </c>
      <c r="S38" s="87">
        <f t="shared" si="13"/>
        <v>-3808185.6796116512</v>
      </c>
      <c r="T38" s="87">
        <f t="shared" si="14"/>
        <v>1332864.9878640776</v>
      </c>
      <c r="U38" s="478"/>
    </row>
    <row r="39" spans="1:21" ht="12.95" hidden="1" customHeight="1" outlineLevel="1">
      <c r="A39" s="86">
        <v>41029</v>
      </c>
      <c r="B39" s="87">
        <f t="shared" si="2"/>
        <v>-4614625</v>
      </c>
      <c r="C39" s="87">
        <f t="shared" si="3"/>
        <v>-4614625</v>
      </c>
      <c r="D39" s="128"/>
      <c r="E39" s="87">
        <v>0</v>
      </c>
      <c r="F39" s="87">
        <f t="shared" si="4"/>
        <v>-44802.184466019418</v>
      </c>
      <c r="G39" s="128"/>
      <c r="H39" s="87">
        <f t="shared" si="15"/>
        <v>4614625</v>
      </c>
      <c r="I39" s="87">
        <f t="shared" si="15"/>
        <v>1120054.6116504851</v>
      </c>
      <c r="J39" s="128"/>
      <c r="K39" s="87">
        <f t="shared" si="11"/>
        <v>0</v>
      </c>
      <c r="L39" s="87">
        <f t="shared" si="11"/>
        <v>-3494570.3883495149</v>
      </c>
      <c r="M39" s="128"/>
      <c r="N39" s="87">
        <f t="shared" si="16"/>
        <v>-3494570.3883495149</v>
      </c>
      <c r="O39" s="87">
        <f>-N39*$O$10</f>
        <v>1223099.6359223302</v>
      </c>
      <c r="P39" s="87">
        <f t="shared" si="18"/>
        <v>15680.764563106932</v>
      </c>
      <c r="Q39" s="87">
        <f t="shared" si="19"/>
        <v>-2271470.752427185</v>
      </c>
      <c r="R39" s="87">
        <f t="shared" si="10"/>
        <v>-2446199.2718446604</v>
      </c>
      <c r="S39" s="87">
        <f t="shared" si="13"/>
        <v>-3763383.495145632</v>
      </c>
      <c r="T39" s="87">
        <f t="shared" si="14"/>
        <v>1317184.2233009709</v>
      </c>
      <c r="U39" s="478"/>
    </row>
    <row r="40" spans="1:21" ht="12.95" hidden="1" customHeight="1" outlineLevel="1">
      <c r="A40" s="86">
        <v>41060</v>
      </c>
      <c r="B40" s="87">
        <f t="shared" si="2"/>
        <v>-4614625</v>
      </c>
      <c r="C40" s="87">
        <f t="shared" si="3"/>
        <v>-4614625</v>
      </c>
      <c r="D40" s="128"/>
      <c r="E40" s="87">
        <v>0</v>
      </c>
      <c r="F40" s="87">
        <f t="shared" si="4"/>
        <v>-44802.184466019418</v>
      </c>
      <c r="G40" s="128"/>
      <c r="H40" s="87">
        <f t="shared" si="15"/>
        <v>4614625</v>
      </c>
      <c r="I40" s="87">
        <f t="shared" si="15"/>
        <v>1164856.7961165046</v>
      </c>
      <c r="J40" s="128"/>
      <c r="K40" s="87">
        <f t="shared" si="11"/>
        <v>0</v>
      </c>
      <c r="L40" s="87">
        <f t="shared" si="11"/>
        <v>-3449768.2038834952</v>
      </c>
      <c r="M40" s="128"/>
      <c r="N40" s="87">
        <f t="shared" si="16"/>
        <v>-3449768.2038834952</v>
      </c>
      <c r="O40" s="87">
        <f t="shared" si="17"/>
        <v>1207418.8713592233</v>
      </c>
      <c r="P40" s="87">
        <f t="shared" si="18"/>
        <v>15680.764563106932</v>
      </c>
      <c r="Q40" s="87">
        <f t="shared" si="19"/>
        <v>-2242349.3325242717</v>
      </c>
      <c r="R40" s="87">
        <f t="shared" si="10"/>
        <v>-2417077.8519417481</v>
      </c>
      <c r="S40" s="87">
        <f t="shared" si="13"/>
        <v>-3718581.3106796127</v>
      </c>
      <c r="T40" s="87">
        <f t="shared" si="14"/>
        <v>1301503.4587378642</v>
      </c>
      <c r="U40" s="478"/>
    </row>
    <row r="41" spans="1:21" ht="12.95" hidden="1" customHeight="1" outlineLevel="1">
      <c r="A41" s="86">
        <v>41090</v>
      </c>
      <c r="B41" s="87">
        <f t="shared" si="2"/>
        <v>-4614625</v>
      </c>
      <c r="C41" s="87">
        <f t="shared" si="3"/>
        <v>-4614625</v>
      </c>
      <c r="D41" s="128"/>
      <c r="E41" s="87">
        <v>0</v>
      </c>
      <c r="F41" s="87">
        <f t="shared" si="4"/>
        <v>-44802.184466019418</v>
      </c>
      <c r="G41" s="128"/>
      <c r="H41" s="87">
        <f t="shared" si="15"/>
        <v>4614625</v>
      </c>
      <c r="I41" s="87">
        <f t="shared" si="15"/>
        <v>1209658.9805825241</v>
      </c>
      <c r="J41" s="128"/>
      <c r="K41" s="87">
        <f t="shared" si="11"/>
        <v>0</v>
      </c>
      <c r="L41" s="87">
        <f t="shared" si="11"/>
        <v>-3404966.0194174759</v>
      </c>
      <c r="M41" s="128"/>
      <c r="N41" s="87">
        <f t="shared" si="16"/>
        <v>-3404966.0194174759</v>
      </c>
      <c r="O41" s="87">
        <f t="shared" si="17"/>
        <v>1191738.1067961166</v>
      </c>
      <c r="P41" s="87">
        <f t="shared" si="18"/>
        <v>15680.764563106699</v>
      </c>
      <c r="Q41" s="87">
        <f t="shared" si="19"/>
        <v>-2213227.9126213593</v>
      </c>
      <c r="R41" s="87">
        <f t="shared" si="10"/>
        <v>-2387956.4320388348</v>
      </c>
      <c r="S41" s="87">
        <f t="shared" si="13"/>
        <v>-3673779.1262135929</v>
      </c>
      <c r="T41" s="87">
        <f t="shared" si="14"/>
        <v>1285822.6941747575</v>
      </c>
      <c r="U41" s="478"/>
    </row>
    <row r="42" spans="1:21" ht="12.95" hidden="1" customHeight="1" outlineLevel="1">
      <c r="A42" s="86">
        <v>41121</v>
      </c>
      <c r="B42" s="87">
        <f t="shared" si="2"/>
        <v>-4614625</v>
      </c>
      <c r="C42" s="87">
        <f t="shared" si="3"/>
        <v>-4614625</v>
      </c>
      <c r="D42" s="128"/>
      <c r="E42" s="87">
        <v>0</v>
      </c>
      <c r="F42" s="87">
        <f t="shared" si="4"/>
        <v>-44802.184466019418</v>
      </c>
      <c r="G42" s="128"/>
      <c r="H42" s="87">
        <f t="shared" si="15"/>
        <v>4614625</v>
      </c>
      <c r="I42" s="87">
        <f t="shared" si="15"/>
        <v>1254461.1650485436</v>
      </c>
      <c r="J42" s="128"/>
      <c r="K42" s="87">
        <f t="shared" si="11"/>
        <v>0</v>
      </c>
      <c r="L42" s="87">
        <f t="shared" si="11"/>
        <v>-3360163.8349514566</v>
      </c>
      <c r="M42" s="128"/>
      <c r="N42" s="87">
        <f t="shared" si="16"/>
        <v>-3360163.8349514566</v>
      </c>
      <c r="O42" s="87">
        <f t="shared" si="17"/>
        <v>1176057.3422330096</v>
      </c>
      <c r="P42" s="87">
        <f t="shared" si="18"/>
        <v>15680.764563106932</v>
      </c>
      <c r="Q42" s="87">
        <f t="shared" si="19"/>
        <v>-2184106.492718447</v>
      </c>
      <c r="R42" s="87">
        <f t="shared" si="10"/>
        <v>-2358835.0121359224</v>
      </c>
      <c r="S42" s="87">
        <f t="shared" si="13"/>
        <v>-3628976.9417475737</v>
      </c>
      <c r="T42" s="87">
        <f t="shared" si="14"/>
        <v>1270141.9296116505</v>
      </c>
      <c r="U42" s="478"/>
    </row>
    <row r="43" spans="1:21" ht="12.95" hidden="1" customHeight="1" outlineLevel="1">
      <c r="A43" s="86">
        <v>41152</v>
      </c>
      <c r="B43" s="87">
        <f t="shared" si="2"/>
        <v>-4614625</v>
      </c>
      <c r="C43" s="87">
        <f t="shared" si="3"/>
        <v>-4614625</v>
      </c>
      <c r="D43" s="128"/>
      <c r="E43" s="87">
        <v>0</v>
      </c>
      <c r="F43" s="87">
        <f t="shared" si="4"/>
        <v>-44802.184466019418</v>
      </c>
      <c r="G43" s="128"/>
      <c r="H43" s="87">
        <f t="shared" si="15"/>
        <v>4614625</v>
      </c>
      <c r="I43" s="87">
        <f t="shared" si="15"/>
        <v>1299263.3495145631</v>
      </c>
      <c r="J43" s="128"/>
      <c r="K43" s="87">
        <f t="shared" si="11"/>
        <v>0</v>
      </c>
      <c r="L43" s="87">
        <f t="shared" si="11"/>
        <v>-3315361.6504854369</v>
      </c>
      <c r="M43" s="128"/>
      <c r="N43" s="87">
        <f t="shared" si="16"/>
        <v>-3315361.6504854369</v>
      </c>
      <c r="O43" s="87">
        <f t="shared" si="17"/>
        <v>1160376.5776699029</v>
      </c>
      <c r="P43" s="87">
        <f t="shared" si="18"/>
        <v>15680.764563106699</v>
      </c>
      <c r="Q43" s="87">
        <f t="shared" si="19"/>
        <v>-2154985.0728155337</v>
      </c>
      <c r="R43" s="87">
        <f t="shared" si="10"/>
        <v>-2329713.5922330096</v>
      </c>
      <c r="S43" s="87">
        <f t="shared" si="13"/>
        <v>-3584174.7572815544</v>
      </c>
      <c r="T43" s="87">
        <f t="shared" si="14"/>
        <v>1254461.1650485436</v>
      </c>
      <c r="U43" s="478"/>
    </row>
    <row r="44" spans="1:21" ht="12.95" hidden="1" customHeight="1" outlineLevel="1">
      <c r="A44" s="86">
        <v>41182</v>
      </c>
      <c r="B44" s="87">
        <f t="shared" si="2"/>
        <v>-4614625</v>
      </c>
      <c r="C44" s="87">
        <f t="shared" si="3"/>
        <v>-4614625</v>
      </c>
      <c r="D44" s="128"/>
      <c r="E44" s="87">
        <v>0</v>
      </c>
      <c r="F44" s="87">
        <f t="shared" si="4"/>
        <v>-44802.184466019418</v>
      </c>
      <c r="G44" s="128"/>
      <c r="H44" s="87">
        <f t="shared" si="15"/>
        <v>4614625</v>
      </c>
      <c r="I44" s="87">
        <f t="shared" si="15"/>
        <v>1344065.5339805826</v>
      </c>
      <c r="J44" s="128"/>
      <c r="K44" s="87">
        <f t="shared" si="11"/>
        <v>0</v>
      </c>
      <c r="L44" s="87">
        <f t="shared" si="11"/>
        <v>-3270559.4660194172</v>
      </c>
      <c r="M44" s="128"/>
      <c r="N44" s="87">
        <f t="shared" si="16"/>
        <v>-3270559.4660194172</v>
      </c>
      <c r="O44" s="87">
        <f t="shared" si="17"/>
        <v>1144695.813106796</v>
      </c>
      <c r="P44" s="87">
        <f t="shared" si="18"/>
        <v>15680.764563106932</v>
      </c>
      <c r="Q44" s="87">
        <f t="shared" si="19"/>
        <v>-2125863.6529126214</v>
      </c>
      <c r="R44" s="87">
        <f t="shared" si="10"/>
        <v>-2300592.1723300973</v>
      </c>
      <c r="S44" s="87">
        <f t="shared" ref="S44:S74" si="20">(L32+L44+SUM(L33:L43)*2)/24</f>
        <v>-3539372.5728155337</v>
      </c>
      <c r="T44" s="87">
        <f t="shared" ref="T44:T74" si="21">(O32+O44+SUM(O33:O43)*2)/24</f>
        <v>1238780.4004854371</v>
      </c>
      <c r="U44" s="478"/>
    </row>
    <row r="45" spans="1:21" ht="12.95" hidden="1" customHeight="1" outlineLevel="1">
      <c r="A45" s="86">
        <v>41213</v>
      </c>
      <c r="B45" s="87">
        <f t="shared" si="2"/>
        <v>-4614625</v>
      </c>
      <c r="C45" s="87">
        <f t="shared" si="3"/>
        <v>-4614625</v>
      </c>
      <c r="D45" s="128"/>
      <c r="E45" s="87">
        <v>0</v>
      </c>
      <c r="F45" s="87">
        <f t="shared" si="4"/>
        <v>-44802.184466019418</v>
      </c>
      <c r="G45" s="128"/>
      <c r="H45" s="87">
        <f t="shared" si="15"/>
        <v>4614625</v>
      </c>
      <c r="I45" s="87">
        <f t="shared" si="15"/>
        <v>1388867.7184466021</v>
      </c>
      <c r="J45" s="128"/>
      <c r="K45" s="87">
        <f t="shared" si="11"/>
        <v>0</v>
      </c>
      <c r="L45" s="87">
        <f t="shared" si="11"/>
        <v>-3225757.2815533979</v>
      </c>
      <c r="M45" s="128"/>
      <c r="N45" s="87">
        <f t="shared" si="16"/>
        <v>-3225757.2815533979</v>
      </c>
      <c r="O45" s="87">
        <f t="shared" si="17"/>
        <v>1129015.0485436891</v>
      </c>
      <c r="P45" s="87">
        <f t="shared" si="18"/>
        <v>15680.764563106932</v>
      </c>
      <c r="Q45" s="87">
        <f t="shared" si="19"/>
        <v>-2096742.2330097088</v>
      </c>
      <c r="R45" s="87">
        <f t="shared" si="10"/>
        <v>-2271470.752427185</v>
      </c>
      <c r="S45" s="87">
        <f t="shared" si="20"/>
        <v>-3494570.3883495145</v>
      </c>
      <c r="T45" s="87">
        <f t="shared" si="21"/>
        <v>1223099.6359223302</v>
      </c>
      <c r="U45" s="478"/>
    </row>
    <row r="46" spans="1:21" ht="12.95" hidden="1" customHeight="1" outlineLevel="1">
      <c r="A46" s="86">
        <v>41243</v>
      </c>
      <c r="B46" s="87">
        <f t="shared" si="2"/>
        <v>-4614625</v>
      </c>
      <c r="C46" s="87">
        <f t="shared" si="3"/>
        <v>-4614625</v>
      </c>
      <c r="D46" s="128"/>
      <c r="E46" s="87">
        <v>0</v>
      </c>
      <c r="F46" s="87">
        <f t="shared" si="4"/>
        <v>-44802.184466019418</v>
      </c>
      <c r="G46" s="128"/>
      <c r="H46" s="87">
        <f t="shared" si="15"/>
        <v>4614625</v>
      </c>
      <c r="I46" s="87">
        <f t="shared" si="15"/>
        <v>1433669.9029126216</v>
      </c>
      <c r="J46" s="128"/>
      <c r="K46" s="87">
        <f t="shared" si="11"/>
        <v>0</v>
      </c>
      <c r="L46" s="87">
        <f t="shared" si="11"/>
        <v>-3180955.0970873786</v>
      </c>
      <c r="M46" s="128"/>
      <c r="N46" s="87">
        <f t="shared" si="16"/>
        <v>-3180955.0970873786</v>
      </c>
      <c r="O46" s="87">
        <f t="shared" si="17"/>
        <v>1113334.2839805824</v>
      </c>
      <c r="P46" s="87">
        <f t="shared" si="18"/>
        <v>15680.764563106699</v>
      </c>
      <c r="Q46" s="87">
        <f t="shared" si="19"/>
        <v>-2067620.8131067962</v>
      </c>
      <c r="R46" s="87">
        <f t="shared" si="10"/>
        <v>-2242349.3325242717</v>
      </c>
      <c r="S46" s="87">
        <f t="shared" si="20"/>
        <v>-3449768.2038834952</v>
      </c>
      <c r="T46" s="87">
        <f t="shared" si="21"/>
        <v>1207418.8713592233</v>
      </c>
      <c r="U46" s="478"/>
    </row>
    <row r="47" spans="1:21" ht="12.95" hidden="1" customHeight="1" outlineLevel="1">
      <c r="A47" s="86">
        <v>41274</v>
      </c>
      <c r="B47" s="87">
        <f t="shared" si="2"/>
        <v>-4614625</v>
      </c>
      <c r="C47" s="87">
        <f t="shared" si="3"/>
        <v>-4614625</v>
      </c>
      <c r="D47" s="101"/>
      <c r="E47" s="87">
        <v>0</v>
      </c>
      <c r="F47" s="87">
        <f t="shared" si="4"/>
        <v>-44802.184466019418</v>
      </c>
      <c r="G47" s="101"/>
      <c r="H47" s="87">
        <f t="shared" si="15"/>
        <v>4614625</v>
      </c>
      <c r="I47" s="87">
        <f t="shared" si="15"/>
        <v>1478472.0873786411</v>
      </c>
      <c r="J47" s="101"/>
      <c r="K47" s="87">
        <f t="shared" si="11"/>
        <v>0</v>
      </c>
      <c r="L47" s="87">
        <f t="shared" si="11"/>
        <v>-3136152.9126213589</v>
      </c>
      <c r="M47" s="101"/>
      <c r="N47" s="87">
        <f t="shared" si="16"/>
        <v>-3136152.9126213589</v>
      </c>
      <c r="O47" s="87">
        <f t="shared" si="17"/>
        <v>1097653.5194174754</v>
      </c>
      <c r="P47" s="87">
        <f t="shared" ref="P47:P52" si="22">-O47+O46</f>
        <v>15680.764563106932</v>
      </c>
      <c r="Q47" s="87">
        <f t="shared" si="19"/>
        <v>-2038499.3932038834</v>
      </c>
      <c r="R47" s="87">
        <f>(Q35+Q47+SUM(Q36:Q46)*2)/24</f>
        <v>-2213227.9126213593</v>
      </c>
      <c r="S47" s="87">
        <f t="shared" si="20"/>
        <v>-3404966.0194174759</v>
      </c>
      <c r="T47" s="87">
        <f t="shared" si="21"/>
        <v>1191738.1067961166</v>
      </c>
      <c r="U47" s="478"/>
    </row>
    <row r="48" spans="1:21" ht="12.95" hidden="1" customHeight="1" outlineLevel="1">
      <c r="A48" s="86">
        <v>41305</v>
      </c>
      <c r="B48" s="87">
        <f t="shared" si="2"/>
        <v>-4614625</v>
      </c>
      <c r="C48" s="87">
        <f t="shared" si="3"/>
        <v>-4614625</v>
      </c>
      <c r="D48" s="101"/>
      <c r="E48" s="87">
        <v>0</v>
      </c>
      <c r="F48" s="87">
        <f t="shared" si="4"/>
        <v>-44802.184466019418</v>
      </c>
      <c r="G48" s="101"/>
      <c r="H48" s="87">
        <f t="shared" ref="H48:I51" si="23">H47-E48</f>
        <v>4614625</v>
      </c>
      <c r="I48" s="87">
        <f t="shared" si="23"/>
        <v>1523274.2718446606</v>
      </c>
      <c r="J48" s="101"/>
      <c r="K48" s="87">
        <f t="shared" ref="K48:L51" si="24">B48+H48</f>
        <v>0</v>
      </c>
      <c r="L48" s="87">
        <f t="shared" si="24"/>
        <v>-3091350.7281553391</v>
      </c>
      <c r="M48" s="101"/>
      <c r="N48" s="87">
        <f>L48-K48</f>
        <v>-3091350.7281553391</v>
      </c>
      <c r="O48" s="87">
        <f>-N48*$O$10</f>
        <v>1081972.7548543687</v>
      </c>
      <c r="P48" s="87">
        <f t="shared" si="22"/>
        <v>15680.764563106699</v>
      </c>
      <c r="Q48" s="87">
        <f>L48+O48</f>
        <v>-2009377.9733009704</v>
      </c>
      <c r="R48" s="87">
        <f>(Q36+Q48+SUM(Q37:Q47)*2)/24</f>
        <v>-2184106.4927184465</v>
      </c>
      <c r="S48" s="87">
        <f t="shared" si="20"/>
        <v>-3360163.8349514562</v>
      </c>
      <c r="T48" s="87">
        <f t="shared" si="21"/>
        <v>1176057.3422330099</v>
      </c>
      <c r="U48" s="478"/>
    </row>
    <row r="49" spans="1:21" ht="12.95" hidden="1" customHeight="1" outlineLevel="1">
      <c r="A49" s="86">
        <v>41333</v>
      </c>
      <c r="B49" s="87">
        <f t="shared" si="2"/>
        <v>-4614625</v>
      </c>
      <c r="C49" s="87">
        <f t="shared" si="3"/>
        <v>-4614625</v>
      </c>
      <c r="D49" s="101"/>
      <c r="E49" s="87">
        <v>0</v>
      </c>
      <c r="F49" s="87">
        <f t="shared" si="4"/>
        <v>-44802.184466019418</v>
      </c>
      <c r="G49" s="101"/>
      <c r="H49" s="87">
        <f t="shared" si="23"/>
        <v>4614625</v>
      </c>
      <c r="I49" s="87">
        <f t="shared" si="23"/>
        <v>1568076.4563106801</v>
      </c>
      <c r="J49" s="101"/>
      <c r="K49" s="87">
        <f t="shared" si="24"/>
        <v>0</v>
      </c>
      <c r="L49" s="87">
        <f t="shared" si="24"/>
        <v>-3046548.5436893199</v>
      </c>
      <c r="M49" s="101"/>
      <c r="N49" s="87">
        <f>L49-K49</f>
        <v>-3046548.5436893199</v>
      </c>
      <c r="O49" s="87">
        <f>-N49*$O$10</f>
        <v>1066291.9902912618</v>
      </c>
      <c r="P49" s="87">
        <f t="shared" si="22"/>
        <v>15680.764563106932</v>
      </c>
      <c r="Q49" s="87">
        <f>L49+O49</f>
        <v>-1980256.5533980581</v>
      </c>
      <c r="R49" s="87">
        <f>(Q37+Q49+SUM(Q38:Q48)*2)/24</f>
        <v>-2154985.0728155342</v>
      </c>
      <c r="S49" s="87">
        <f t="shared" si="20"/>
        <v>-3315361.6504854374</v>
      </c>
      <c r="T49" s="87">
        <f t="shared" si="21"/>
        <v>1160376.5776699027</v>
      </c>
      <c r="U49" s="478"/>
    </row>
    <row r="50" spans="1:21" ht="12.95" hidden="1" customHeight="1" outlineLevel="1">
      <c r="A50" s="86">
        <v>41364</v>
      </c>
      <c r="B50" s="87">
        <f t="shared" si="2"/>
        <v>-4614625</v>
      </c>
      <c r="C50" s="87">
        <f t="shared" si="3"/>
        <v>-4614625</v>
      </c>
      <c r="D50" s="101"/>
      <c r="E50" s="87">
        <v>0</v>
      </c>
      <c r="F50" s="87">
        <f t="shared" si="4"/>
        <v>-44802.184466019418</v>
      </c>
      <c r="G50" s="101"/>
      <c r="H50" s="87">
        <f t="shared" si="23"/>
        <v>4614625</v>
      </c>
      <c r="I50" s="87">
        <f t="shared" si="23"/>
        <v>1612878.6407766996</v>
      </c>
      <c r="J50" s="101"/>
      <c r="K50" s="87">
        <f t="shared" si="24"/>
        <v>0</v>
      </c>
      <c r="L50" s="87">
        <f t="shared" si="24"/>
        <v>-3001746.3592233006</v>
      </c>
      <c r="M50" s="101"/>
      <c r="N50" s="87">
        <f>L50-K50</f>
        <v>-3001746.3592233006</v>
      </c>
      <c r="O50" s="87">
        <f>-N50*$O$10</f>
        <v>1050611.2257281551</v>
      </c>
      <c r="P50" s="87">
        <f t="shared" si="22"/>
        <v>15680.764563106699</v>
      </c>
      <c r="Q50" s="87">
        <f>L50+O50</f>
        <v>-1951135.1334951455</v>
      </c>
      <c r="R50" s="87">
        <f>(Q38+Q50+SUM(Q39:Q49)*2)/24</f>
        <v>-2125863.6529126214</v>
      </c>
      <c r="S50" s="87">
        <f t="shared" si="20"/>
        <v>-3270559.4660194176</v>
      </c>
      <c r="T50" s="87">
        <f t="shared" si="21"/>
        <v>1144695.813106796</v>
      </c>
      <c r="U50" s="478"/>
    </row>
    <row r="51" spans="1:21" ht="12.95" hidden="1" customHeight="1" outlineLevel="1">
      <c r="A51" s="86">
        <v>41394</v>
      </c>
      <c r="B51" s="87">
        <f t="shared" si="2"/>
        <v>-4614625</v>
      </c>
      <c r="C51" s="87">
        <f t="shared" si="3"/>
        <v>-4614625</v>
      </c>
      <c r="D51" s="101"/>
      <c r="E51" s="87">
        <v>0</v>
      </c>
      <c r="F51" s="87">
        <f t="shared" si="4"/>
        <v>-44802.184466019418</v>
      </c>
      <c r="G51" s="101"/>
      <c r="H51" s="87">
        <f t="shared" si="23"/>
        <v>4614625</v>
      </c>
      <c r="I51" s="87">
        <f t="shared" si="23"/>
        <v>1657680.8252427191</v>
      </c>
      <c r="J51" s="101"/>
      <c r="K51" s="87">
        <f t="shared" si="24"/>
        <v>0</v>
      </c>
      <c r="L51" s="87">
        <f t="shared" si="24"/>
        <v>-2956944.1747572809</v>
      </c>
      <c r="M51" s="101"/>
      <c r="N51" s="87">
        <f>L51-K51</f>
        <v>-2956944.1747572809</v>
      </c>
      <c r="O51" s="87">
        <f>-N51*$O$10</f>
        <v>1034930.4611650482</v>
      </c>
      <c r="P51" s="87">
        <f t="shared" si="22"/>
        <v>15680.764563106932</v>
      </c>
      <c r="Q51" s="87">
        <f>L51+O51</f>
        <v>-1922013.7135922327</v>
      </c>
      <c r="R51" s="87">
        <f>(Q39+Q51+SUM(Q40:Q50)*2)/24</f>
        <v>-2096742.2330097083</v>
      </c>
      <c r="S51" s="87">
        <f t="shared" si="20"/>
        <v>-3225757.2815533974</v>
      </c>
      <c r="T51" s="87">
        <f t="shared" si="21"/>
        <v>1129015.0485436893</v>
      </c>
      <c r="U51" s="478"/>
    </row>
    <row r="52" spans="1:21" ht="12.95" hidden="1" customHeight="1" outlineLevel="1">
      <c r="A52" s="86">
        <v>41425</v>
      </c>
      <c r="B52" s="87">
        <f>B51</f>
        <v>-4614625</v>
      </c>
      <c r="C52" s="87">
        <f>C51</f>
        <v>-4614625</v>
      </c>
      <c r="D52" s="128"/>
      <c r="E52" s="87">
        <v>0</v>
      </c>
      <c r="F52" s="87">
        <f>C52/$E$5</f>
        <v>-44802.184466019418</v>
      </c>
      <c r="G52" s="128"/>
      <c r="H52" s="87">
        <f>H51-E52</f>
        <v>4614625</v>
      </c>
      <c r="I52" s="87">
        <f>I51-F52</f>
        <v>1702483.0097087387</v>
      </c>
      <c r="J52" s="128"/>
      <c r="K52" s="87">
        <f>B52+H52</f>
        <v>0</v>
      </c>
      <c r="L52" s="87">
        <f t="shared" ref="K52:L65" si="25">C52+I52</f>
        <v>-2912141.9902912611</v>
      </c>
      <c r="M52" s="128"/>
      <c r="N52" s="87">
        <f t="shared" ref="N52:N82" si="26">L52-K52</f>
        <v>-2912141.9902912611</v>
      </c>
      <c r="O52" s="87">
        <f>-N52*$O$10</f>
        <v>1019249.6966019414</v>
      </c>
      <c r="P52" s="87">
        <f t="shared" si="22"/>
        <v>15680.764563106815</v>
      </c>
      <c r="Q52" s="87">
        <f>L52+O52</f>
        <v>-1892892.2936893199</v>
      </c>
      <c r="R52" s="87">
        <f>(Q40+Q52+(SUM(Q41:Q51))*2)/24</f>
        <v>-2067620.8131067958</v>
      </c>
      <c r="S52" s="87">
        <f t="shared" si="20"/>
        <v>-3180955.0970873781</v>
      </c>
      <c r="T52" s="87">
        <f t="shared" si="21"/>
        <v>1113334.2839805821</v>
      </c>
      <c r="U52" s="478"/>
    </row>
    <row r="53" spans="1:21" ht="12.95" hidden="1" customHeight="1" outlineLevel="1">
      <c r="A53" s="86">
        <v>41455</v>
      </c>
      <c r="B53" s="87">
        <f t="shared" ref="B53:C65" si="27">B52</f>
        <v>-4614625</v>
      </c>
      <c r="C53" s="87">
        <f t="shared" si="27"/>
        <v>-4614625</v>
      </c>
      <c r="D53" s="128"/>
      <c r="E53" s="87">
        <v>0</v>
      </c>
      <c r="F53" s="87">
        <f t="shared" ref="F53:F111" si="28">C53/$E$5</f>
        <v>-44802.184466019418</v>
      </c>
      <c r="G53" s="128"/>
      <c r="H53" s="87">
        <f t="shared" ref="H53:I65" si="29">H52-E53</f>
        <v>4614625</v>
      </c>
      <c r="I53" s="87">
        <f t="shared" si="29"/>
        <v>1747285.1941747582</v>
      </c>
      <c r="J53" s="128"/>
      <c r="K53" s="87">
        <f t="shared" si="25"/>
        <v>0</v>
      </c>
      <c r="L53" s="87">
        <f t="shared" si="25"/>
        <v>-2867339.8058252418</v>
      </c>
      <c r="M53" s="128"/>
      <c r="N53" s="87">
        <f t="shared" si="26"/>
        <v>-2867339.8058252418</v>
      </c>
      <c r="O53" s="87">
        <f t="shared" ref="O53:O107" si="30">-N53*$O$10</f>
        <v>1003568.9320388346</v>
      </c>
      <c r="P53" s="87">
        <f t="shared" ref="P53:P82" si="31">-O53+O52</f>
        <v>15680.764563106815</v>
      </c>
      <c r="Q53" s="87">
        <f t="shared" ref="Q53:Q82" si="32">L53+O53</f>
        <v>-1863770.8737864073</v>
      </c>
      <c r="R53" s="87">
        <f>(Q41+Q53+(SUM(Q42:Q51)+Q52)*2)/24</f>
        <v>-2038499.3932038832</v>
      </c>
      <c r="S53" s="87">
        <f t="shared" si="20"/>
        <v>-3136152.9126213584</v>
      </c>
      <c r="T53" s="87">
        <f t="shared" si="21"/>
        <v>1097653.5194174757</v>
      </c>
      <c r="U53" s="478"/>
    </row>
    <row r="54" spans="1:21" ht="12.95" hidden="1" customHeight="1" outlineLevel="1">
      <c r="A54" s="86">
        <v>41486</v>
      </c>
      <c r="B54" s="87">
        <f t="shared" si="27"/>
        <v>-4614625</v>
      </c>
      <c r="C54" s="87">
        <f t="shared" si="27"/>
        <v>-4614625</v>
      </c>
      <c r="D54" s="128"/>
      <c r="E54" s="87">
        <v>0</v>
      </c>
      <c r="F54" s="87">
        <f t="shared" si="28"/>
        <v>-44802.184466019418</v>
      </c>
      <c r="G54" s="128"/>
      <c r="H54" s="87">
        <f t="shared" si="29"/>
        <v>4614625</v>
      </c>
      <c r="I54" s="87">
        <f t="shared" si="29"/>
        <v>1792087.3786407777</v>
      </c>
      <c r="J54" s="128"/>
      <c r="K54" s="87">
        <f t="shared" si="25"/>
        <v>0</v>
      </c>
      <c r="L54" s="87">
        <f t="shared" si="25"/>
        <v>-2822537.6213592226</v>
      </c>
      <c r="M54" s="128"/>
      <c r="N54" s="87">
        <f t="shared" si="26"/>
        <v>-2822537.6213592226</v>
      </c>
      <c r="O54" s="87">
        <f t="shared" si="30"/>
        <v>987888.16747572785</v>
      </c>
      <c r="P54" s="87">
        <f t="shared" si="31"/>
        <v>15680.764563106699</v>
      </c>
      <c r="Q54" s="87">
        <f t="shared" si="32"/>
        <v>-1834649.4538834947</v>
      </c>
      <c r="R54" s="87">
        <f>(Q42+Q54+(SUM(Q43:Q51)+Q53+Q52)*2)/24</f>
        <v>-2009377.9733009704</v>
      </c>
      <c r="S54" s="87">
        <f t="shared" si="20"/>
        <v>-3091350.7281553387</v>
      </c>
      <c r="T54" s="87">
        <f t="shared" si="21"/>
        <v>1081972.7548543687</v>
      </c>
      <c r="U54" s="478"/>
    </row>
    <row r="55" spans="1:21" ht="12.95" hidden="1" customHeight="1" outlineLevel="1">
      <c r="A55" s="86">
        <v>41517</v>
      </c>
      <c r="B55" s="87">
        <f t="shared" si="27"/>
        <v>-4614625</v>
      </c>
      <c r="C55" s="87">
        <f t="shared" si="27"/>
        <v>-4614625</v>
      </c>
      <c r="D55" s="128"/>
      <c r="E55" s="87">
        <v>0</v>
      </c>
      <c r="F55" s="87">
        <f t="shared" si="28"/>
        <v>-44802.184466019418</v>
      </c>
      <c r="G55" s="128"/>
      <c r="H55" s="87">
        <f t="shared" si="29"/>
        <v>4614625</v>
      </c>
      <c r="I55" s="87">
        <f t="shared" si="29"/>
        <v>1836889.5631067972</v>
      </c>
      <c r="J55" s="128"/>
      <c r="K55" s="87">
        <f t="shared" si="25"/>
        <v>0</v>
      </c>
      <c r="L55" s="87">
        <f t="shared" si="25"/>
        <v>-2777735.4368932028</v>
      </c>
      <c r="M55" s="128"/>
      <c r="N55" s="87">
        <f t="shared" si="26"/>
        <v>-2777735.4368932028</v>
      </c>
      <c r="O55" s="87">
        <f t="shared" si="30"/>
        <v>972207.40291262092</v>
      </c>
      <c r="P55" s="87">
        <f t="shared" si="31"/>
        <v>15680.764563106932</v>
      </c>
      <c r="Q55" s="87">
        <f t="shared" si="32"/>
        <v>-1805528.0339805819</v>
      </c>
      <c r="R55" s="87">
        <f>(Q43+Q55+(SUM(Q44:Q51)+SUM(Q52:Q54))*2)/24</f>
        <v>-1980256.5533980578</v>
      </c>
      <c r="S55" s="87">
        <f t="shared" si="20"/>
        <v>-3046548.5436893194</v>
      </c>
      <c r="T55" s="87">
        <f t="shared" si="21"/>
        <v>1066291.990291262</v>
      </c>
      <c r="U55" s="478"/>
    </row>
    <row r="56" spans="1:21" ht="12.95" hidden="1" customHeight="1" outlineLevel="1">
      <c r="A56" s="86">
        <v>41547</v>
      </c>
      <c r="B56" s="87">
        <f t="shared" si="27"/>
        <v>-4614625</v>
      </c>
      <c r="C56" s="87">
        <f t="shared" si="27"/>
        <v>-4614625</v>
      </c>
      <c r="D56" s="128"/>
      <c r="E56" s="87">
        <v>0</v>
      </c>
      <c r="F56" s="87">
        <f t="shared" si="28"/>
        <v>-44802.184466019418</v>
      </c>
      <c r="G56" s="128"/>
      <c r="H56" s="87">
        <f t="shared" si="29"/>
        <v>4614625</v>
      </c>
      <c r="I56" s="87">
        <f t="shared" si="29"/>
        <v>1881691.7475728167</v>
      </c>
      <c r="J56" s="128"/>
      <c r="K56" s="87">
        <f t="shared" si="25"/>
        <v>0</v>
      </c>
      <c r="L56" s="87">
        <f t="shared" si="25"/>
        <v>-2732933.2524271831</v>
      </c>
      <c r="M56" s="128"/>
      <c r="N56" s="87">
        <f t="shared" si="26"/>
        <v>-2732933.2524271831</v>
      </c>
      <c r="O56" s="87">
        <f t="shared" si="30"/>
        <v>956526.63834951399</v>
      </c>
      <c r="P56" s="87">
        <f t="shared" si="31"/>
        <v>15680.764563106932</v>
      </c>
      <c r="Q56" s="87">
        <f t="shared" si="32"/>
        <v>-1776406.6140776691</v>
      </c>
      <c r="R56" s="87">
        <f>(Q44+Q56+(SUM(Q45:Q51)+SUM(Q52:Q55))*2)/24</f>
        <v>-1951135.1334951452</v>
      </c>
      <c r="S56" s="87">
        <f t="shared" si="20"/>
        <v>-3001746.3592233001</v>
      </c>
      <c r="T56" s="87">
        <f t="shared" si="21"/>
        <v>1050611.2257281551</v>
      </c>
      <c r="U56" s="478"/>
    </row>
    <row r="57" spans="1:21" ht="12.95" hidden="1" customHeight="1" outlineLevel="1">
      <c r="A57" s="86">
        <v>41578</v>
      </c>
      <c r="B57" s="87">
        <f t="shared" si="27"/>
        <v>-4614625</v>
      </c>
      <c r="C57" s="87">
        <f t="shared" si="27"/>
        <v>-4614625</v>
      </c>
      <c r="D57" s="128"/>
      <c r="E57" s="87">
        <v>0</v>
      </c>
      <c r="F57" s="87">
        <f t="shared" si="28"/>
        <v>-44802.184466019418</v>
      </c>
      <c r="G57" s="128"/>
      <c r="H57" s="87">
        <f t="shared" si="29"/>
        <v>4614625</v>
      </c>
      <c r="I57" s="87">
        <f t="shared" si="29"/>
        <v>1926493.9320388362</v>
      </c>
      <c r="J57" s="128"/>
      <c r="K57" s="87">
        <f t="shared" si="25"/>
        <v>0</v>
      </c>
      <c r="L57" s="87">
        <f t="shared" si="25"/>
        <v>-2688131.0679611638</v>
      </c>
      <c r="M57" s="128"/>
      <c r="N57" s="87">
        <f t="shared" si="26"/>
        <v>-2688131.0679611638</v>
      </c>
      <c r="O57" s="87">
        <f t="shared" si="30"/>
        <v>940845.87378640729</v>
      </c>
      <c r="P57" s="87">
        <f t="shared" si="31"/>
        <v>15680.764563106699</v>
      </c>
      <c r="Q57" s="87">
        <f t="shared" si="32"/>
        <v>-1747285.1941747565</v>
      </c>
      <c r="R57" s="87">
        <f>(Q45+Q57+(SUM(Q46:Q51)+SUM(Q52:Q56))*2)/24</f>
        <v>-1922013.7135922324</v>
      </c>
      <c r="S57" s="87">
        <f t="shared" si="20"/>
        <v>-2956944.1747572809</v>
      </c>
      <c r="T57" s="87">
        <f t="shared" si="21"/>
        <v>1034930.4611650483</v>
      </c>
      <c r="U57" s="478"/>
    </row>
    <row r="58" spans="1:21" ht="12.95" hidden="1" customHeight="1" outlineLevel="1">
      <c r="A58" s="86">
        <v>41608</v>
      </c>
      <c r="B58" s="87">
        <f t="shared" si="27"/>
        <v>-4614625</v>
      </c>
      <c r="C58" s="87">
        <f t="shared" si="27"/>
        <v>-4614625</v>
      </c>
      <c r="D58" s="128"/>
      <c r="E58" s="87">
        <v>0</v>
      </c>
      <c r="F58" s="87">
        <f t="shared" si="28"/>
        <v>-44802.184466019418</v>
      </c>
      <c r="G58" s="128"/>
      <c r="H58" s="87">
        <f t="shared" si="29"/>
        <v>4614625</v>
      </c>
      <c r="I58" s="87">
        <f t="shared" si="29"/>
        <v>1971296.1165048557</v>
      </c>
      <c r="J58" s="128"/>
      <c r="K58" s="87">
        <f t="shared" si="25"/>
        <v>0</v>
      </c>
      <c r="L58" s="87">
        <f t="shared" si="25"/>
        <v>-2643328.8834951445</v>
      </c>
      <c r="M58" s="128"/>
      <c r="N58" s="87">
        <f t="shared" si="26"/>
        <v>-2643328.8834951445</v>
      </c>
      <c r="O58" s="87">
        <f t="shared" si="30"/>
        <v>925165.10922330047</v>
      </c>
      <c r="P58" s="87">
        <f t="shared" si="31"/>
        <v>15680.764563106815</v>
      </c>
      <c r="Q58" s="87">
        <f t="shared" si="32"/>
        <v>-1718163.774271844</v>
      </c>
      <c r="R58" s="87">
        <f>(Q46+Q58+(SUM(Q47:Q51)+SUM(Q52:Q57))*2)/24</f>
        <v>-1892892.2936893201</v>
      </c>
      <c r="S58" s="87">
        <f t="shared" si="20"/>
        <v>-2912141.9902912616</v>
      </c>
      <c r="T58" s="87">
        <f t="shared" si="21"/>
        <v>1019249.6966019414</v>
      </c>
      <c r="U58" s="478"/>
    </row>
    <row r="59" spans="1:21" ht="12.95" hidden="1" customHeight="1" outlineLevel="1">
      <c r="A59" s="85">
        <v>41639</v>
      </c>
      <c r="B59" s="32">
        <f t="shared" si="27"/>
        <v>-4614625</v>
      </c>
      <c r="C59" s="32">
        <f t="shared" si="27"/>
        <v>-4614625</v>
      </c>
      <c r="D59" s="89"/>
      <c r="E59" s="32">
        <v>0</v>
      </c>
      <c r="F59" s="87">
        <f t="shared" si="28"/>
        <v>-44802.184466019418</v>
      </c>
      <c r="G59" s="89"/>
      <c r="H59" s="32">
        <f t="shared" si="29"/>
        <v>4614625</v>
      </c>
      <c r="I59" s="32">
        <f t="shared" si="29"/>
        <v>2016098.3009708752</v>
      </c>
      <c r="J59" s="89"/>
      <c r="K59" s="32">
        <f t="shared" si="25"/>
        <v>0</v>
      </c>
      <c r="L59" s="32">
        <f t="shared" si="25"/>
        <v>-2598526.6990291248</v>
      </c>
      <c r="M59" s="89"/>
      <c r="N59" s="32">
        <f t="shared" si="26"/>
        <v>-2598526.6990291248</v>
      </c>
      <c r="O59" s="32">
        <f t="shared" si="30"/>
        <v>909484.34466019366</v>
      </c>
      <c r="P59" s="32">
        <f t="shared" si="31"/>
        <v>15680.764563106815</v>
      </c>
      <c r="Q59" s="32">
        <f t="shared" si="32"/>
        <v>-1689042.3543689311</v>
      </c>
      <c r="R59" s="87">
        <f>(Q47+Q59+(SUM(Q48:Q51)+SUM(Q52:Q58))*2)/24</f>
        <v>-1863770.8737864075</v>
      </c>
      <c r="S59" s="87">
        <f t="shared" si="20"/>
        <v>-2867339.8058252414</v>
      </c>
      <c r="T59" s="87">
        <f t="shared" si="21"/>
        <v>1003568.9320388344</v>
      </c>
      <c r="U59" s="478"/>
    </row>
    <row r="60" spans="1:21" ht="12.95" hidden="1" customHeight="1" outlineLevel="1">
      <c r="A60" s="86">
        <v>41670</v>
      </c>
      <c r="B60" s="87">
        <f t="shared" si="27"/>
        <v>-4614625</v>
      </c>
      <c r="C60" s="87">
        <f t="shared" si="27"/>
        <v>-4614625</v>
      </c>
      <c r="D60" s="128"/>
      <c r="E60" s="87">
        <v>0</v>
      </c>
      <c r="F60" s="87">
        <f t="shared" si="28"/>
        <v>-44802.184466019418</v>
      </c>
      <c r="G60" s="128"/>
      <c r="H60" s="87">
        <f t="shared" si="29"/>
        <v>4614625</v>
      </c>
      <c r="I60" s="87">
        <f t="shared" si="29"/>
        <v>2060900.4854368947</v>
      </c>
      <c r="J60" s="128"/>
      <c r="K60" s="87">
        <f t="shared" si="25"/>
        <v>0</v>
      </c>
      <c r="L60" s="87">
        <f t="shared" si="25"/>
        <v>-2553724.5145631051</v>
      </c>
      <c r="M60" s="128"/>
      <c r="N60" s="87">
        <f t="shared" si="26"/>
        <v>-2553724.5145631051</v>
      </c>
      <c r="O60" s="87">
        <f t="shared" si="30"/>
        <v>893803.58009708673</v>
      </c>
      <c r="P60" s="87">
        <f t="shared" si="31"/>
        <v>15680.764563106932</v>
      </c>
      <c r="Q60" s="87">
        <f t="shared" si="32"/>
        <v>-1659920.9344660183</v>
      </c>
      <c r="R60" s="87">
        <f>(Q48+Q60+(SUM(Q49:Q51)+SUM(Q52:Q59))*2)/24</f>
        <v>-1834649.4538834945</v>
      </c>
      <c r="S60" s="87">
        <f t="shared" si="20"/>
        <v>-2822537.6213592221</v>
      </c>
      <c r="T60" s="87">
        <f t="shared" si="21"/>
        <v>987888.16747572785</v>
      </c>
      <c r="U60" s="478"/>
    </row>
    <row r="61" spans="1:21" ht="12.95" hidden="1" customHeight="1" outlineLevel="1">
      <c r="A61" s="85">
        <v>41698</v>
      </c>
      <c r="B61" s="32">
        <f t="shared" si="27"/>
        <v>-4614625</v>
      </c>
      <c r="C61" s="32">
        <f t="shared" si="27"/>
        <v>-4614625</v>
      </c>
      <c r="D61" s="89"/>
      <c r="E61" s="32">
        <v>0</v>
      </c>
      <c r="F61" s="87">
        <f t="shared" si="28"/>
        <v>-44802.184466019418</v>
      </c>
      <c r="G61" s="89"/>
      <c r="H61" s="32">
        <f t="shared" si="29"/>
        <v>4614625</v>
      </c>
      <c r="I61" s="32">
        <f t="shared" si="29"/>
        <v>2105702.6699029142</v>
      </c>
      <c r="J61" s="89"/>
      <c r="K61" s="32">
        <f t="shared" si="25"/>
        <v>0</v>
      </c>
      <c r="L61" s="32">
        <f t="shared" si="25"/>
        <v>-2508922.3300970858</v>
      </c>
      <c r="M61" s="89"/>
      <c r="N61" s="32">
        <f t="shared" si="26"/>
        <v>-2508922.3300970858</v>
      </c>
      <c r="O61" s="32">
        <f t="shared" si="30"/>
        <v>878122.81553398003</v>
      </c>
      <c r="P61" s="32">
        <f t="shared" si="31"/>
        <v>15680.764563106699</v>
      </c>
      <c r="Q61" s="32">
        <f t="shared" si="32"/>
        <v>-1630799.5145631058</v>
      </c>
      <c r="R61" s="87">
        <f>(Q49+Q61+(SUM(Q50:Q51)+SUM(Q52:Q60))*2)/24</f>
        <v>-1805528.0339805819</v>
      </c>
      <c r="S61" s="87">
        <f t="shared" si="20"/>
        <v>-2777735.4368932028</v>
      </c>
      <c r="T61" s="87">
        <f t="shared" si="21"/>
        <v>972207.4029126208</v>
      </c>
      <c r="U61" s="478"/>
    </row>
    <row r="62" spans="1:21" ht="12.95" hidden="1" customHeight="1" outlineLevel="1">
      <c r="A62" s="85">
        <v>41729</v>
      </c>
      <c r="B62" s="32">
        <f t="shared" si="27"/>
        <v>-4614625</v>
      </c>
      <c r="C62" s="32">
        <f t="shared" si="27"/>
        <v>-4614625</v>
      </c>
      <c r="D62" s="89"/>
      <c r="E62" s="32">
        <v>0</v>
      </c>
      <c r="F62" s="87">
        <f t="shared" si="28"/>
        <v>-44802.184466019418</v>
      </c>
      <c r="G62" s="89"/>
      <c r="H62" s="32">
        <f t="shared" si="29"/>
        <v>4614625</v>
      </c>
      <c r="I62" s="32">
        <f t="shared" si="29"/>
        <v>2150504.8543689335</v>
      </c>
      <c r="J62" s="89"/>
      <c r="K62" s="32">
        <f t="shared" si="25"/>
        <v>0</v>
      </c>
      <c r="L62" s="32">
        <f t="shared" si="25"/>
        <v>-2464120.1456310665</v>
      </c>
      <c r="M62" s="89"/>
      <c r="N62" s="32">
        <f t="shared" si="26"/>
        <v>-2464120.1456310665</v>
      </c>
      <c r="O62" s="32">
        <f t="shared" si="30"/>
        <v>862442.05097087321</v>
      </c>
      <c r="P62" s="32">
        <f t="shared" si="31"/>
        <v>15680.764563106815</v>
      </c>
      <c r="Q62" s="32">
        <f t="shared" si="32"/>
        <v>-1601678.0946601932</v>
      </c>
      <c r="R62" s="87">
        <f>(Q50+Q62+(SUM(Q51)+SUM(Q52:Q61))*2)/24</f>
        <v>-1776406.6140776689</v>
      </c>
      <c r="S62" s="87">
        <f t="shared" si="20"/>
        <v>-2732933.2524271836</v>
      </c>
      <c r="T62" s="87">
        <f t="shared" si="21"/>
        <v>956526.63834951411</v>
      </c>
      <c r="U62" s="478"/>
    </row>
    <row r="63" spans="1:21" ht="12.95" hidden="1" customHeight="1" outlineLevel="1">
      <c r="A63" s="86">
        <v>41759</v>
      </c>
      <c r="B63" s="87">
        <f t="shared" si="27"/>
        <v>-4614625</v>
      </c>
      <c r="C63" s="87">
        <f t="shared" si="27"/>
        <v>-4614625</v>
      </c>
      <c r="D63" s="128"/>
      <c r="E63" s="87">
        <v>0</v>
      </c>
      <c r="F63" s="87">
        <f t="shared" si="28"/>
        <v>-44802.184466019418</v>
      </c>
      <c r="G63" s="128"/>
      <c r="H63" s="87">
        <f t="shared" si="29"/>
        <v>4614625</v>
      </c>
      <c r="I63" s="87">
        <f t="shared" si="29"/>
        <v>2195307.0388349527</v>
      </c>
      <c r="J63" s="128"/>
      <c r="K63" s="87">
        <f t="shared" si="25"/>
        <v>0</v>
      </c>
      <c r="L63" s="87">
        <f>C63+I63</f>
        <v>-2419317.9611650473</v>
      </c>
      <c r="M63" s="128"/>
      <c r="N63" s="87">
        <f t="shared" si="26"/>
        <v>-2419317.9611650473</v>
      </c>
      <c r="O63" s="87">
        <f t="shared" si="30"/>
        <v>846761.28640776651</v>
      </c>
      <c r="P63" s="87">
        <f t="shared" si="31"/>
        <v>15680.764563106699</v>
      </c>
      <c r="Q63" s="87">
        <f>L63+O63</f>
        <v>-1572556.6747572809</v>
      </c>
      <c r="R63" s="87">
        <f>(Q51+Q63+(SUM(Q52:Q62))*2)/24</f>
        <v>-1747285.1941747563</v>
      </c>
      <c r="S63" s="87">
        <f t="shared" si="20"/>
        <v>-2688131.0679611643</v>
      </c>
      <c r="T63" s="87">
        <f t="shared" si="21"/>
        <v>940845.87378640717</v>
      </c>
      <c r="U63" s="478"/>
    </row>
    <row r="64" spans="1:21" ht="12.95" hidden="1" customHeight="1" outlineLevel="1">
      <c r="A64" s="86">
        <v>41790</v>
      </c>
      <c r="B64" s="87">
        <f t="shared" si="27"/>
        <v>-4614625</v>
      </c>
      <c r="C64" s="87">
        <f t="shared" si="27"/>
        <v>-4614625</v>
      </c>
      <c r="D64" s="128"/>
      <c r="E64" s="87">
        <v>0</v>
      </c>
      <c r="F64" s="87">
        <f t="shared" si="28"/>
        <v>-44802.184466019418</v>
      </c>
      <c r="G64" s="128"/>
      <c r="H64" s="87">
        <f t="shared" si="29"/>
        <v>4614625</v>
      </c>
      <c r="I64" s="87">
        <f t="shared" si="29"/>
        <v>2240109.223300972</v>
      </c>
      <c r="J64" s="128"/>
      <c r="K64" s="87">
        <f t="shared" si="25"/>
        <v>0</v>
      </c>
      <c r="L64" s="87">
        <f t="shared" si="25"/>
        <v>-2374515.776699028</v>
      </c>
      <c r="M64" s="128"/>
      <c r="N64" s="87">
        <f t="shared" si="26"/>
        <v>-2374515.776699028</v>
      </c>
      <c r="O64" s="87">
        <f t="shared" si="30"/>
        <v>831080.5218446597</v>
      </c>
      <c r="P64" s="87">
        <f t="shared" si="31"/>
        <v>15680.764563106815</v>
      </c>
      <c r="Q64" s="87">
        <f t="shared" si="32"/>
        <v>-1543435.2548543683</v>
      </c>
      <c r="R64" s="87">
        <f>(Q52+Q64+(SUM(Q53:Q63))*2)/24</f>
        <v>-1718163.774271844</v>
      </c>
      <c r="S64" s="87">
        <f t="shared" si="20"/>
        <v>-2643328.8834951445</v>
      </c>
      <c r="T64" s="87">
        <f t="shared" si="21"/>
        <v>925165.10922330047</v>
      </c>
      <c r="U64" s="478"/>
    </row>
    <row r="65" spans="1:21" ht="12.95" hidden="1" customHeight="1" outlineLevel="1">
      <c r="A65" s="86">
        <v>41820</v>
      </c>
      <c r="B65" s="87">
        <f t="shared" si="27"/>
        <v>-4614625</v>
      </c>
      <c r="C65" s="87">
        <f t="shared" si="27"/>
        <v>-4614625</v>
      </c>
      <c r="D65" s="128"/>
      <c r="E65" s="87">
        <v>0</v>
      </c>
      <c r="F65" s="87">
        <f t="shared" si="28"/>
        <v>-44802.184466019418</v>
      </c>
      <c r="G65" s="128"/>
      <c r="H65" s="87">
        <f t="shared" si="29"/>
        <v>4614625</v>
      </c>
      <c r="I65" s="87">
        <f t="shared" si="29"/>
        <v>2284911.4077669913</v>
      </c>
      <c r="J65" s="128"/>
      <c r="K65" s="87">
        <f t="shared" si="25"/>
        <v>0</v>
      </c>
      <c r="L65" s="87">
        <f t="shared" si="25"/>
        <v>-2329713.5922330087</v>
      </c>
      <c r="M65" s="128"/>
      <c r="N65" s="87">
        <f t="shared" si="26"/>
        <v>-2329713.5922330087</v>
      </c>
      <c r="O65" s="87">
        <f t="shared" si="30"/>
        <v>815399.757281553</v>
      </c>
      <c r="P65" s="87">
        <f t="shared" si="31"/>
        <v>15680.764563106699</v>
      </c>
      <c r="Q65" s="87">
        <f t="shared" si="32"/>
        <v>-1514313.8349514557</v>
      </c>
      <c r="R65" s="87">
        <f t="shared" ref="R65:R122" si="33">(Q53+Q65+(SUM(Q54:Q64))*2)/24</f>
        <v>-1689042.3543689314</v>
      </c>
      <c r="S65" s="87">
        <f t="shared" si="20"/>
        <v>-2598526.6990291253</v>
      </c>
      <c r="T65" s="87">
        <f t="shared" si="21"/>
        <v>909484.34466019366</v>
      </c>
      <c r="U65" s="478"/>
    </row>
    <row r="66" spans="1:21" ht="12.95" hidden="1" customHeight="1" outlineLevel="1">
      <c r="A66" s="86">
        <v>41851</v>
      </c>
      <c r="B66" s="87">
        <f t="shared" ref="B66:C81" si="34">B65</f>
        <v>-4614625</v>
      </c>
      <c r="C66" s="87">
        <f t="shared" si="34"/>
        <v>-4614625</v>
      </c>
      <c r="D66" s="128"/>
      <c r="E66" s="87">
        <v>0</v>
      </c>
      <c r="F66" s="87">
        <f t="shared" si="28"/>
        <v>-44802.184466019418</v>
      </c>
      <c r="G66" s="128"/>
      <c r="H66" s="87">
        <f t="shared" ref="H66:I81" si="35">H65-E66</f>
        <v>4614625</v>
      </c>
      <c r="I66" s="87">
        <f t="shared" si="35"/>
        <v>2329713.5922330106</v>
      </c>
      <c r="J66" s="128"/>
      <c r="K66" s="87">
        <f t="shared" ref="K66:L87" si="36">B66+H66</f>
        <v>0</v>
      </c>
      <c r="L66" s="87">
        <f t="shared" si="36"/>
        <v>-2284911.4077669894</v>
      </c>
      <c r="M66" s="128"/>
      <c r="N66" s="87">
        <f t="shared" si="26"/>
        <v>-2284911.4077669894</v>
      </c>
      <c r="O66" s="87">
        <f t="shared" si="30"/>
        <v>799718.9927184463</v>
      </c>
      <c r="P66" s="87">
        <f t="shared" si="31"/>
        <v>15680.764563106699</v>
      </c>
      <c r="Q66" s="87">
        <f t="shared" si="32"/>
        <v>-1485192.4150485431</v>
      </c>
      <c r="R66" s="87">
        <f t="shared" si="33"/>
        <v>-1659920.9344660186</v>
      </c>
      <c r="S66" s="87">
        <f t="shared" si="20"/>
        <v>-2553724.514563106</v>
      </c>
      <c r="T66" s="87">
        <f t="shared" si="21"/>
        <v>893803.58009708684</v>
      </c>
      <c r="U66" s="478"/>
    </row>
    <row r="67" spans="1:21" ht="12.95" hidden="1" customHeight="1" outlineLevel="1">
      <c r="A67" s="86">
        <v>41882</v>
      </c>
      <c r="B67" s="87">
        <f t="shared" si="34"/>
        <v>-4614625</v>
      </c>
      <c r="C67" s="87">
        <f t="shared" si="34"/>
        <v>-4614625</v>
      </c>
      <c r="D67" s="128"/>
      <c r="E67" s="87">
        <v>0</v>
      </c>
      <c r="F67" s="87">
        <f t="shared" si="28"/>
        <v>-44802.184466019418</v>
      </c>
      <c r="G67" s="128"/>
      <c r="H67" s="87">
        <f t="shared" si="35"/>
        <v>4614625</v>
      </c>
      <c r="I67" s="87">
        <f t="shared" si="35"/>
        <v>2374515.7766990298</v>
      </c>
      <c r="J67" s="128"/>
      <c r="K67" s="87">
        <f t="shared" si="36"/>
        <v>0</v>
      </c>
      <c r="L67" s="87">
        <f t="shared" si="36"/>
        <v>-2240109.2233009702</v>
      </c>
      <c r="M67" s="128"/>
      <c r="N67" s="87">
        <f t="shared" si="26"/>
        <v>-2240109.2233009702</v>
      </c>
      <c r="O67" s="87">
        <f t="shared" si="30"/>
        <v>784038.22815533949</v>
      </c>
      <c r="P67" s="87">
        <f t="shared" si="31"/>
        <v>15680.764563106815</v>
      </c>
      <c r="Q67" s="87">
        <f t="shared" si="32"/>
        <v>-1456070.9951456306</v>
      </c>
      <c r="R67" s="87">
        <f t="shared" si="33"/>
        <v>-1630799.514563106</v>
      </c>
      <c r="S67" s="87">
        <f t="shared" si="20"/>
        <v>-2508922.3300970867</v>
      </c>
      <c r="T67" s="87">
        <f t="shared" si="21"/>
        <v>878122.81553398015</v>
      </c>
      <c r="U67" s="478"/>
    </row>
    <row r="68" spans="1:21" ht="12.95" hidden="1" customHeight="1" outlineLevel="1">
      <c r="A68" s="86">
        <v>41912</v>
      </c>
      <c r="B68" s="87">
        <f t="shared" si="34"/>
        <v>-4614625</v>
      </c>
      <c r="C68" s="87">
        <f t="shared" si="34"/>
        <v>-4614625</v>
      </c>
      <c r="D68" s="128"/>
      <c r="E68" s="87">
        <v>0</v>
      </c>
      <c r="F68" s="87">
        <f t="shared" si="28"/>
        <v>-44802.184466019418</v>
      </c>
      <c r="G68" s="128"/>
      <c r="H68" s="87">
        <f t="shared" si="35"/>
        <v>4614625</v>
      </c>
      <c r="I68" s="87">
        <f t="shared" si="35"/>
        <v>2419317.9611650491</v>
      </c>
      <c r="J68" s="128"/>
      <c r="K68" s="87">
        <f t="shared" si="36"/>
        <v>0</v>
      </c>
      <c r="L68" s="87">
        <f t="shared" si="36"/>
        <v>-2195307.0388349509</v>
      </c>
      <c r="M68" s="128"/>
      <c r="N68" s="87">
        <f t="shared" si="26"/>
        <v>-2195307.0388349509</v>
      </c>
      <c r="O68" s="87">
        <f t="shared" si="30"/>
        <v>768357.46359223279</v>
      </c>
      <c r="P68" s="87">
        <f t="shared" si="31"/>
        <v>15680.764563106699</v>
      </c>
      <c r="Q68" s="87">
        <f t="shared" si="32"/>
        <v>-1426949.5752427182</v>
      </c>
      <c r="R68" s="87">
        <f t="shared" si="33"/>
        <v>-1601678.0946601934</v>
      </c>
      <c r="S68" s="87">
        <f t="shared" si="20"/>
        <v>-2464120.1456310675</v>
      </c>
      <c r="T68" s="87">
        <f t="shared" si="21"/>
        <v>862442.05097087333</v>
      </c>
      <c r="U68" s="478"/>
    </row>
    <row r="69" spans="1:21" ht="12.95" hidden="1" customHeight="1" outlineLevel="1">
      <c r="A69" s="86">
        <v>41943</v>
      </c>
      <c r="B69" s="87">
        <f t="shared" si="34"/>
        <v>-4614625</v>
      </c>
      <c r="C69" s="87">
        <f t="shared" si="34"/>
        <v>-4614625</v>
      </c>
      <c r="D69" s="128"/>
      <c r="E69" s="87">
        <v>0</v>
      </c>
      <c r="F69" s="87">
        <f t="shared" si="28"/>
        <v>-44802.184466019418</v>
      </c>
      <c r="G69" s="128"/>
      <c r="H69" s="87">
        <f t="shared" si="35"/>
        <v>4614625</v>
      </c>
      <c r="I69" s="87">
        <f t="shared" si="35"/>
        <v>2464120.1456310684</v>
      </c>
      <c r="J69" s="128"/>
      <c r="K69" s="87">
        <f t="shared" si="36"/>
        <v>0</v>
      </c>
      <c r="L69" s="87">
        <f t="shared" si="36"/>
        <v>-2150504.8543689316</v>
      </c>
      <c r="M69" s="128"/>
      <c r="N69" s="87">
        <f t="shared" si="26"/>
        <v>-2150504.8543689316</v>
      </c>
      <c r="O69" s="87">
        <f t="shared" si="30"/>
        <v>752676.69902912597</v>
      </c>
      <c r="P69" s="87">
        <f t="shared" si="31"/>
        <v>15680.764563106815</v>
      </c>
      <c r="Q69" s="87">
        <f t="shared" si="32"/>
        <v>-1397828.1553398056</v>
      </c>
      <c r="R69" s="87">
        <f t="shared" si="33"/>
        <v>-1572556.6747572806</v>
      </c>
      <c r="S69" s="87">
        <f t="shared" si="20"/>
        <v>-2419317.9611650477</v>
      </c>
      <c r="T69" s="87">
        <f t="shared" si="21"/>
        <v>846761.28640776651</v>
      </c>
      <c r="U69" s="478"/>
    </row>
    <row r="70" spans="1:21" ht="12.95" hidden="1" customHeight="1" outlineLevel="1">
      <c r="A70" s="86">
        <v>41973</v>
      </c>
      <c r="B70" s="87">
        <f t="shared" si="34"/>
        <v>-4614625</v>
      </c>
      <c r="C70" s="87">
        <f t="shared" si="34"/>
        <v>-4614625</v>
      </c>
      <c r="D70" s="128"/>
      <c r="E70" s="87">
        <v>0</v>
      </c>
      <c r="F70" s="87">
        <f t="shared" si="28"/>
        <v>-44802.184466019418</v>
      </c>
      <c r="G70" s="128"/>
      <c r="H70" s="87">
        <f t="shared" si="35"/>
        <v>4614625</v>
      </c>
      <c r="I70" s="87">
        <f t="shared" si="35"/>
        <v>2508922.3300970877</v>
      </c>
      <c r="J70" s="128"/>
      <c r="K70" s="87">
        <f t="shared" si="36"/>
        <v>0</v>
      </c>
      <c r="L70" s="87">
        <f t="shared" si="36"/>
        <v>-2105702.6699029123</v>
      </c>
      <c r="M70" s="128"/>
      <c r="N70" s="87">
        <f t="shared" si="26"/>
        <v>-2105702.6699029123</v>
      </c>
      <c r="O70" s="87">
        <f t="shared" si="30"/>
        <v>736995.93446601927</v>
      </c>
      <c r="P70" s="87">
        <f t="shared" si="31"/>
        <v>15680.764563106699</v>
      </c>
      <c r="Q70" s="87">
        <f t="shared" si="32"/>
        <v>-1368706.7354368931</v>
      </c>
      <c r="R70" s="87">
        <f t="shared" si="33"/>
        <v>-1543435.2548543683</v>
      </c>
      <c r="S70" s="87">
        <f t="shared" si="20"/>
        <v>-2374515.7766990284</v>
      </c>
      <c r="T70" s="87">
        <f t="shared" si="21"/>
        <v>831080.52184465958</v>
      </c>
      <c r="U70" s="478"/>
    </row>
    <row r="71" spans="1:21" ht="12.6" hidden="1" customHeight="1" outlineLevel="1">
      <c r="A71" s="86">
        <v>42004</v>
      </c>
      <c r="B71" s="87">
        <f t="shared" si="34"/>
        <v>-4614625</v>
      </c>
      <c r="C71" s="87">
        <f t="shared" si="34"/>
        <v>-4614625</v>
      </c>
      <c r="D71" s="128"/>
      <c r="E71" s="87">
        <v>0</v>
      </c>
      <c r="F71" s="87">
        <f t="shared" si="28"/>
        <v>-44802.184466019418</v>
      </c>
      <c r="G71" s="128"/>
      <c r="H71" s="87">
        <f t="shared" si="35"/>
        <v>4614625</v>
      </c>
      <c r="I71" s="87">
        <f t="shared" si="35"/>
        <v>2553724.5145631069</v>
      </c>
      <c r="J71" s="128"/>
      <c r="K71" s="87">
        <f t="shared" si="36"/>
        <v>0</v>
      </c>
      <c r="L71" s="87">
        <f t="shared" si="36"/>
        <v>-2060900.4854368931</v>
      </c>
      <c r="M71" s="128"/>
      <c r="N71" s="87">
        <f t="shared" si="26"/>
        <v>-2060900.4854368931</v>
      </c>
      <c r="O71" s="87">
        <f t="shared" si="30"/>
        <v>721315.16990291257</v>
      </c>
      <c r="P71" s="87">
        <f t="shared" si="31"/>
        <v>15680.764563106699</v>
      </c>
      <c r="Q71" s="87">
        <f t="shared" si="32"/>
        <v>-1339585.3155339805</v>
      </c>
      <c r="R71" s="87">
        <f t="shared" si="33"/>
        <v>-1514313.8349514559</v>
      </c>
      <c r="S71" s="87">
        <f t="shared" si="20"/>
        <v>-2329713.5922330092</v>
      </c>
      <c r="T71" s="87">
        <f t="shared" si="21"/>
        <v>815399.757281553</v>
      </c>
      <c r="U71" s="478"/>
    </row>
    <row r="72" spans="1:21" ht="12.95" hidden="1" customHeight="1" outlineLevel="1">
      <c r="A72" s="85">
        <v>42035</v>
      </c>
      <c r="B72" s="32">
        <f t="shared" si="34"/>
        <v>-4614625</v>
      </c>
      <c r="C72" s="32">
        <f t="shared" si="34"/>
        <v>-4614625</v>
      </c>
      <c r="D72" s="89"/>
      <c r="E72" s="32">
        <v>0</v>
      </c>
      <c r="F72" s="87">
        <f t="shared" si="28"/>
        <v>-44802.184466019418</v>
      </c>
      <c r="G72" s="89"/>
      <c r="H72" s="32">
        <f t="shared" si="35"/>
        <v>4614625</v>
      </c>
      <c r="I72" s="32">
        <f t="shared" si="35"/>
        <v>2598526.6990291262</v>
      </c>
      <c r="J72" s="89"/>
      <c r="K72" s="32">
        <f t="shared" si="36"/>
        <v>0</v>
      </c>
      <c r="L72" s="32">
        <f t="shared" si="36"/>
        <v>-2016098.3009708738</v>
      </c>
      <c r="M72" s="89"/>
      <c r="N72" s="32">
        <f t="shared" si="26"/>
        <v>-2016098.3009708738</v>
      </c>
      <c r="O72" s="32">
        <f t="shared" si="30"/>
        <v>705634.40533980576</v>
      </c>
      <c r="P72" s="32">
        <f t="shared" si="31"/>
        <v>15680.764563106815</v>
      </c>
      <c r="Q72" s="32">
        <f t="shared" si="32"/>
        <v>-1310463.8956310679</v>
      </c>
      <c r="R72" s="87">
        <f t="shared" si="33"/>
        <v>-1485192.4150485431</v>
      </c>
      <c r="S72" s="87">
        <f t="shared" si="20"/>
        <v>-2284911.4077669899</v>
      </c>
      <c r="T72" s="87">
        <f t="shared" si="21"/>
        <v>799718.99271844642</v>
      </c>
      <c r="U72" s="478"/>
    </row>
    <row r="73" spans="1:21" ht="12.95" hidden="1" customHeight="1" outlineLevel="1">
      <c r="A73" s="86">
        <v>42063</v>
      </c>
      <c r="B73" s="87">
        <f t="shared" si="34"/>
        <v>-4614625</v>
      </c>
      <c r="C73" s="87">
        <f t="shared" si="34"/>
        <v>-4614625</v>
      </c>
      <c r="D73" s="128"/>
      <c r="E73" s="87">
        <v>0</v>
      </c>
      <c r="F73" s="87">
        <f t="shared" si="28"/>
        <v>-44802.184466019418</v>
      </c>
      <c r="G73" s="128"/>
      <c r="H73" s="87">
        <f t="shared" si="35"/>
        <v>4614625</v>
      </c>
      <c r="I73" s="87">
        <f t="shared" si="35"/>
        <v>2643328.8834951455</v>
      </c>
      <c r="J73" s="128"/>
      <c r="K73" s="87">
        <f t="shared" si="36"/>
        <v>0</v>
      </c>
      <c r="L73" s="87">
        <f t="shared" si="36"/>
        <v>-1971296.1165048545</v>
      </c>
      <c r="M73" s="128"/>
      <c r="N73" s="87">
        <f t="shared" si="26"/>
        <v>-1971296.1165048545</v>
      </c>
      <c r="O73" s="87">
        <f t="shared" si="30"/>
        <v>689953.64077669906</v>
      </c>
      <c r="P73" s="87">
        <f t="shared" si="31"/>
        <v>15680.764563106699</v>
      </c>
      <c r="Q73" s="87">
        <f t="shared" si="32"/>
        <v>-1281342.4757281556</v>
      </c>
      <c r="R73" s="87">
        <f t="shared" si="33"/>
        <v>-1456070.9951456308</v>
      </c>
      <c r="S73" s="87">
        <f t="shared" si="20"/>
        <v>-2240109.2233009706</v>
      </c>
      <c r="T73" s="87">
        <f t="shared" si="21"/>
        <v>784038.22815533949</v>
      </c>
      <c r="U73" s="478"/>
    </row>
    <row r="74" spans="1:21" ht="12.95" hidden="1" customHeight="1" outlineLevel="1">
      <c r="A74" s="86">
        <v>42094</v>
      </c>
      <c r="B74" s="87">
        <f t="shared" si="34"/>
        <v>-4614625</v>
      </c>
      <c r="C74" s="87">
        <f t="shared" si="34"/>
        <v>-4614625</v>
      </c>
      <c r="D74" s="128"/>
      <c r="E74" s="87">
        <v>0</v>
      </c>
      <c r="F74" s="87">
        <f t="shared" si="28"/>
        <v>-44802.184466019418</v>
      </c>
      <c r="G74" s="128"/>
      <c r="H74" s="87">
        <f t="shared" si="35"/>
        <v>4614625</v>
      </c>
      <c r="I74" s="87">
        <f t="shared" si="35"/>
        <v>2688131.0679611648</v>
      </c>
      <c r="J74" s="128"/>
      <c r="K74" s="87">
        <f t="shared" si="36"/>
        <v>0</v>
      </c>
      <c r="L74" s="87">
        <f t="shared" si="36"/>
        <v>-1926493.9320388352</v>
      </c>
      <c r="M74" s="128"/>
      <c r="N74" s="87">
        <f t="shared" si="26"/>
        <v>-1926493.9320388352</v>
      </c>
      <c r="O74" s="87">
        <f t="shared" si="30"/>
        <v>674272.87621359224</v>
      </c>
      <c r="P74" s="87">
        <f t="shared" si="31"/>
        <v>15680.764563106815</v>
      </c>
      <c r="Q74" s="87">
        <f t="shared" si="32"/>
        <v>-1252221.055825243</v>
      </c>
      <c r="R74" s="87">
        <f t="shared" si="33"/>
        <v>-1426949.5752427184</v>
      </c>
      <c r="S74" s="87">
        <f t="shared" si="20"/>
        <v>-2195307.0388349514</v>
      </c>
      <c r="T74" s="87">
        <f t="shared" si="21"/>
        <v>768357.46359223279</v>
      </c>
      <c r="U74" s="478"/>
    </row>
    <row r="75" spans="1:21" ht="12.95" hidden="1" customHeight="1" outlineLevel="1">
      <c r="A75" s="86">
        <v>42124</v>
      </c>
      <c r="B75" s="87">
        <f t="shared" si="34"/>
        <v>-4614625</v>
      </c>
      <c r="C75" s="87">
        <f t="shared" si="34"/>
        <v>-4614625</v>
      </c>
      <c r="D75" s="128"/>
      <c r="E75" s="87">
        <v>0</v>
      </c>
      <c r="F75" s="87">
        <f t="shared" si="28"/>
        <v>-44802.184466019418</v>
      </c>
      <c r="G75" s="128"/>
      <c r="H75" s="87">
        <f t="shared" si="35"/>
        <v>4614625</v>
      </c>
      <c r="I75" s="87">
        <f t="shared" si="35"/>
        <v>2732933.252427184</v>
      </c>
      <c r="J75" s="128"/>
      <c r="K75" s="87">
        <f t="shared" si="36"/>
        <v>0</v>
      </c>
      <c r="L75" s="87">
        <f t="shared" si="36"/>
        <v>-1881691.747572816</v>
      </c>
      <c r="M75" s="128"/>
      <c r="N75" s="87">
        <f t="shared" si="26"/>
        <v>-1881691.747572816</v>
      </c>
      <c r="O75" s="87">
        <f t="shared" si="30"/>
        <v>658592.11165048555</v>
      </c>
      <c r="P75" s="87">
        <f t="shared" si="31"/>
        <v>15680.764563106699</v>
      </c>
      <c r="Q75" s="87">
        <f t="shared" si="32"/>
        <v>-1223099.6359223304</v>
      </c>
      <c r="R75" s="87">
        <f t="shared" si="33"/>
        <v>-1397828.1553398056</v>
      </c>
      <c r="S75" s="87">
        <f t="shared" ref="S75:S79" si="37">(L63+L75+SUM(L64:L74)*2)/24</f>
        <v>-2150504.8543689321</v>
      </c>
      <c r="T75" s="87">
        <f t="shared" ref="T75:T79" si="38">(O63+O75+SUM(O64:O74)*2)/24</f>
        <v>752676.69902912609</v>
      </c>
      <c r="U75" s="478"/>
    </row>
    <row r="76" spans="1:21" ht="12.95" hidden="1" customHeight="1" outlineLevel="1">
      <c r="A76" s="85">
        <v>42155</v>
      </c>
      <c r="B76" s="32">
        <f t="shared" si="34"/>
        <v>-4614625</v>
      </c>
      <c r="C76" s="32">
        <f t="shared" si="34"/>
        <v>-4614625</v>
      </c>
      <c r="D76" s="89"/>
      <c r="E76" s="32">
        <v>0</v>
      </c>
      <c r="F76" s="87">
        <f t="shared" si="28"/>
        <v>-44802.184466019418</v>
      </c>
      <c r="G76" s="89"/>
      <c r="H76" s="32">
        <f t="shared" si="35"/>
        <v>4614625</v>
      </c>
      <c r="I76" s="32">
        <f t="shared" si="35"/>
        <v>2777735.4368932033</v>
      </c>
      <c r="J76" s="89"/>
      <c r="K76" s="32">
        <f t="shared" si="36"/>
        <v>0</v>
      </c>
      <c r="L76" s="32">
        <f t="shared" si="36"/>
        <v>-1836889.5631067967</v>
      </c>
      <c r="M76" s="89"/>
      <c r="N76" s="32">
        <f t="shared" si="26"/>
        <v>-1836889.5631067967</v>
      </c>
      <c r="O76" s="32">
        <f t="shared" si="30"/>
        <v>642911.34708737885</v>
      </c>
      <c r="P76" s="32">
        <f t="shared" si="31"/>
        <v>15680.764563106699</v>
      </c>
      <c r="Q76" s="32">
        <f t="shared" si="32"/>
        <v>-1193978.2160194179</v>
      </c>
      <c r="R76" s="87">
        <f t="shared" si="33"/>
        <v>-1368706.7354368933</v>
      </c>
      <c r="S76" s="87">
        <f t="shared" si="37"/>
        <v>-2105702.6699029128</v>
      </c>
      <c r="T76" s="87">
        <f t="shared" si="38"/>
        <v>736995.93446601927</v>
      </c>
      <c r="U76" s="478"/>
    </row>
    <row r="77" spans="1:21" ht="12.95" hidden="1" customHeight="1" outlineLevel="1">
      <c r="A77" s="86">
        <v>42185</v>
      </c>
      <c r="B77" s="87">
        <f t="shared" si="34"/>
        <v>-4614625</v>
      </c>
      <c r="C77" s="87">
        <f t="shared" si="34"/>
        <v>-4614625</v>
      </c>
      <c r="D77" s="128"/>
      <c r="E77" s="87">
        <v>0</v>
      </c>
      <c r="F77" s="87">
        <f t="shared" si="28"/>
        <v>-44802.184466019418</v>
      </c>
      <c r="G77" s="128"/>
      <c r="H77" s="87">
        <f t="shared" si="35"/>
        <v>4614625</v>
      </c>
      <c r="I77" s="87">
        <f t="shared" si="35"/>
        <v>2822537.6213592226</v>
      </c>
      <c r="J77" s="128"/>
      <c r="K77" s="87">
        <f t="shared" si="36"/>
        <v>0</v>
      </c>
      <c r="L77" s="87">
        <f t="shared" si="36"/>
        <v>-1792087.3786407774</v>
      </c>
      <c r="M77" s="128"/>
      <c r="N77" s="87">
        <f t="shared" si="26"/>
        <v>-1792087.3786407774</v>
      </c>
      <c r="O77" s="87">
        <f t="shared" si="30"/>
        <v>627230.58252427203</v>
      </c>
      <c r="P77" s="87">
        <f t="shared" si="31"/>
        <v>15680.764563106815</v>
      </c>
      <c r="Q77" s="87">
        <f t="shared" si="32"/>
        <v>-1164856.7961165053</v>
      </c>
      <c r="R77" s="87">
        <f t="shared" si="33"/>
        <v>-1339585.3155339805</v>
      </c>
      <c r="S77" s="87">
        <f t="shared" si="37"/>
        <v>-2060900.4854368938</v>
      </c>
      <c r="T77" s="87">
        <f t="shared" si="38"/>
        <v>721315.16990291246</v>
      </c>
      <c r="U77" s="478"/>
    </row>
    <row r="78" spans="1:21" ht="12.6" hidden="1" customHeight="1" outlineLevel="1">
      <c r="A78" s="86">
        <v>42216</v>
      </c>
      <c r="B78" s="87">
        <f t="shared" si="34"/>
        <v>-4614625</v>
      </c>
      <c r="C78" s="87">
        <f t="shared" si="34"/>
        <v>-4614625</v>
      </c>
      <c r="D78" s="128"/>
      <c r="E78" s="87">
        <v>0</v>
      </c>
      <c r="F78" s="87">
        <f t="shared" si="28"/>
        <v>-44802.184466019418</v>
      </c>
      <c r="G78" s="128"/>
      <c r="H78" s="87">
        <f t="shared" si="35"/>
        <v>4614625</v>
      </c>
      <c r="I78" s="87">
        <f t="shared" si="35"/>
        <v>2867339.8058252418</v>
      </c>
      <c r="J78" s="128"/>
      <c r="K78" s="87">
        <f t="shared" si="36"/>
        <v>0</v>
      </c>
      <c r="L78" s="87">
        <f t="shared" si="36"/>
        <v>-1747285.1941747582</v>
      </c>
      <c r="M78" s="128"/>
      <c r="N78" s="87">
        <f t="shared" si="26"/>
        <v>-1747285.1941747582</v>
      </c>
      <c r="O78" s="87">
        <f t="shared" si="30"/>
        <v>611549.81796116533</v>
      </c>
      <c r="P78" s="87">
        <f t="shared" si="31"/>
        <v>15680.764563106699</v>
      </c>
      <c r="Q78" s="87">
        <f t="shared" si="32"/>
        <v>-1135735.3762135929</v>
      </c>
      <c r="R78" s="87">
        <f t="shared" si="33"/>
        <v>-1310463.8956310682</v>
      </c>
      <c r="S78" s="87">
        <f t="shared" si="37"/>
        <v>-2016098.3009708745</v>
      </c>
      <c r="T78" s="87">
        <f t="shared" si="38"/>
        <v>705634.40533980576</v>
      </c>
      <c r="U78" s="478"/>
    </row>
    <row r="79" spans="1:21" ht="12.6" hidden="1" customHeight="1" outlineLevel="1">
      <c r="A79" s="86">
        <v>42247</v>
      </c>
      <c r="B79" s="87">
        <f t="shared" si="34"/>
        <v>-4614625</v>
      </c>
      <c r="C79" s="87">
        <f t="shared" si="34"/>
        <v>-4614625</v>
      </c>
      <c r="D79" s="128"/>
      <c r="E79" s="87">
        <v>0</v>
      </c>
      <c r="F79" s="87">
        <f t="shared" si="28"/>
        <v>-44802.184466019418</v>
      </c>
      <c r="G79" s="128"/>
      <c r="H79" s="87">
        <f t="shared" si="35"/>
        <v>4614625</v>
      </c>
      <c r="I79" s="87">
        <f t="shared" si="35"/>
        <v>2912141.9902912611</v>
      </c>
      <c r="J79" s="128"/>
      <c r="K79" s="87">
        <f t="shared" si="36"/>
        <v>0</v>
      </c>
      <c r="L79" s="87">
        <f t="shared" si="36"/>
        <v>-1702483.0097087389</v>
      </c>
      <c r="M79" s="128"/>
      <c r="N79" s="87">
        <f t="shared" si="26"/>
        <v>-1702483.0097087389</v>
      </c>
      <c r="O79" s="87">
        <f t="shared" si="30"/>
        <v>595869.05339805852</v>
      </c>
      <c r="P79" s="87">
        <f t="shared" si="31"/>
        <v>15680.764563106815</v>
      </c>
      <c r="Q79" s="87">
        <f t="shared" si="32"/>
        <v>-1106613.9563106804</v>
      </c>
      <c r="R79" s="87">
        <f t="shared" si="33"/>
        <v>-1281342.4757281558</v>
      </c>
      <c r="S79" s="87">
        <f t="shared" si="37"/>
        <v>-1971296.1165048552</v>
      </c>
      <c r="T79" s="87">
        <f t="shared" si="38"/>
        <v>689953.64077669906</v>
      </c>
      <c r="U79" s="478"/>
    </row>
    <row r="80" spans="1:21" ht="12.6" hidden="1" customHeight="1" outlineLevel="1">
      <c r="A80" s="86">
        <v>42277</v>
      </c>
      <c r="B80" s="87">
        <f t="shared" si="34"/>
        <v>-4614625</v>
      </c>
      <c r="C80" s="87">
        <f t="shared" si="34"/>
        <v>-4614625</v>
      </c>
      <c r="D80" s="128"/>
      <c r="E80" s="87">
        <v>0</v>
      </c>
      <c r="F80" s="87">
        <f t="shared" si="28"/>
        <v>-44802.184466019418</v>
      </c>
      <c r="G80" s="128"/>
      <c r="H80" s="87">
        <f t="shared" si="35"/>
        <v>4614625</v>
      </c>
      <c r="I80" s="87">
        <f t="shared" si="35"/>
        <v>2956944.1747572804</v>
      </c>
      <c r="J80" s="128"/>
      <c r="K80" s="87">
        <f t="shared" si="36"/>
        <v>0</v>
      </c>
      <c r="L80" s="87">
        <f t="shared" si="36"/>
        <v>-1657680.8252427196</v>
      </c>
      <c r="M80" s="128"/>
      <c r="N80" s="87">
        <f t="shared" si="26"/>
        <v>-1657680.8252427196</v>
      </c>
      <c r="O80" s="87">
        <f t="shared" si="30"/>
        <v>580188.28883495182</v>
      </c>
      <c r="P80" s="87">
        <f t="shared" si="31"/>
        <v>15680.764563106699</v>
      </c>
      <c r="Q80" s="87">
        <f t="shared" si="32"/>
        <v>-1077492.5364077678</v>
      </c>
      <c r="R80" s="87">
        <f t="shared" si="33"/>
        <v>-1252221.055825243</v>
      </c>
      <c r="S80" s="87">
        <f t="shared" ref="S80:S81" si="39">(L68+L80+SUM(L69:L79)*2)/24</f>
        <v>-1926493.9320388359</v>
      </c>
      <c r="T80" s="87">
        <f t="shared" ref="T80:T81" si="40">(O68+O80+SUM(O69:O79)*2)/24</f>
        <v>674272.87621359236</v>
      </c>
      <c r="U80" s="478"/>
    </row>
    <row r="81" spans="1:21" ht="12.95" hidden="1" customHeight="1" outlineLevel="1">
      <c r="A81" s="86">
        <v>42308</v>
      </c>
      <c r="B81" s="87">
        <f t="shared" si="34"/>
        <v>-4614625</v>
      </c>
      <c r="C81" s="87">
        <f t="shared" si="34"/>
        <v>-4614625</v>
      </c>
      <c r="D81" s="128"/>
      <c r="E81" s="87">
        <v>0</v>
      </c>
      <c r="F81" s="87">
        <f t="shared" si="28"/>
        <v>-44802.184466019418</v>
      </c>
      <c r="G81" s="128"/>
      <c r="H81" s="87">
        <f t="shared" si="35"/>
        <v>4614625</v>
      </c>
      <c r="I81" s="87">
        <f t="shared" si="35"/>
        <v>3001746.3592232997</v>
      </c>
      <c r="J81" s="128"/>
      <c r="K81" s="87">
        <f t="shared" si="36"/>
        <v>0</v>
      </c>
      <c r="L81" s="87">
        <f t="shared" si="36"/>
        <v>-1612878.6407767003</v>
      </c>
      <c r="M81" s="128"/>
      <c r="N81" s="87">
        <f t="shared" si="26"/>
        <v>-1612878.6407767003</v>
      </c>
      <c r="O81" s="87">
        <f t="shared" si="30"/>
        <v>564507.52427184512</v>
      </c>
      <c r="P81" s="87">
        <f t="shared" si="31"/>
        <v>15680.764563106699</v>
      </c>
      <c r="Q81" s="87">
        <f t="shared" si="32"/>
        <v>-1048371.1165048552</v>
      </c>
      <c r="R81" s="87">
        <f t="shared" si="33"/>
        <v>-1223099.6359223304</v>
      </c>
      <c r="S81" s="87">
        <f t="shared" si="39"/>
        <v>-1881691.7475728167</v>
      </c>
      <c r="T81" s="87">
        <f t="shared" si="40"/>
        <v>658592.11165048555</v>
      </c>
      <c r="U81" s="478"/>
    </row>
    <row r="82" spans="1:21" ht="12.95" hidden="1" customHeight="1" outlineLevel="1">
      <c r="A82" s="86">
        <v>42338</v>
      </c>
      <c r="B82" s="87">
        <f t="shared" ref="B82:C97" si="41">B81</f>
        <v>-4614625</v>
      </c>
      <c r="C82" s="87">
        <f t="shared" si="41"/>
        <v>-4614625</v>
      </c>
      <c r="D82" s="128"/>
      <c r="E82" s="87">
        <v>0</v>
      </c>
      <c r="F82" s="87">
        <f t="shared" si="28"/>
        <v>-44802.184466019418</v>
      </c>
      <c r="G82" s="128"/>
      <c r="H82" s="87">
        <f t="shared" ref="H82:I97" si="42">H81-E82</f>
        <v>4614625</v>
      </c>
      <c r="I82" s="87">
        <f t="shared" si="42"/>
        <v>3046548.5436893189</v>
      </c>
      <c r="J82" s="128"/>
      <c r="K82" s="87">
        <f t="shared" si="36"/>
        <v>0</v>
      </c>
      <c r="L82" s="87">
        <f t="shared" si="36"/>
        <v>-1568076.4563106811</v>
      </c>
      <c r="M82" s="128"/>
      <c r="N82" s="87">
        <f t="shared" si="26"/>
        <v>-1568076.4563106811</v>
      </c>
      <c r="O82" s="87">
        <f t="shared" si="30"/>
        <v>548826.7597087383</v>
      </c>
      <c r="P82" s="87">
        <f t="shared" si="31"/>
        <v>15680.764563106815</v>
      </c>
      <c r="Q82" s="87">
        <f t="shared" si="32"/>
        <v>-1019249.6966019428</v>
      </c>
      <c r="R82" s="87">
        <f t="shared" si="33"/>
        <v>-1193978.2160194181</v>
      </c>
      <c r="S82" s="87">
        <f t="shared" ref="S82" si="43">(L70+L82+SUM(L71:L81)*2)/24</f>
        <v>-1836889.5631067974</v>
      </c>
      <c r="T82" s="87">
        <f t="shared" ref="T82" si="44">(O70+O82+SUM(O71:O81)*2)/24</f>
        <v>642911.34708737873</v>
      </c>
      <c r="U82" s="478"/>
    </row>
    <row r="83" spans="1:21" ht="12.95" hidden="1" customHeight="1" outlineLevel="1">
      <c r="A83" s="86">
        <v>42369</v>
      </c>
      <c r="B83" s="87">
        <f t="shared" si="41"/>
        <v>-4614625</v>
      </c>
      <c r="C83" s="87">
        <f t="shared" si="41"/>
        <v>-4614625</v>
      </c>
      <c r="D83" s="128"/>
      <c r="E83" s="87">
        <v>0</v>
      </c>
      <c r="F83" s="87">
        <f t="shared" si="28"/>
        <v>-44802.184466019418</v>
      </c>
      <c r="G83" s="128"/>
      <c r="H83" s="87">
        <f t="shared" si="42"/>
        <v>4614625</v>
      </c>
      <c r="I83" s="87">
        <f t="shared" si="42"/>
        <v>3091350.7281553382</v>
      </c>
      <c r="J83" s="128"/>
      <c r="K83" s="87">
        <f t="shared" si="36"/>
        <v>0</v>
      </c>
      <c r="L83" s="87">
        <f t="shared" si="36"/>
        <v>-1523274.2718446618</v>
      </c>
      <c r="M83" s="128"/>
      <c r="N83" s="87">
        <f>L83-K83</f>
        <v>-1523274.2718446618</v>
      </c>
      <c r="O83" s="87">
        <f t="shared" si="30"/>
        <v>533145.9951456316</v>
      </c>
      <c r="P83" s="87">
        <f>-O83+O82</f>
        <v>15680.764563106699</v>
      </c>
      <c r="Q83" s="87">
        <f>L83+O83</f>
        <v>-990128.27669903019</v>
      </c>
      <c r="R83" s="87">
        <f t="shared" si="33"/>
        <v>-1164856.7961165055</v>
      </c>
      <c r="S83" s="87">
        <f>(L71+L83+SUM(L72:L82)*2)/24</f>
        <v>-1792087.3786407781</v>
      </c>
      <c r="T83" s="87">
        <f>(O71+O83+SUM(O72:O82)*2)/24</f>
        <v>627230.58252427203</v>
      </c>
      <c r="U83" s="478"/>
    </row>
    <row r="84" spans="1:21" ht="12.95" hidden="1" customHeight="1" outlineLevel="1">
      <c r="A84" s="86">
        <v>42400</v>
      </c>
      <c r="B84" s="87">
        <f t="shared" si="41"/>
        <v>-4614625</v>
      </c>
      <c r="C84" s="87">
        <f t="shared" si="41"/>
        <v>-4614625</v>
      </c>
      <c r="D84" s="128"/>
      <c r="E84" s="87">
        <v>0</v>
      </c>
      <c r="F84" s="87">
        <f t="shared" si="28"/>
        <v>-44802.184466019418</v>
      </c>
      <c r="G84" s="128"/>
      <c r="H84" s="87">
        <f t="shared" si="42"/>
        <v>4614625</v>
      </c>
      <c r="I84" s="87">
        <f t="shared" si="42"/>
        <v>3136152.9126213575</v>
      </c>
      <c r="J84" s="128"/>
      <c r="K84" s="87">
        <f t="shared" si="36"/>
        <v>0</v>
      </c>
      <c r="L84" s="87">
        <f t="shared" si="36"/>
        <v>-1478472.0873786425</v>
      </c>
      <c r="M84" s="128"/>
      <c r="N84" s="87">
        <f>L84-K84</f>
        <v>-1478472.0873786425</v>
      </c>
      <c r="O84" s="87">
        <f t="shared" si="30"/>
        <v>517465.23058252485</v>
      </c>
      <c r="P84" s="87">
        <f>-O84+O83</f>
        <v>15680.764563106757</v>
      </c>
      <c r="Q84" s="87">
        <f>L84+O84</f>
        <v>-961006.85679611773</v>
      </c>
      <c r="R84" s="87">
        <f t="shared" si="33"/>
        <v>-1135735.3762135932</v>
      </c>
      <c r="S84" s="87">
        <f t="shared" ref="S84:S87" si="45">(L72+L84+SUM(L73:L83)*2)/24</f>
        <v>-1747285.1941747589</v>
      </c>
      <c r="T84" s="87">
        <f t="shared" ref="T84:T87" si="46">(O72+O84+SUM(O73:O83)*2)/24</f>
        <v>611549.81796116533</v>
      </c>
    </row>
    <row r="85" spans="1:21" ht="12.95" hidden="1" customHeight="1" outlineLevel="1">
      <c r="A85" s="86">
        <v>42429</v>
      </c>
      <c r="B85" s="87">
        <f t="shared" si="41"/>
        <v>-4614625</v>
      </c>
      <c r="C85" s="87">
        <f t="shared" si="41"/>
        <v>-4614625</v>
      </c>
      <c r="D85" s="128"/>
      <c r="E85" s="87">
        <v>0</v>
      </c>
      <c r="F85" s="87">
        <f t="shared" si="28"/>
        <v>-44802.184466019418</v>
      </c>
      <c r="G85" s="128"/>
      <c r="H85" s="87">
        <f t="shared" si="42"/>
        <v>4614625</v>
      </c>
      <c r="I85" s="87">
        <f t="shared" si="42"/>
        <v>3180955.0970873768</v>
      </c>
      <c r="J85" s="128"/>
      <c r="K85" s="87">
        <f t="shared" si="36"/>
        <v>0</v>
      </c>
      <c r="L85" s="87">
        <f t="shared" si="36"/>
        <v>-1433669.9029126232</v>
      </c>
      <c r="M85" s="128"/>
      <c r="N85" s="87">
        <f>L85-K85</f>
        <v>-1433669.9029126232</v>
      </c>
      <c r="O85" s="87">
        <f t="shared" si="30"/>
        <v>501784.46601941809</v>
      </c>
      <c r="P85" s="87">
        <f>-O85+O84</f>
        <v>15680.764563106757</v>
      </c>
      <c r="Q85" s="87">
        <f>L85+O85</f>
        <v>-931885.43689320516</v>
      </c>
      <c r="R85" s="87">
        <f t="shared" si="33"/>
        <v>-1106613.9563106804</v>
      </c>
      <c r="S85" s="87">
        <f t="shared" si="45"/>
        <v>-1702483.0097087396</v>
      </c>
      <c r="T85" s="87">
        <f t="shared" si="46"/>
        <v>595869.05339805863</v>
      </c>
    </row>
    <row r="86" spans="1:21" ht="12.95" hidden="1" customHeight="1" outlineLevel="1">
      <c r="A86" s="86">
        <v>42460</v>
      </c>
      <c r="B86" s="87">
        <f t="shared" si="41"/>
        <v>-4614625</v>
      </c>
      <c r="C86" s="87">
        <f t="shared" si="41"/>
        <v>-4614625</v>
      </c>
      <c r="D86" s="128"/>
      <c r="E86" s="87">
        <v>0</v>
      </c>
      <c r="F86" s="87">
        <f t="shared" si="28"/>
        <v>-44802.184466019418</v>
      </c>
      <c r="G86" s="128"/>
      <c r="H86" s="87">
        <f t="shared" si="42"/>
        <v>4614625</v>
      </c>
      <c r="I86" s="87">
        <f t="shared" si="42"/>
        <v>3225757.281553396</v>
      </c>
      <c r="J86" s="128"/>
      <c r="K86" s="87">
        <f t="shared" si="36"/>
        <v>0</v>
      </c>
      <c r="L86" s="87">
        <f t="shared" si="36"/>
        <v>-1388867.718446604</v>
      </c>
      <c r="M86" s="128"/>
      <c r="N86" s="87">
        <f t="shared" ref="N86:N113" si="47">L86-K86</f>
        <v>-1388867.718446604</v>
      </c>
      <c r="O86" s="87">
        <f t="shared" si="30"/>
        <v>486103.70145631133</v>
      </c>
      <c r="P86" s="87">
        <f t="shared" ref="P86:P113" si="48">-O86+O85</f>
        <v>15680.764563106757</v>
      </c>
      <c r="Q86" s="87">
        <f t="shared" ref="Q86:Q113" si="49">L86+O86</f>
        <v>-902764.01699029258</v>
      </c>
      <c r="R86" s="87">
        <f t="shared" si="33"/>
        <v>-1077492.5364077678</v>
      </c>
      <c r="S86" s="87">
        <f t="shared" si="45"/>
        <v>-1657680.8252427203</v>
      </c>
      <c r="T86" s="87">
        <f t="shared" si="46"/>
        <v>580188.28883495182</v>
      </c>
    </row>
    <row r="87" spans="1:21" ht="12.6" hidden="1" customHeight="1" outlineLevel="1">
      <c r="A87" s="86">
        <v>42490</v>
      </c>
      <c r="B87" s="87">
        <f t="shared" si="41"/>
        <v>-4614625</v>
      </c>
      <c r="C87" s="87">
        <f t="shared" si="41"/>
        <v>-4614625</v>
      </c>
      <c r="D87" s="128"/>
      <c r="E87" s="87">
        <v>0</v>
      </c>
      <c r="F87" s="87">
        <f t="shared" si="28"/>
        <v>-44802.184466019418</v>
      </c>
      <c r="G87" s="128"/>
      <c r="H87" s="87">
        <f t="shared" si="42"/>
        <v>4614625</v>
      </c>
      <c r="I87" s="87">
        <f t="shared" si="42"/>
        <v>3270559.4660194153</v>
      </c>
      <c r="J87" s="128"/>
      <c r="K87" s="87">
        <f t="shared" si="36"/>
        <v>0</v>
      </c>
      <c r="L87" s="87">
        <f t="shared" si="36"/>
        <v>-1344065.5339805847</v>
      </c>
      <c r="M87" s="128"/>
      <c r="N87" s="87">
        <f t="shared" si="47"/>
        <v>-1344065.5339805847</v>
      </c>
      <c r="O87" s="87">
        <f t="shared" si="30"/>
        <v>470422.93689320463</v>
      </c>
      <c r="P87" s="87">
        <f t="shared" si="48"/>
        <v>15680.764563106699</v>
      </c>
      <c r="Q87" s="87">
        <f t="shared" si="49"/>
        <v>-873642.59708738001</v>
      </c>
      <c r="R87" s="87">
        <f t="shared" si="33"/>
        <v>-1048371.1165048555</v>
      </c>
      <c r="S87" s="87">
        <f t="shared" si="45"/>
        <v>-1612878.640776701</v>
      </c>
      <c r="T87" s="87">
        <f t="shared" si="46"/>
        <v>564507.524271845</v>
      </c>
    </row>
    <row r="88" spans="1:21" ht="12.95" hidden="1" customHeight="1" outlineLevel="1">
      <c r="A88" s="86">
        <v>42521</v>
      </c>
      <c r="B88" s="87">
        <f t="shared" si="41"/>
        <v>-4614625</v>
      </c>
      <c r="C88" s="87">
        <f t="shared" si="41"/>
        <v>-4614625</v>
      </c>
      <c r="D88" s="128"/>
      <c r="E88" s="87">
        <v>0</v>
      </c>
      <c r="F88" s="87">
        <f t="shared" si="28"/>
        <v>-44802.184466019418</v>
      </c>
      <c r="G88" s="128"/>
      <c r="H88" s="87">
        <f t="shared" si="42"/>
        <v>4614625</v>
      </c>
      <c r="I88" s="87">
        <f t="shared" si="42"/>
        <v>3315361.6504854346</v>
      </c>
      <c r="J88" s="128"/>
      <c r="K88" s="87">
        <f t="shared" ref="K88:L115" si="50">B88+H88</f>
        <v>0</v>
      </c>
      <c r="L88" s="87">
        <f t="shared" si="50"/>
        <v>-1299263.3495145654</v>
      </c>
      <c r="M88" s="128"/>
      <c r="N88" s="87">
        <f t="shared" si="47"/>
        <v>-1299263.3495145654</v>
      </c>
      <c r="O88" s="87">
        <f t="shared" si="30"/>
        <v>454742.17233009788</v>
      </c>
      <c r="P88" s="87">
        <f t="shared" si="48"/>
        <v>15680.764563106757</v>
      </c>
      <c r="Q88" s="87">
        <f t="shared" si="49"/>
        <v>-844521.17718446755</v>
      </c>
      <c r="R88" s="87">
        <f t="shared" si="33"/>
        <v>-1019249.6966019428</v>
      </c>
      <c r="S88" s="87">
        <f t="shared" ref="S88:S90" si="51">(L76+L88+SUM(L77:L87)*2)/24</f>
        <v>-1568076.4563106818</v>
      </c>
      <c r="T88" s="87">
        <f t="shared" ref="T88:T90" si="52">(O76+O88+SUM(O77:O87)*2)/24</f>
        <v>548826.7597087383</v>
      </c>
    </row>
    <row r="89" spans="1:21" ht="12.95" hidden="1" customHeight="1" outlineLevel="1">
      <c r="A89" s="86">
        <v>42551</v>
      </c>
      <c r="B89" s="87">
        <f t="shared" si="41"/>
        <v>-4614625</v>
      </c>
      <c r="C89" s="87">
        <f t="shared" si="41"/>
        <v>-4614625</v>
      </c>
      <c r="D89" s="128"/>
      <c r="E89" s="87">
        <v>0</v>
      </c>
      <c r="F89" s="87">
        <f t="shared" si="28"/>
        <v>-44802.184466019418</v>
      </c>
      <c r="G89" s="128"/>
      <c r="H89" s="87">
        <f t="shared" si="42"/>
        <v>4614625</v>
      </c>
      <c r="I89" s="87">
        <f t="shared" si="42"/>
        <v>3360163.8349514538</v>
      </c>
      <c r="J89" s="128"/>
      <c r="K89" s="87">
        <f t="shared" si="50"/>
        <v>0</v>
      </c>
      <c r="L89" s="87">
        <f t="shared" si="50"/>
        <v>-1254461.1650485462</v>
      </c>
      <c r="M89" s="128"/>
      <c r="N89" s="87">
        <f t="shared" si="47"/>
        <v>-1254461.1650485462</v>
      </c>
      <c r="O89" s="87">
        <f t="shared" si="30"/>
        <v>439061.40776699112</v>
      </c>
      <c r="P89" s="87">
        <f t="shared" si="48"/>
        <v>15680.764563106757</v>
      </c>
      <c r="Q89" s="87">
        <f t="shared" si="49"/>
        <v>-815399.7572815551</v>
      </c>
      <c r="R89" s="87">
        <f t="shared" si="33"/>
        <v>-990128.27669903031</v>
      </c>
      <c r="S89" s="87">
        <f t="shared" si="51"/>
        <v>-1523274.271844662</v>
      </c>
      <c r="T89" s="87">
        <f t="shared" si="52"/>
        <v>533145.9951456316</v>
      </c>
    </row>
    <row r="90" spans="1:21" ht="12.95" hidden="1" customHeight="1" outlineLevel="1">
      <c r="A90" s="86">
        <v>42582</v>
      </c>
      <c r="B90" s="87">
        <f t="shared" si="41"/>
        <v>-4614625</v>
      </c>
      <c r="C90" s="87">
        <f t="shared" si="41"/>
        <v>-4614625</v>
      </c>
      <c r="D90" s="128"/>
      <c r="E90" s="87">
        <v>0</v>
      </c>
      <c r="F90" s="87">
        <f t="shared" si="28"/>
        <v>-44802.184466019418</v>
      </c>
      <c r="G90" s="128"/>
      <c r="H90" s="87">
        <f t="shared" si="42"/>
        <v>4614625</v>
      </c>
      <c r="I90" s="87">
        <f t="shared" si="42"/>
        <v>3404966.0194174731</v>
      </c>
      <c r="J90" s="128"/>
      <c r="K90" s="87">
        <f t="shared" si="50"/>
        <v>0</v>
      </c>
      <c r="L90" s="87">
        <f t="shared" si="50"/>
        <v>-1209658.9805825269</v>
      </c>
      <c r="M90" s="128"/>
      <c r="N90" s="87">
        <f t="shared" si="47"/>
        <v>-1209658.9805825269</v>
      </c>
      <c r="O90" s="87">
        <f t="shared" si="30"/>
        <v>423380.64320388436</v>
      </c>
      <c r="P90" s="87">
        <f t="shared" si="48"/>
        <v>15680.764563106757</v>
      </c>
      <c r="Q90" s="87">
        <f t="shared" si="49"/>
        <v>-786278.33737864252</v>
      </c>
      <c r="R90" s="87">
        <f t="shared" si="33"/>
        <v>-961006.85679611762</v>
      </c>
      <c r="S90" s="87">
        <f t="shared" si="51"/>
        <v>-1478472.0873786428</v>
      </c>
      <c r="T90" s="87">
        <f t="shared" si="52"/>
        <v>517465.23058252485</v>
      </c>
    </row>
    <row r="91" spans="1:21" ht="12.95" hidden="1" customHeight="1" outlineLevel="1">
      <c r="A91" s="86">
        <v>42613</v>
      </c>
      <c r="B91" s="87">
        <f t="shared" si="41"/>
        <v>-4614625</v>
      </c>
      <c r="C91" s="87">
        <f t="shared" si="41"/>
        <v>-4614625</v>
      </c>
      <c r="D91" s="128"/>
      <c r="E91" s="87">
        <v>0</v>
      </c>
      <c r="F91" s="87">
        <f t="shared" si="28"/>
        <v>-44802.184466019418</v>
      </c>
      <c r="G91" s="128"/>
      <c r="H91" s="87">
        <f t="shared" si="42"/>
        <v>4614625</v>
      </c>
      <c r="I91" s="87">
        <f t="shared" si="42"/>
        <v>3449768.2038834924</v>
      </c>
      <c r="J91" s="128"/>
      <c r="K91" s="87">
        <f t="shared" si="50"/>
        <v>0</v>
      </c>
      <c r="L91" s="87">
        <f t="shared" si="50"/>
        <v>-1164856.7961165076</v>
      </c>
      <c r="M91" s="128"/>
      <c r="N91" s="87">
        <f t="shared" si="47"/>
        <v>-1164856.7961165076</v>
      </c>
      <c r="O91" s="87">
        <f t="shared" si="30"/>
        <v>407699.87864077766</v>
      </c>
      <c r="P91" s="87">
        <f t="shared" si="48"/>
        <v>15680.764563106699</v>
      </c>
      <c r="Q91" s="87">
        <f t="shared" si="49"/>
        <v>-757156.91747572995</v>
      </c>
      <c r="R91" s="87">
        <f t="shared" si="33"/>
        <v>-931885.43689320516</v>
      </c>
      <c r="S91" s="87">
        <f t="shared" ref="S91:S93" si="53">(L79+L91+SUM(L80:L90)*2)/24</f>
        <v>-1433669.9029126235</v>
      </c>
      <c r="T91" s="87">
        <f t="shared" ref="T91:T93" si="54">(O79+O91+SUM(O80:O90)*2)/24</f>
        <v>501784.46601941809</v>
      </c>
    </row>
    <row r="92" spans="1:21" ht="12.95" hidden="1" customHeight="1" outlineLevel="1">
      <c r="A92" s="86">
        <v>42643</v>
      </c>
      <c r="B92" s="87">
        <f t="shared" si="41"/>
        <v>-4614625</v>
      </c>
      <c r="C92" s="87">
        <f t="shared" si="41"/>
        <v>-4614625</v>
      </c>
      <c r="D92" s="128"/>
      <c r="E92" s="87">
        <v>0</v>
      </c>
      <c r="F92" s="87">
        <f t="shared" si="28"/>
        <v>-44802.184466019418</v>
      </c>
      <c r="G92" s="128"/>
      <c r="H92" s="87">
        <f t="shared" si="42"/>
        <v>4614625</v>
      </c>
      <c r="I92" s="87">
        <f t="shared" si="42"/>
        <v>3494570.3883495117</v>
      </c>
      <c r="J92" s="128"/>
      <c r="K92" s="87">
        <f t="shared" si="50"/>
        <v>0</v>
      </c>
      <c r="L92" s="87">
        <f t="shared" si="50"/>
        <v>-1120054.6116504883</v>
      </c>
      <c r="M92" s="128"/>
      <c r="N92" s="87">
        <f t="shared" si="47"/>
        <v>-1120054.6116504883</v>
      </c>
      <c r="O92" s="87">
        <f t="shared" si="30"/>
        <v>392019.11407767091</v>
      </c>
      <c r="P92" s="87">
        <f t="shared" si="48"/>
        <v>15680.764563106757</v>
      </c>
      <c r="Q92" s="87">
        <f t="shared" si="49"/>
        <v>-728035.49757281737</v>
      </c>
      <c r="R92" s="87">
        <f t="shared" si="33"/>
        <v>-902764.0169902927</v>
      </c>
      <c r="S92" s="87">
        <f t="shared" si="53"/>
        <v>-1388867.7184466042</v>
      </c>
      <c r="T92" s="87">
        <f t="shared" si="54"/>
        <v>486103.70145631133</v>
      </c>
    </row>
    <row r="93" spans="1:21" ht="12.95" hidden="1" customHeight="1" outlineLevel="1">
      <c r="A93" s="85">
        <v>42674</v>
      </c>
      <c r="B93" s="32">
        <f t="shared" si="41"/>
        <v>-4614625</v>
      </c>
      <c r="C93" s="32">
        <f t="shared" si="41"/>
        <v>-4614625</v>
      </c>
      <c r="D93" s="89"/>
      <c r="E93" s="32">
        <v>0</v>
      </c>
      <c r="F93" s="87">
        <f t="shared" si="28"/>
        <v>-44802.184466019418</v>
      </c>
      <c r="G93" s="89"/>
      <c r="H93" s="32">
        <f t="shared" si="42"/>
        <v>4614625</v>
      </c>
      <c r="I93" s="32">
        <f t="shared" si="42"/>
        <v>3539372.5728155309</v>
      </c>
      <c r="J93" s="89"/>
      <c r="K93" s="32">
        <f t="shared" si="50"/>
        <v>0</v>
      </c>
      <c r="L93" s="32">
        <f t="shared" si="50"/>
        <v>-1075252.4271844691</v>
      </c>
      <c r="M93" s="89"/>
      <c r="N93" s="32">
        <f t="shared" si="47"/>
        <v>-1075252.4271844691</v>
      </c>
      <c r="O93" s="32">
        <f t="shared" si="30"/>
        <v>376338.34951456415</v>
      </c>
      <c r="P93" s="32">
        <f t="shared" si="48"/>
        <v>15680.764563106757</v>
      </c>
      <c r="Q93" s="32">
        <f t="shared" si="49"/>
        <v>-698914.07766990492</v>
      </c>
      <c r="R93" s="87">
        <f t="shared" si="33"/>
        <v>-873642.59708738001</v>
      </c>
      <c r="S93" s="87">
        <f t="shared" si="53"/>
        <v>-1344065.5339805849</v>
      </c>
      <c r="T93" s="87">
        <f t="shared" si="54"/>
        <v>470422.93689320452</v>
      </c>
    </row>
    <row r="94" spans="1:21" ht="12.95" hidden="1" customHeight="1" outlineLevel="1">
      <c r="A94" s="85">
        <v>42704</v>
      </c>
      <c r="B94" s="32">
        <f t="shared" si="41"/>
        <v>-4614625</v>
      </c>
      <c r="C94" s="32">
        <f t="shared" si="41"/>
        <v>-4614625</v>
      </c>
      <c r="D94" s="89"/>
      <c r="E94" s="32">
        <v>0</v>
      </c>
      <c r="F94" s="87">
        <f t="shared" si="28"/>
        <v>-44802.184466019418</v>
      </c>
      <c r="G94" s="89"/>
      <c r="H94" s="32">
        <f t="shared" si="42"/>
        <v>4614625</v>
      </c>
      <c r="I94" s="32">
        <f t="shared" si="42"/>
        <v>3584174.7572815502</v>
      </c>
      <c r="J94" s="89"/>
      <c r="K94" s="32">
        <f t="shared" si="50"/>
        <v>0</v>
      </c>
      <c r="L94" s="32">
        <f t="shared" si="50"/>
        <v>-1030450.2427184498</v>
      </c>
      <c r="M94" s="89"/>
      <c r="N94" s="32">
        <f t="shared" si="47"/>
        <v>-1030450.2427184498</v>
      </c>
      <c r="O94" s="32">
        <f t="shared" si="30"/>
        <v>360657.58495145739</v>
      </c>
      <c r="P94" s="32">
        <f t="shared" si="48"/>
        <v>15680.764563106757</v>
      </c>
      <c r="Q94" s="32">
        <f t="shared" si="49"/>
        <v>-669792.65776699246</v>
      </c>
      <c r="R94" s="87">
        <f t="shared" si="33"/>
        <v>-844521.17718446755</v>
      </c>
      <c r="S94" s="87">
        <f t="shared" ref="S94:S97" si="55">(L82+L94+SUM(L83:L93)*2)/24</f>
        <v>-1299263.3495145657</v>
      </c>
      <c r="T94" s="87">
        <f t="shared" ref="T94:T97" si="56">(O82+O94+SUM(O83:O93)*2)/24</f>
        <v>454742.17233009794</v>
      </c>
    </row>
    <row r="95" spans="1:21" ht="12.75" hidden="1" outlineLevel="1">
      <c r="A95" s="85">
        <v>42735</v>
      </c>
      <c r="B95" s="32">
        <f t="shared" si="41"/>
        <v>-4614625</v>
      </c>
      <c r="C95" s="32">
        <f t="shared" si="41"/>
        <v>-4614625</v>
      </c>
      <c r="D95" s="89"/>
      <c r="E95" s="32">
        <v>0</v>
      </c>
      <c r="F95" s="87">
        <f t="shared" si="28"/>
        <v>-44802.184466019418</v>
      </c>
      <c r="G95" s="89"/>
      <c r="H95" s="32">
        <f t="shared" si="42"/>
        <v>4614625</v>
      </c>
      <c r="I95" s="32">
        <f t="shared" si="42"/>
        <v>3628976.9417475695</v>
      </c>
      <c r="J95" s="89"/>
      <c r="K95" s="32">
        <f t="shared" si="50"/>
        <v>0</v>
      </c>
      <c r="L95" s="32">
        <f t="shared" si="50"/>
        <v>-985648.05825243052</v>
      </c>
      <c r="M95" s="89"/>
      <c r="N95" s="32">
        <f t="shared" si="47"/>
        <v>-985648.05825243052</v>
      </c>
      <c r="O95" s="32">
        <f t="shared" si="30"/>
        <v>344976.82038835064</v>
      </c>
      <c r="P95" s="32">
        <f t="shared" si="48"/>
        <v>15680.764563106757</v>
      </c>
      <c r="Q95" s="32">
        <f t="shared" si="49"/>
        <v>-640671.23786407989</v>
      </c>
      <c r="R95" s="87">
        <f t="shared" si="33"/>
        <v>-815399.75728155498</v>
      </c>
      <c r="S95" s="87">
        <f t="shared" si="55"/>
        <v>-1254461.1650485464</v>
      </c>
      <c r="T95" s="87">
        <f t="shared" si="56"/>
        <v>439061.40776699112</v>
      </c>
    </row>
    <row r="96" spans="1:21" ht="12.75" hidden="1" outlineLevel="1">
      <c r="A96" s="85">
        <v>42766</v>
      </c>
      <c r="B96" s="32">
        <f t="shared" si="41"/>
        <v>-4614625</v>
      </c>
      <c r="C96" s="32">
        <f t="shared" si="41"/>
        <v>-4614625</v>
      </c>
      <c r="D96" s="89"/>
      <c r="E96" s="32">
        <v>0</v>
      </c>
      <c r="F96" s="87">
        <f t="shared" si="28"/>
        <v>-44802.184466019418</v>
      </c>
      <c r="G96" s="89"/>
      <c r="H96" s="32">
        <f t="shared" si="42"/>
        <v>4614625</v>
      </c>
      <c r="I96" s="32">
        <f t="shared" si="42"/>
        <v>3673779.1262135888</v>
      </c>
      <c r="J96" s="89"/>
      <c r="K96" s="32">
        <f t="shared" si="50"/>
        <v>0</v>
      </c>
      <c r="L96" s="32">
        <f t="shared" si="50"/>
        <v>-940845.87378641125</v>
      </c>
      <c r="M96" s="89"/>
      <c r="N96" s="32">
        <f t="shared" si="47"/>
        <v>-940845.87378641125</v>
      </c>
      <c r="O96" s="32">
        <f t="shared" si="30"/>
        <v>329296.05582524394</v>
      </c>
      <c r="P96" s="32">
        <f t="shared" si="48"/>
        <v>15680.764563106699</v>
      </c>
      <c r="Q96" s="32">
        <f t="shared" si="49"/>
        <v>-611549.81796116731</v>
      </c>
      <c r="R96" s="87">
        <f t="shared" si="33"/>
        <v>-786278.33737864252</v>
      </c>
      <c r="S96" s="87">
        <f t="shared" si="55"/>
        <v>-1209658.9805825271</v>
      </c>
      <c r="T96" s="87">
        <f t="shared" si="56"/>
        <v>423380.64320388442</v>
      </c>
    </row>
    <row r="97" spans="1:22" ht="12.75" hidden="1" outlineLevel="1">
      <c r="A97" s="85">
        <v>42794</v>
      </c>
      <c r="B97" s="32">
        <f t="shared" si="41"/>
        <v>-4614625</v>
      </c>
      <c r="C97" s="32">
        <f t="shared" si="41"/>
        <v>-4614625</v>
      </c>
      <c r="D97" s="89"/>
      <c r="E97" s="32">
        <v>0</v>
      </c>
      <c r="F97" s="87">
        <f t="shared" si="28"/>
        <v>-44802.184466019418</v>
      </c>
      <c r="G97" s="89"/>
      <c r="H97" s="32">
        <f t="shared" si="42"/>
        <v>4614625</v>
      </c>
      <c r="I97" s="32">
        <f t="shared" si="42"/>
        <v>3718581.310679608</v>
      </c>
      <c r="J97" s="89"/>
      <c r="K97" s="32">
        <f t="shared" si="50"/>
        <v>0</v>
      </c>
      <c r="L97" s="32">
        <f t="shared" si="50"/>
        <v>-896043.68932039198</v>
      </c>
      <c r="M97" s="89"/>
      <c r="N97" s="32">
        <f t="shared" si="47"/>
        <v>-896043.68932039198</v>
      </c>
      <c r="O97" s="32">
        <f t="shared" si="30"/>
        <v>313615.29126213718</v>
      </c>
      <c r="P97" s="32">
        <f t="shared" si="48"/>
        <v>15680.764563106757</v>
      </c>
      <c r="Q97" s="32">
        <f t="shared" si="49"/>
        <v>-582428.39805825474</v>
      </c>
      <c r="R97" s="87">
        <f t="shared" si="33"/>
        <v>-757156.91747573006</v>
      </c>
      <c r="S97" s="87">
        <f t="shared" si="55"/>
        <v>-1164856.7961165078</v>
      </c>
      <c r="T97" s="87">
        <f t="shared" si="56"/>
        <v>407699.87864077761</v>
      </c>
    </row>
    <row r="98" spans="1:22" ht="12.75" hidden="1" outlineLevel="1">
      <c r="A98" s="85">
        <v>42825</v>
      </c>
      <c r="B98" s="32">
        <f t="shared" ref="B98:C113" si="57">B97</f>
        <v>-4614625</v>
      </c>
      <c r="C98" s="32">
        <f t="shared" si="57"/>
        <v>-4614625</v>
      </c>
      <c r="D98" s="89"/>
      <c r="E98" s="32">
        <v>0</v>
      </c>
      <c r="F98" s="87">
        <f t="shared" si="28"/>
        <v>-44802.184466019418</v>
      </c>
      <c r="G98" s="89"/>
      <c r="H98" s="32">
        <f t="shared" ref="H98:I113" si="58">H97-E98</f>
        <v>4614625</v>
      </c>
      <c r="I98" s="32">
        <f t="shared" si="58"/>
        <v>3763383.4951456273</v>
      </c>
      <c r="J98" s="89"/>
      <c r="K98" s="32">
        <f t="shared" si="50"/>
        <v>0</v>
      </c>
      <c r="L98" s="32">
        <f t="shared" si="50"/>
        <v>-851241.5048543727</v>
      </c>
      <c r="M98" s="89"/>
      <c r="N98" s="32">
        <f t="shared" si="47"/>
        <v>-851241.5048543727</v>
      </c>
      <c r="O98" s="32">
        <f t="shared" si="30"/>
        <v>297934.52669903042</v>
      </c>
      <c r="P98" s="32">
        <f t="shared" si="48"/>
        <v>15680.764563106757</v>
      </c>
      <c r="Q98" s="32">
        <f t="shared" si="49"/>
        <v>-553306.97815534228</v>
      </c>
      <c r="R98" s="87">
        <f t="shared" si="33"/>
        <v>-728035.49757281737</v>
      </c>
      <c r="S98" s="87">
        <f t="shared" ref="S98:S125" si="59">(L86+L98+SUM(L87:L97)*2)/24</f>
        <v>-1120054.6116504886</v>
      </c>
      <c r="T98" s="87">
        <f t="shared" ref="T98:T125" si="60">(O86+O98+SUM(O87:O97)*2)/24</f>
        <v>392019.11407767079</v>
      </c>
    </row>
    <row r="99" spans="1:22" ht="12.75" hidden="1" outlineLevel="1">
      <c r="A99" s="85">
        <v>42855</v>
      </c>
      <c r="B99" s="32">
        <f t="shared" si="57"/>
        <v>-4614625</v>
      </c>
      <c r="C99" s="32">
        <f t="shared" si="57"/>
        <v>-4614625</v>
      </c>
      <c r="D99" s="89"/>
      <c r="E99" s="32">
        <v>0</v>
      </c>
      <c r="F99" s="87">
        <f t="shared" si="28"/>
        <v>-44802.184466019418</v>
      </c>
      <c r="G99" s="89"/>
      <c r="H99" s="32">
        <f t="shared" si="58"/>
        <v>4614625</v>
      </c>
      <c r="I99" s="32">
        <f t="shared" si="58"/>
        <v>3808185.6796116466</v>
      </c>
      <c r="J99" s="89"/>
      <c r="K99" s="32">
        <f t="shared" si="50"/>
        <v>0</v>
      </c>
      <c r="L99" s="32">
        <f t="shared" si="50"/>
        <v>-806439.32038835343</v>
      </c>
      <c r="M99" s="89"/>
      <c r="N99" s="32">
        <f t="shared" si="47"/>
        <v>-806439.32038835343</v>
      </c>
      <c r="O99" s="32">
        <f t="shared" si="30"/>
        <v>282253.76213592367</v>
      </c>
      <c r="P99" s="32">
        <f t="shared" si="48"/>
        <v>15680.764563106757</v>
      </c>
      <c r="Q99" s="32">
        <f t="shared" si="49"/>
        <v>-524185.55825242976</v>
      </c>
      <c r="R99" s="87">
        <f t="shared" si="33"/>
        <v>-698914.07766990492</v>
      </c>
      <c r="S99" s="87">
        <f t="shared" si="59"/>
        <v>-1075252.4271844693</v>
      </c>
      <c r="T99" s="87">
        <f t="shared" si="60"/>
        <v>376338.34951456421</v>
      </c>
    </row>
    <row r="100" spans="1:22" ht="12.75" hidden="1" outlineLevel="1">
      <c r="A100" s="85">
        <v>42886</v>
      </c>
      <c r="B100" s="32">
        <f t="shared" si="57"/>
        <v>-4614625</v>
      </c>
      <c r="C100" s="32">
        <f t="shared" si="57"/>
        <v>-4614625</v>
      </c>
      <c r="D100" s="89"/>
      <c r="E100" s="32">
        <v>0</v>
      </c>
      <c r="F100" s="87">
        <f t="shared" si="28"/>
        <v>-44802.184466019418</v>
      </c>
      <c r="G100" s="89"/>
      <c r="H100" s="32">
        <f t="shared" si="58"/>
        <v>4614625</v>
      </c>
      <c r="I100" s="32">
        <f t="shared" si="58"/>
        <v>3852987.8640776658</v>
      </c>
      <c r="J100" s="89"/>
      <c r="K100" s="32">
        <f t="shared" si="50"/>
        <v>0</v>
      </c>
      <c r="L100" s="32">
        <f t="shared" si="50"/>
        <v>-761637.13592233416</v>
      </c>
      <c r="M100" s="89"/>
      <c r="N100" s="32">
        <f t="shared" si="47"/>
        <v>-761637.13592233416</v>
      </c>
      <c r="O100" s="32">
        <f t="shared" si="30"/>
        <v>266572.99757281697</v>
      </c>
      <c r="P100" s="32">
        <f t="shared" si="48"/>
        <v>15680.764563106699</v>
      </c>
      <c r="Q100" s="32">
        <f t="shared" si="49"/>
        <v>-495064.13834951719</v>
      </c>
      <c r="R100" s="87">
        <f t="shared" si="33"/>
        <v>-669792.65776699234</v>
      </c>
      <c r="S100" s="87">
        <f t="shared" si="59"/>
        <v>-1030450.2427184501</v>
      </c>
      <c r="T100" s="87">
        <f t="shared" si="60"/>
        <v>360657.58495145739</v>
      </c>
    </row>
    <row r="101" spans="1:22" ht="12.75" hidden="1" outlineLevel="1">
      <c r="A101" s="85">
        <v>42916</v>
      </c>
      <c r="B101" s="32">
        <f t="shared" si="57"/>
        <v>-4614625</v>
      </c>
      <c r="C101" s="32">
        <f t="shared" si="57"/>
        <v>-4614625</v>
      </c>
      <c r="D101" s="89"/>
      <c r="E101" s="32">
        <v>0</v>
      </c>
      <c r="F101" s="87">
        <f t="shared" si="28"/>
        <v>-44802.184466019418</v>
      </c>
      <c r="G101" s="89"/>
      <c r="H101" s="32">
        <f t="shared" si="58"/>
        <v>4614625</v>
      </c>
      <c r="I101" s="32">
        <f t="shared" si="58"/>
        <v>3897790.0485436851</v>
      </c>
      <c r="J101" s="89"/>
      <c r="K101" s="32">
        <f t="shared" si="50"/>
        <v>0</v>
      </c>
      <c r="L101" s="32">
        <f t="shared" si="50"/>
        <v>-716834.95145631488</v>
      </c>
      <c r="M101" s="89"/>
      <c r="N101" s="32">
        <f t="shared" si="47"/>
        <v>-716834.95145631488</v>
      </c>
      <c r="O101" s="32">
        <f t="shared" si="30"/>
        <v>250892.23300971018</v>
      </c>
      <c r="P101" s="32">
        <f t="shared" si="48"/>
        <v>15680.764563106786</v>
      </c>
      <c r="Q101" s="32">
        <f t="shared" si="49"/>
        <v>-465942.71844660467</v>
      </c>
      <c r="R101" s="87">
        <f t="shared" si="33"/>
        <v>-640671.23786407977</v>
      </c>
      <c r="S101" s="87">
        <f t="shared" si="59"/>
        <v>-985648.05825243087</v>
      </c>
      <c r="T101" s="87">
        <f t="shared" si="60"/>
        <v>344976.82038835064</v>
      </c>
    </row>
    <row r="102" spans="1:22" ht="12.75" hidden="1" outlineLevel="1">
      <c r="A102" s="85">
        <v>42947</v>
      </c>
      <c r="B102" s="32">
        <f t="shared" si="57"/>
        <v>-4614625</v>
      </c>
      <c r="C102" s="32">
        <f t="shared" si="57"/>
        <v>-4614625</v>
      </c>
      <c r="D102" s="89"/>
      <c r="E102" s="32">
        <v>0</v>
      </c>
      <c r="F102" s="87">
        <f t="shared" si="28"/>
        <v>-44802.184466019418</v>
      </c>
      <c r="G102" s="89"/>
      <c r="H102" s="32">
        <f t="shared" si="58"/>
        <v>4614625</v>
      </c>
      <c r="I102" s="32">
        <f t="shared" si="58"/>
        <v>3942592.2330097044</v>
      </c>
      <c r="J102" s="89"/>
      <c r="K102" s="32">
        <f t="shared" si="50"/>
        <v>0</v>
      </c>
      <c r="L102" s="32">
        <f t="shared" si="50"/>
        <v>-672032.76699029561</v>
      </c>
      <c r="M102" s="89"/>
      <c r="N102" s="32">
        <f t="shared" si="47"/>
        <v>-672032.76699029561</v>
      </c>
      <c r="O102" s="32">
        <f t="shared" si="30"/>
        <v>235211.46844660345</v>
      </c>
      <c r="P102" s="32">
        <f t="shared" si="48"/>
        <v>15680.764563106728</v>
      </c>
      <c r="Q102" s="32">
        <f t="shared" si="49"/>
        <v>-436821.29854369216</v>
      </c>
      <c r="R102" s="87">
        <f t="shared" si="33"/>
        <v>-611549.81796116743</v>
      </c>
      <c r="S102" s="87">
        <f t="shared" si="59"/>
        <v>-940845.8737864116</v>
      </c>
      <c r="T102" s="87">
        <f t="shared" si="60"/>
        <v>329296.05582524394</v>
      </c>
    </row>
    <row r="103" spans="1:22" ht="12.75" hidden="1" outlineLevel="1">
      <c r="A103" s="85">
        <v>42978</v>
      </c>
      <c r="B103" s="32">
        <f t="shared" si="57"/>
        <v>-4614625</v>
      </c>
      <c r="C103" s="32">
        <f t="shared" si="57"/>
        <v>-4614625</v>
      </c>
      <c r="D103" s="89"/>
      <c r="E103" s="32">
        <v>0</v>
      </c>
      <c r="F103" s="87">
        <f t="shared" si="28"/>
        <v>-44802.184466019418</v>
      </c>
      <c r="G103" s="89"/>
      <c r="H103" s="32">
        <f t="shared" si="58"/>
        <v>4614625</v>
      </c>
      <c r="I103" s="32">
        <f t="shared" si="58"/>
        <v>3987394.4174757237</v>
      </c>
      <c r="J103" s="89"/>
      <c r="K103" s="32">
        <f t="shared" si="50"/>
        <v>0</v>
      </c>
      <c r="L103" s="32">
        <f t="shared" si="50"/>
        <v>-627230.58252427634</v>
      </c>
      <c r="M103" s="89"/>
      <c r="N103" s="32">
        <f t="shared" si="47"/>
        <v>-627230.58252427634</v>
      </c>
      <c r="O103" s="32">
        <f t="shared" si="30"/>
        <v>219530.7038834967</v>
      </c>
      <c r="P103" s="32">
        <f t="shared" si="48"/>
        <v>15680.764563106757</v>
      </c>
      <c r="Q103" s="32">
        <f t="shared" si="49"/>
        <v>-407699.87864077964</v>
      </c>
      <c r="R103" s="87">
        <f t="shared" si="33"/>
        <v>-582428.39805825485</v>
      </c>
      <c r="S103" s="87">
        <f t="shared" si="59"/>
        <v>-896043.68932039232</v>
      </c>
      <c r="T103" s="87">
        <f t="shared" si="60"/>
        <v>313615.29126213718</v>
      </c>
    </row>
    <row r="104" spans="1:22" ht="12.75" hidden="1" outlineLevel="1">
      <c r="A104" s="85">
        <v>43008</v>
      </c>
      <c r="B104" s="32">
        <f t="shared" si="57"/>
        <v>-4614625</v>
      </c>
      <c r="C104" s="32">
        <f t="shared" si="57"/>
        <v>-4614625</v>
      </c>
      <c r="D104" s="89"/>
      <c r="E104" s="32">
        <v>0</v>
      </c>
      <c r="F104" s="87">
        <f t="shared" si="28"/>
        <v>-44802.184466019418</v>
      </c>
      <c r="G104" s="89"/>
      <c r="H104" s="32">
        <f t="shared" si="58"/>
        <v>4614625</v>
      </c>
      <c r="I104" s="32">
        <f t="shared" si="58"/>
        <v>4032196.6019417429</v>
      </c>
      <c r="J104" s="89"/>
      <c r="K104" s="32">
        <f t="shared" si="50"/>
        <v>0</v>
      </c>
      <c r="L104" s="32">
        <f t="shared" si="50"/>
        <v>-582428.39805825707</v>
      </c>
      <c r="M104" s="89"/>
      <c r="N104" s="32">
        <f t="shared" si="47"/>
        <v>-582428.39805825707</v>
      </c>
      <c r="O104" s="32">
        <f t="shared" si="30"/>
        <v>203849.93932038997</v>
      </c>
      <c r="P104" s="32">
        <f t="shared" si="48"/>
        <v>15680.764563106728</v>
      </c>
      <c r="Q104" s="32">
        <f t="shared" si="49"/>
        <v>-378578.45873786707</v>
      </c>
      <c r="R104" s="87">
        <f t="shared" si="33"/>
        <v>-553306.97815534228</v>
      </c>
      <c r="S104" s="87">
        <f t="shared" si="59"/>
        <v>-851241.5048543727</v>
      </c>
      <c r="T104" s="87">
        <f t="shared" si="60"/>
        <v>297934.52669903042</v>
      </c>
    </row>
    <row r="105" spans="1:22" ht="12.75" hidden="1" outlineLevel="1">
      <c r="A105" s="85">
        <v>43039</v>
      </c>
      <c r="B105" s="32">
        <f t="shared" si="57"/>
        <v>-4614625</v>
      </c>
      <c r="C105" s="32">
        <f t="shared" si="57"/>
        <v>-4614625</v>
      </c>
      <c r="D105" s="89"/>
      <c r="E105" s="32">
        <v>0</v>
      </c>
      <c r="F105" s="87">
        <f t="shared" si="28"/>
        <v>-44802.184466019418</v>
      </c>
      <c r="G105" s="89"/>
      <c r="H105" s="32">
        <f t="shared" si="58"/>
        <v>4614625</v>
      </c>
      <c r="I105" s="32">
        <f t="shared" si="58"/>
        <v>4076998.7864077622</v>
      </c>
      <c r="J105" s="89"/>
      <c r="K105" s="32">
        <f t="shared" si="50"/>
        <v>0</v>
      </c>
      <c r="L105" s="32">
        <f t="shared" si="50"/>
        <v>-537626.21359223779</v>
      </c>
      <c r="M105" s="89"/>
      <c r="N105" s="32">
        <f t="shared" si="47"/>
        <v>-537626.21359223779</v>
      </c>
      <c r="O105" s="32">
        <f t="shared" si="30"/>
        <v>188169.17475728321</v>
      </c>
      <c r="P105" s="32">
        <f t="shared" si="48"/>
        <v>15680.764563106757</v>
      </c>
      <c r="Q105" s="32">
        <f t="shared" si="49"/>
        <v>-349457.03883495461</v>
      </c>
      <c r="R105" s="87">
        <f t="shared" si="33"/>
        <v>-524185.55825242976</v>
      </c>
      <c r="S105" s="87">
        <f t="shared" si="59"/>
        <v>-806439.32038835343</v>
      </c>
      <c r="T105" s="87">
        <f t="shared" si="60"/>
        <v>282253.76213592367</v>
      </c>
    </row>
    <row r="106" spans="1:22" ht="12.75" hidden="1" outlineLevel="1">
      <c r="A106" s="85">
        <v>43069</v>
      </c>
      <c r="B106" s="32">
        <f t="shared" si="57"/>
        <v>-4614625</v>
      </c>
      <c r="C106" s="32">
        <f t="shared" si="57"/>
        <v>-4614625</v>
      </c>
      <c r="D106" s="89"/>
      <c r="E106" s="32">
        <v>0</v>
      </c>
      <c r="F106" s="87">
        <f t="shared" si="28"/>
        <v>-44802.184466019418</v>
      </c>
      <c r="G106" s="89"/>
      <c r="H106" s="32">
        <f t="shared" si="58"/>
        <v>4614625</v>
      </c>
      <c r="I106" s="32">
        <f t="shared" si="58"/>
        <v>4121800.9708737815</v>
      </c>
      <c r="J106" s="89"/>
      <c r="K106" s="32">
        <f t="shared" si="50"/>
        <v>0</v>
      </c>
      <c r="L106" s="32">
        <f t="shared" si="50"/>
        <v>-492824.02912621852</v>
      </c>
      <c r="M106" s="89"/>
      <c r="N106" s="32">
        <f t="shared" si="47"/>
        <v>-492824.02912621852</v>
      </c>
      <c r="O106" s="32">
        <f t="shared" si="30"/>
        <v>172488.41019417648</v>
      </c>
      <c r="P106" s="32">
        <f t="shared" si="48"/>
        <v>15680.764563106728</v>
      </c>
      <c r="Q106" s="32">
        <f t="shared" si="49"/>
        <v>-320335.61893204204</v>
      </c>
      <c r="R106" s="87">
        <f t="shared" si="33"/>
        <v>-495064.13834951719</v>
      </c>
      <c r="S106" s="87">
        <f t="shared" si="59"/>
        <v>-761637.13592233416</v>
      </c>
      <c r="T106" s="87">
        <f t="shared" si="60"/>
        <v>266572.99757281697</v>
      </c>
    </row>
    <row r="107" spans="1:22" ht="12.75" hidden="1" outlineLevel="1">
      <c r="A107" s="86">
        <v>43100</v>
      </c>
      <c r="B107" s="87">
        <f t="shared" si="57"/>
        <v>-4614625</v>
      </c>
      <c r="C107" s="87">
        <f t="shared" si="57"/>
        <v>-4614625</v>
      </c>
      <c r="D107" s="128"/>
      <c r="E107" s="87">
        <v>0</v>
      </c>
      <c r="F107" s="87">
        <f t="shared" si="28"/>
        <v>-44802.184466019418</v>
      </c>
      <c r="G107" s="128"/>
      <c r="H107" s="87">
        <f t="shared" si="58"/>
        <v>4614625</v>
      </c>
      <c r="I107" s="87">
        <f>I106-F107</f>
        <v>4166603.1553398008</v>
      </c>
      <c r="J107" s="128"/>
      <c r="K107" s="87">
        <f t="shared" si="50"/>
        <v>0</v>
      </c>
      <c r="L107" s="87">
        <f>C107+I107</f>
        <v>-448021.84466019925</v>
      </c>
      <c r="M107" s="128"/>
      <c r="N107" s="87">
        <f>L107-K107</f>
        <v>-448021.84466019925</v>
      </c>
      <c r="O107" s="87">
        <f t="shared" si="30"/>
        <v>156807.64563106972</v>
      </c>
      <c r="P107" s="87">
        <f t="shared" si="48"/>
        <v>15680.764563106757</v>
      </c>
      <c r="Q107" s="87">
        <f t="shared" si="49"/>
        <v>-291214.19902912952</v>
      </c>
      <c r="R107" s="87">
        <f t="shared" si="33"/>
        <v>-465942.71844660467</v>
      </c>
      <c r="S107" s="87">
        <f t="shared" si="59"/>
        <v>-716834.95145631488</v>
      </c>
      <c r="T107" s="87">
        <f t="shared" si="60"/>
        <v>250892.23300971021</v>
      </c>
    </row>
    <row r="108" spans="1:22" ht="13.5" collapsed="1" thickTop="1">
      <c r="A108" s="85">
        <v>43131</v>
      </c>
      <c r="B108" s="32">
        <f t="shared" si="57"/>
        <v>-4614625</v>
      </c>
      <c r="C108" s="32">
        <f t="shared" si="57"/>
        <v>-4614625</v>
      </c>
      <c r="D108" s="89"/>
      <c r="E108" s="32">
        <v>0</v>
      </c>
      <c r="F108" s="87">
        <f t="shared" si="28"/>
        <v>-44802.184466019418</v>
      </c>
      <c r="G108" s="89"/>
      <c r="H108" s="32">
        <f>H107-E108</f>
        <v>4614625</v>
      </c>
      <c r="I108" s="32">
        <f t="shared" si="58"/>
        <v>4211405.33980582</v>
      </c>
      <c r="J108" s="89"/>
      <c r="K108" s="32">
        <f t="shared" si="50"/>
        <v>0</v>
      </c>
      <c r="L108" s="32">
        <f t="shared" si="50"/>
        <v>-403219.66019417997</v>
      </c>
      <c r="M108" s="89"/>
      <c r="N108" s="32">
        <f t="shared" si="47"/>
        <v>-403219.66019417997</v>
      </c>
      <c r="O108" s="32">
        <f>F108*$O$11+O107</f>
        <v>147399.18689320565</v>
      </c>
      <c r="P108" s="32">
        <f t="shared" si="48"/>
        <v>9408.4587378640717</v>
      </c>
      <c r="Q108" s="32">
        <f t="shared" si="49"/>
        <v>-255820.47330097432</v>
      </c>
      <c r="R108" s="87">
        <f t="shared" si="33"/>
        <v>-436559.95246764045</v>
      </c>
      <c r="S108" s="87">
        <f t="shared" si="59"/>
        <v>-672032.76699029561</v>
      </c>
      <c r="T108" s="87">
        <f t="shared" si="60"/>
        <v>235472.81452265522</v>
      </c>
    </row>
    <row r="109" spans="1:22" ht="12.75">
      <c r="A109" s="85">
        <v>43159</v>
      </c>
      <c r="B109" s="32">
        <f t="shared" si="57"/>
        <v>-4614625</v>
      </c>
      <c r="C109" s="32">
        <f t="shared" si="57"/>
        <v>-4614625</v>
      </c>
      <c r="D109" s="89"/>
      <c r="E109" s="32">
        <v>0</v>
      </c>
      <c r="F109" s="87">
        <f t="shared" si="28"/>
        <v>-44802.184466019418</v>
      </c>
      <c r="G109" s="89"/>
      <c r="H109" s="32">
        <f t="shared" si="58"/>
        <v>4614625</v>
      </c>
      <c r="I109" s="32">
        <f t="shared" si="58"/>
        <v>4256207.5242718393</v>
      </c>
      <c r="J109" s="89"/>
      <c r="K109" s="32">
        <f t="shared" si="50"/>
        <v>0</v>
      </c>
      <c r="L109" s="32">
        <f t="shared" si="50"/>
        <v>-358417.4757281607</v>
      </c>
      <c r="M109" s="89"/>
      <c r="N109" s="32">
        <f t="shared" si="47"/>
        <v>-358417.4757281607</v>
      </c>
      <c r="O109" s="32">
        <f t="shared" ref="O109:O147" si="61">F109*$O$11+O108</f>
        <v>137990.72815534158</v>
      </c>
      <c r="P109" s="32">
        <f t="shared" si="48"/>
        <v>9408.4587378640717</v>
      </c>
      <c r="Q109" s="32">
        <f t="shared" si="49"/>
        <v>-220426.74757281912</v>
      </c>
      <c r="R109" s="87">
        <f t="shared" si="33"/>
        <v>-406654.49433657248</v>
      </c>
      <c r="S109" s="87">
        <f t="shared" si="59"/>
        <v>-627230.58252427634</v>
      </c>
      <c r="T109" s="87">
        <f t="shared" si="60"/>
        <v>220576.08818770383</v>
      </c>
      <c r="V109" s="744"/>
    </row>
    <row r="110" spans="1:22" ht="12.75">
      <c r="A110" s="85">
        <v>43190</v>
      </c>
      <c r="B110" s="32">
        <f t="shared" si="57"/>
        <v>-4614625</v>
      </c>
      <c r="C110" s="32">
        <f t="shared" si="57"/>
        <v>-4614625</v>
      </c>
      <c r="D110" s="89"/>
      <c r="E110" s="32">
        <v>0</v>
      </c>
      <c r="F110" s="87">
        <f t="shared" si="28"/>
        <v>-44802.184466019418</v>
      </c>
      <c r="G110" s="89"/>
      <c r="H110" s="32">
        <f t="shared" si="58"/>
        <v>4614625</v>
      </c>
      <c r="I110" s="32">
        <f t="shared" si="58"/>
        <v>4301009.7087378586</v>
      </c>
      <c r="J110" s="89"/>
      <c r="K110" s="32">
        <f t="shared" si="50"/>
        <v>0</v>
      </c>
      <c r="L110" s="32">
        <f t="shared" si="50"/>
        <v>-313615.29126214143</v>
      </c>
      <c r="M110" s="89"/>
      <c r="N110" s="32">
        <f t="shared" si="47"/>
        <v>-313615.29126214143</v>
      </c>
      <c r="O110" s="32">
        <f t="shared" si="61"/>
        <v>128582.26941747751</v>
      </c>
      <c r="P110" s="32">
        <f t="shared" si="48"/>
        <v>9408.4587378640717</v>
      </c>
      <c r="Q110" s="32">
        <f t="shared" si="49"/>
        <v>-185033.02184466392</v>
      </c>
      <c r="R110" s="87">
        <f t="shared" si="33"/>
        <v>-376226.34405340115</v>
      </c>
      <c r="S110" s="87">
        <f t="shared" si="59"/>
        <v>-582428.39805825707</v>
      </c>
      <c r="T110" s="87">
        <f t="shared" si="60"/>
        <v>206202.05400485592</v>
      </c>
    </row>
    <row r="111" spans="1:22" ht="12.75">
      <c r="A111" s="85">
        <v>43220</v>
      </c>
      <c r="B111" s="32">
        <f t="shared" si="57"/>
        <v>-4614625</v>
      </c>
      <c r="C111" s="32">
        <f t="shared" si="57"/>
        <v>-4614625</v>
      </c>
      <c r="D111" s="89"/>
      <c r="E111" s="32">
        <v>0</v>
      </c>
      <c r="F111" s="87">
        <f t="shared" si="28"/>
        <v>-44802.184466019418</v>
      </c>
      <c r="G111" s="89"/>
      <c r="H111" s="32">
        <f t="shared" si="58"/>
        <v>4614625</v>
      </c>
      <c r="I111" s="32">
        <f t="shared" si="58"/>
        <v>4345811.8932038778</v>
      </c>
      <c r="J111" s="89"/>
      <c r="K111" s="32">
        <f t="shared" si="50"/>
        <v>0</v>
      </c>
      <c r="L111" s="32">
        <f t="shared" si="50"/>
        <v>-268813.10679612216</v>
      </c>
      <c r="M111" s="89"/>
      <c r="N111" s="32">
        <f t="shared" si="47"/>
        <v>-268813.10679612216</v>
      </c>
      <c r="O111" s="32">
        <f t="shared" si="61"/>
        <v>119173.81067961344</v>
      </c>
      <c r="P111" s="32">
        <f t="shared" si="48"/>
        <v>9408.4587378640717</v>
      </c>
      <c r="Q111" s="32">
        <f t="shared" si="49"/>
        <v>-149639.29611650872</v>
      </c>
      <c r="R111" s="87">
        <f t="shared" si="33"/>
        <v>-345275.50161812612</v>
      </c>
      <c r="S111" s="87">
        <f t="shared" si="59"/>
        <v>-537626.21359223779</v>
      </c>
      <c r="T111" s="87">
        <f t="shared" si="60"/>
        <v>192350.71197411165</v>
      </c>
    </row>
    <row r="112" spans="1:22" ht="12.75">
      <c r="A112" s="86">
        <v>43251</v>
      </c>
      <c r="B112" s="87">
        <f t="shared" si="57"/>
        <v>-4614625</v>
      </c>
      <c r="C112" s="87">
        <f t="shared" si="57"/>
        <v>-4614625</v>
      </c>
      <c r="D112" s="128"/>
      <c r="E112" s="87">
        <v>0</v>
      </c>
      <c r="F112" s="87">
        <f t="shared" ref="F112:F117" si="62">C112/$E$5</f>
        <v>-44802.184466019418</v>
      </c>
      <c r="G112" s="128"/>
      <c r="H112" s="87">
        <f t="shared" si="58"/>
        <v>4614625</v>
      </c>
      <c r="I112" s="87">
        <f t="shared" si="58"/>
        <v>4390614.0776698971</v>
      </c>
      <c r="J112" s="128"/>
      <c r="K112" s="87">
        <f t="shared" si="50"/>
        <v>0</v>
      </c>
      <c r="L112" s="87">
        <f t="shared" si="50"/>
        <v>-224010.92233010288</v>
      </c>
      <c r="M112" s="128"/>
      <c r="N112" s="87">
        <f t="shared" si="47"/>
        <v>-224010.92233010288</v>
      </c>
      <c r="O112" s="87">
        <f t="shared" si="61"/>
        <v>109765.35194174937</v>
      </c>
      <c r="P112" s="87">
        <f t="shared" si="48"/>
        <v>9408.4587378640717</v>
      </c>
      <c r="Q112" s="87">
        <f t="shared" si="49"/>
        <v>-114245.57038835352</v>
      </c>
      <c r="R112" s="87">
        <f t="shared" si="33"/>
        <v>-313801.96703074756</v>
      </c>
      <c r="S112" s="87">
        <f t="shared" si="59"/>
        <v>-492824.02912621852</v>
      </c>
      <c r="T112" s="87">
        <f t="shared" si="60"/>
        <v>179022.06209547093</v>
      </c>
    </row>
    <row r="113" spans="1:21" ht="12.75">
      <c r="A113" s="86">
        <v>43281</v>
      </c>
      <c r="B113" s="87">
        <f t="shared" si="57"/>
        <v>-4614625</v>
      </c>
      <c r="C113" s="87">
        <f t="shared" si="57"/>
        <v>-4614625</v>
      </c>
      <c r="D113" s="128"/>
      <c r="E113" s="87">
        <v>0</v>
      </c>
      <c r="F113" s="87">
        <f t="shared" si="62"/>
        <v>-44802.184466019418</v>
      </c>
      <c r="G113" s="128"/>
      <c r="H113" s="87">
        <f t="shared" si="58"/>
        <v>4614625</v>
      </c>
      <c r="I113" s="87">
        <f t="shared" si="58"/>
        <v>4435416.2621359164</v>
      </c>
      <c r="J113" s="128"/>
      <c r="K113" s="87">
        <f t="shared" si="50"/>
        <v>0</v>
      </c>
      <c r="L113" s="87">
        <f t="shared" si="50"/>
        <v>-179208.73786408361</v>
      </c>
      <c r="M113" s="128"/>
      <c r="N113" s="87">
        <f t="shared" si="47"/>
        <v>-179208.73786408361</v>
      </c>
      <c r="O113" s="87">
        <f t="shared" si="61"/>
        <v>100356.89320388529</v>
      </c>
      <c r="P113" s="87">
        <f t="shared" si="48"/>
        <v>9408.4587378640717</v>
      </c>
      <c r="Q113" s="87">
        <f t="shared" si="49"/>
        <v>-78851.844660198316</v>
      </c>
      <c r="R113" s="87">
        <f t="shared" si="33"/>
        <v>-281805.74029126554</v>
      </c>
      <c r="S113" s="87">
        <f t="shared" si="59"/>
        <v>-448021.84466019925</v>
      </c>
      <c r="T113" s="87">
        <f t="shared" si="60"/>
        <v>166216.10436893371</v>
      </c>
    </row>
    <row r="114" spans="1:21" ht="12.75">
      <c r="A114" s="86">
        <v>43312</v>
      </c>
      <c r="B114" s="87">
        <f t="shared" ref="B114:C118" si="63">B113</f>
        <v>-4614625</v>
      </c>
      <c r="C114" s="87">
        <f t="shared" si="63"/>
        <v>-4614625</v>
      </c>
      <c r="D114" s="128"/>
      <c r="E114" s="87">
        <v>0</v>
      </c>
      <c r="F114" s="87">
        <f t="shared" si="62"/>
        <v>-44802.184466019418</v>
      </c>
      <c r="G114" s="128"/>
      <c r="H114" s="87">
        <f t="shared" ref="H114:I118" si="64">H113-E114</f>
        <v>4614625</v>
      </c>
      <c r="I114" s="87">
        <f t="shared" si="64"/>
        <v>4480218.4466019357</v>
      </c>
      <c r="J114" s="128"/>
      <c r="K114" s="87">
        <f t="shared" si="50"/>
        <v>0</v>
      </c>
      <c r="L114" s="87">
        <f t="shared" si="50"/>
        <v>-134406.55339806434</v>
      </c>
      <c r="M114" s="128"/>
      <c r="N114" s="87">
        <f>L114-K114</f>
        <v>-134406.55339806434</v>
      </c>
      <c r="O114" s="87">
        <f t="shared" si="61"/>
        <v>90948.434466021223</v>
      </c>
      <c r="P114" s="87">
        <f>-O114+O113</f>
        <v>9408.4587378640717</v>
      </c>
      <c r="Q114" s="87">
        <f>L114+O114</f>
        <v>-43458.118932043115</v>
      </c>
      <c r="R114" s="87">
        <f t="shared" si="33"/>
        <v>-249286.82139967987</v>
      </c>
      <c r="S114" s="87">
        <f t="shared" si="59"/>
        <v>-403219.66019417997</v>
      </c>
      <c r="T114" s="87">
        <f t="shared" si="60"/>
        <v>153932.83879450013</v>
      </c>
    </row>
    <row r="115" spans="1:21" ht="12.75">
      <c r="A115" s="86">
        <v>43343</v>
      </c>
      <c r="B115" s="87">
        <f t="shared" si="63"/>
        <v>-4614625</v>
      </c>
      <c r="C115" s="87">
        <f t="shared" si="63"/>
        <v>-4614625</v>
      </c>
      <c r="D115" s="128"/>
      <c r="E115" s="87">
        <v>0</v>
      </c>
      <c r="F115" s="87">
        <f t="shared" si="62"/>
        <v>-44802.184466019418</v>
      </c>
      <c r="G115" s="128"/>
      <c r="H115" s="87">
        <f t="shared" si="64"/>
        <v>4614625</v>
      </c>
      <c r="I115" s="87">
        <f t="shared" si="64"/>
        <v>4525020.6310679549</v>
      </c>
      <c r="J115" s="128"/>
      <c r="K115" s="87">
        <f t="shared" si="50"/>
        <v>0</v>
      </c>
      <c r="L115" s="87">
        <f t="shared" si="50"/>
        <v>-89604.368932045065</v>
      </c>
      <c r="M115" s="128"/>
      <c r="N115" s="87">
        <f>L115-K115</f>
        <v>-89604.368932045065</v>
      </c>
      <c r="O115" s="87">
        <f t="shared" si="61"/>
        <v>81539.975728157151</v>
      </c>
      <c r="P115" s="87">
        <f>-O115+O114</f>
        <v>9408.4587378640717</v>
      </c>
      <c r="Q115" s="87">
        <f>L115+O115</f>
        <v>-8064.3932038879138</v>
      </c>
      <c r="R115" s="87">
        <f t="shared" si="33"/>
        <v>-216245.21035599068</v>
      </c>
      <c r="S115" s="87">
        <f t="shared" si="59"/>
        <v>-358417.4757281607</v>
      </c>
      <c r="T115" s="87">
        <f t="shared" si="60"/>
        <v>142172.26537217002</v>
      </c>
    </row>
    <row r="116" spans="1:21" ht="12.75">
      <c r="A116" s="86">
        <v>43373</v>
      </c>
      <c r="B116" s="87">
        <f t="shared" si="63"/>
        <v>-4614625</v>
      </c>
      <c r="C116" s="87">
        <f t="shared" si="63"/>
        <v>-4614625</v>
      </c>
      <c r="D116" s="128"/>
      <c r="E116" s="87">
        <v>0</v>
      </c>
      <c r="F116" s="87">
        <f t="shared" si="62"/>
        <v>-44802.184466019418</v>
      </c>
      <c r="G116" s="128"/>
      <c r="H116" s="87">
        <f t="shared" si="64"/>
        <v>4614625</v>
      </c>
      <c r="I116" s="87">
        <f t="shared" si="64"/>
        <v>4569822.8155339742</v>
      </c>
      <c r="J116" s="128"/>
      <c r="K116" s="87">
        <f t="shared" ref="K116:L118" si="65">B116+H116</f>
        <v>0</v>
      </c>
      <c r="L116" s="87">
        <f t="shared" si="65"/>
        <v>-44802.184466025792</v>
      </c>
      <c r="M116" s="128"/>
      <c r="N116" s="87">
        <f>L116-K116</f>
        <v>-44802.184466025792</v>
      </c>
      <c r="O116" s="87">
        <f>F116*$O$11+O115</f>
        <v>72131.516990293079</v>
      </c>
      <c r="P116" s="87">
        <f>-O116+O115</f>
        <v>9408.4587378640717</v>
      </c>
      <c r="Q116" s="87">
        <f>L116+O116</f>
        <v>27329.332524267287</v>
      </c>
      <c r="R116" s="87">
        <f t="shared" si="33"/>
        <v>-182680.90716019788</v>
      </c>
      <c r="S116" s="87">
        <f t="shared" si="59"/>
        <v>-313615.29126214143</v>
      </c>
      <c r="T116" s="87">
        <f t="shared" si="60"/>
        <v>130934.38410194352</v>
      </c>
    </row>
    <row r="117" spans="1:21" ht="12.75">
      <c r="A117" s="86">
        <v>43404</v>
      </c>
      <c r="B117" s="87">
        <f t="shared" si="63"/>
        <v>-4614625</v>
      </c>
      <c r="C117" s="87">
        <f t="shared" si="63"/>
        <v>-4614625</v>
      </c>
      <c r="D117" s="128"/>
      <c r="E117" s="87">
        <v>0</v>
      </c>
      <c r="F117" s="87">
        <f t="shared" si="62"/>
        <v>-44802.184466019418</v>
      </c>
      <c r="G117" s="128"/>
      <c r="H117" s="87">
        <f t="shared" si="64"/>
        <v>4614625</v>
      </c>
      <c r="I117" s="87">
        <f t="shared" si="64"/>
        <v>4614624.9999999935</v>
      </c>
      <c r="J117" s="128"/>
      <c r="K117" s="87">
        <f t="shared" si="65"/>
        <v>0</v>
      </c>
      <c r="L117" s="87">
        <f t="shared" ref="L117:L135" si="66">C117+I117</f>
        <v>0</v>
      </c>
      <c r="M117" s="128"/>
      <c r="N117" s="87">
        <f t="shared" ref="N117:N135" si="67">L117-K117</f>
        <v>0</v>
      </c>
      <c r="O117" s="87">
        <f t="shared" si="61"/>
        <v>62723.058252429</v>
      </c>
      <c r="P117" s="87">
        <f t="shared" ref="P117:P135" si="68">-O117+O116</f>
        <v>9408.458737864079</v>
      </c>
      <c r="Q117" s="87">
        <f>L117+O117</f>
        <v>62723.058252429</v>
      </c>
      <c r="R117" s="87">
        <f t="shared" si="33"/>
        <v>-148593.91181230132</v>
      </c>
      <c r="S117" s="87">
        <f t="shared" si="59"/>
        <v>-268813.10679612187</v>
      </c>
      <c r="T117" s="87">
        <f t="shared" si="60"/>
        <v>120219.19498382056</v>
      </c>
      <c r="U117" s="910"/>
    </row>
    <row r="118" spans="1:21" ht="12.75">
      <c r="A118" s="86">
        <v>43434</v>
      </c>
      <c r="B118" s="87">
        <f t="shared" si="63"/>
        <v>-4614625</v>
      </c>
      <c r="C118" s="87">
        <f t="shared" si="63"/>
        <v>-4614625</v>
      </c>
      <c r="D118" s="128"/>
      <c r="E118" s="87">
        <v>0</v>
      </c>
      <c r="F118" s="87"/>
      <c r="G118" s="128"/>
      <c r="H118" s="87">
        <f t="shared" si="64"/>
        <v>4614625</v>
      </c>
      <c r="I118" s="87">
        <f>I117-F118</f>
        <v>4614624.9999999935</v>
      </c>
      <c r="J118" s="128"/>
      <c r="K118" s="87">
        <f t="shared" si="65"/>
        <v>0</v>
      </c>
      <c r="L118" s="87">
        <f t="shared" si="66"/>
        <v>0</v>
      </c>
      <c r="M118" s="128"/>
      <c r="N118" s="87">
        <f t="shared" si="67"/>
        <v>0</v>
      </c>
      <c r="O118" s="87">
        <f t="shared" si="61"/>
        <v>62723.058252429</v>
      </c>
      <c r="P118" s="87">
        <f t="shared" si="68"/>
        <v>0</v>
      </c>
      <c r="Q118" s="87">
        <f>L118+O118</f>
        <v>62723.058252429</v>
      </c>
      <c r="R118" s="87">
        <f t="shared" si="33"/>
        <v>-115458.96288430739</v>
      </c>
      <c r="S118" s="87">
        <f t="shared" si="59"/>
        <v>-225877.6800161862</v>
      </c>
      <c r="T118" s="87">
        <f t="shared" si="60"/>
        <v>110418.71713187882</v>
      </c>
    </row>
    <row r="119" spans="1:21" ht="12.75">
      <c r="A119" s="86">
        <v>43465</v>
      </c>
      <c r="B119" s="87">
        <f t="shared" ref="B119:B147" si="69">B118</f>
        <v>-4614625</v>
      </c>
      <c r="C119" s="87">
        <f t="shared" ref="C119:C147" si="70">C118</f>
        <v>-4614625</v>
      </c>
      <c r="D119" s="128"/>
      <c r="E119" s="87">
        <v>0</v>
      </c>
      <c r="F119" s="87">
        <v>0</v>
      </c>
      <c r="G119" s="81"/>
      <c r="H119" s="87">
        <f t="shared" ref="H119:H122" si="71">H118-E119</f>
        <v>4614625</v>
      </c>
      <c r="I119" s="87">
        <f t="shared" ref="I119:I122" si="72">I118-F119</f>
        <v>4614624.9999999935</v>
      </c>
      <c r="J119" s="81"/>
      <c r="K119" s="87">
        <f t="shared" ref="K119:K122" si="73">B119+H119</f>
        <v>0</v>
      </c>
      <c r="L119" s="87">
        <f t="shared" si="66"/>
        <v>0</v>
      </c>
      <c r="M119" s="128"/>
      <c r="N119" s="87">
        <f t="shared" si="67"/>
        <v>0</v>
      </c>
      <c r="O119" s="87">
        <f t="shared" si="61"/>
        <v>62723.058252429</v>
      </c>
      <c r="P119" s="87">
        <f t="shared" si="68"/>
        <v>0</v>
      </c>
      <c r="Q119" s="87">
        <f t="shared" ref="Q119:Q121" si="74">L119+O119</f>
        <v>62723.058252429</v>
      </c>
      <c r="R119" s="87">
        <f>(Q107+Q119+(SUM(Q108:Q118))*2)/24</f>
        <v>-84750.798948222815</v>
      </c>
      <c r="S119" s="87">
        <f t="shared" si="59"/>
        <v>-186675.76860841879</v>
      </c>
      <c r="T119" s="87">
        <f t="shared" si="60"/>
        <v>101924.96966019597</v>
      </c>
    </row>
    <row r="120" spans="1:21" ht="12.75">
      <c r="A120" s="86">
        <v>43496</v>
      </c>
      <c r="B120" s="87">
        <f t="shared" si="69"/>
        <v>-4614625</v>
      </c>
      <c r="C120" s="87">
        <f t="shared" si="70"/>
        <v>-4614625</v>
      </c>
      <c r="D120" s="128"/>
      <c r="E120" s="87">
        <v>0</v>
      </c>
      <c r="F120" s="87">
        <v>0</v>
      </c>
      <c r="G120" s="81"/>
      <c r="H120" s="87">
        <f t="shared" si="71"/>
        <v>4614625</v>
      </c>
      <c r="I120" s="87">
        <f t="shared" si="72"/>
        <v>4614624.9999999935</v>
      </c>
      <c r="J120" s="81"/>
      <c r="K120" s="87">
        <f t="shared" si="73"/>
        <v>0</v>
      </c>
      <c r="L120" s="87">
        <f t="shared" si="66"/>
        <v>0</v>
      </c>
      <c r="M120" s="128"/>
      <c r="N120" s="87">
        <f t="shared" si="67"/>
        <v>0</v>
      </c>
      <c r="O120" s="87">
        <f t="shared" si="61"/>
        <v>62723.058252429</v>
      </c>
      <c r="P120" s="87">
        <f t="shared" si="68"/>
        <v>0</v>
      </c>
      <c r="Q120" s="87">
        <f t="shared" si="74"/>
        <v>62723.058252429</v>
      </c>
      <c r="R120" s="87">
        <f t="shared" si="33"/>
        <v>-56730.766080099398</v>
      </c>
      <c r="S120" s="87">
        <f t="shared" si="59"/>
        <v>-151207.37257281967</v>
      </c>
      <c r="T120" s="87">
        <f t="shared" si="60"/>
        <v>94476.606492720253</v>
      </c>
    </row>
    <row r="121" spans="1:21" ht="12.75">
      <c r="A121" s="86">
        <v>43524</v>
      </c>
      <c r="B121" s="87">
        <f t="shared" si="69"/>
        <v>-4614625</v>
      </c>
      <c r="C121" s="87">
        <f t="shared" si="70"/>
        <v>-4614625</v>
      </c>
      <c r="D121" s="128"/>
      <c r="E121" s="87">
        <v>0</v>
      </c>
      <c r="F121" s="87">
        <v>0</v>
      </c>
      <c r="G121" s="81"/>
      <c r="H121" s="87">
        <f t="shared" si="71"/>
        <v>4614625</v>
      </c>
      <c r="I121" s="87">
        <f t="shared" si="72"/>
        <v>4614624.9999999935</v>
      </c>
      <c r="J121" s="81"/>
      <c r="K121" s="87">
        <f t="shared" si="73"/>
        <v>0</v>
      </c>
      <c r="L121" s="87">
        <f t="shared" si="66"/>
        <v>0</v>
      </c>
      <c r="M121" s="128"/>
      <c r="N121" s="87">
        <f t="shared" si="67"/>
        <v>0</v>
      </c>
      <c r="O121" s="87">
        <f t="shared" si="61"/>
        <v>62723.058252429</v>
      </c>
      <c r="P121" s="87">
        <f t="shared" si="68"/>
        <v>0</v>
      </c>
      <c r="Q121" s="87">
        <f t="shared" si="74"/>
        <v>62723.058252429</v>
      </c>
      <c r="R121" s="87">
        <f t="shared" si="33"/>
        <v>-31660.210355988936</v>
      </c>
      <c r="S121" s="87">
        <f t="shared" si="59"/>
        <v>-119472.4919093888</v>
      </c>
      <c r="T121" s="87">
        <f t="shared" si="60"/>
        <v>87812.281553399866</v>
      </c>
    </row>
    <row r="122" spans="1:21" ht="12.75">
      <c r="A122" s="86">
        <v>43555</v>
      </c>
      <c r="B122" s="87">
        <f t="shared" si="69"/>
        <v>-4614625</v>
      </c>
      <c r="C122" s="87">
        <f t="shared" si="70"/>
        <v>-4614625</v>
      </c>
      <c r="D122" s="128"/>
      <c r="E122" s="87">
        <v>0</v>
      </c>
      <c r="F122" s="87">
        <v>0</v>
      </c>
      <c r="G122" s="81"/>
      <c r="H122" s="87">
        <f t="shared" si="71"/>
        <v>4614625</v>
      </c>
      <c r="I122" s="87">
        <f t="shared" si="72"/>
        <v>4614624.9999999935</v>
      </c>
      <c r="J122" s="81"/>
      <c r="K122" s="87">
        <f t="shared" si="73"/>
        <v>0</v>
      </c>
      <c r="L122" s="87">
        <f t="shared" si="66"/>
        <v>0</v>
      </c>
      <c r="M122" s="128"/>
      <c r="N122" s="87">
        <f t="shared" si="67"/>
        <v>0</v>
      </c>
      <c r="O122" s="87">
        <f t="shared" si="61"/>
        <v>62723.058252429</v>
      </c>
      <c r="P122" s="87">
        <f t="shared" si="68"/>
        <v>0</v>
      </c>
      <c r="Q122" s="87">
        <f t="shared" ref="Q122" si="75">L122+O122</f>
        <v>62723.058252429</v>
      </c>
      <c r="R122" s="87">
        <f t="shared" si="33"/>
        <v>-9539.1317758913865</v>
      </c>
      <c r="S122" s="87">
        <f t="shared" si="59"/>
        <v>-91471.126618126218</v>
      </c>
      <c r="T122" s="87">
        <f t="shared" si="60"/>
        <v>81931.994842234824</v>
      </c>
    </row>
    <row r="123" spans="1:21" ht="12.75">
      <c r="A123" s="86">
        <v>43585</v>
      </c>
      <c r="B123" s="87">
        <f t="shared" si="69"/>
        <v>-4614625</v>
      </c>
      <c r="C123" s="87">
        <f t="shared" si="70"/>
        <v>-4614625</v>
      </c>
      <c r="D123" s="128"/>
      <c r="E123" s="87">
        <v>0</v>
      </c>
      <c r="F123" s="87">
        <v>0</v>
      </c>
      <c r="G123" s="81"/>
      <c r="H123" s="87">
        <f t="shared" ref="H123:H135" si="76">H122-E123</f>
        <v>4614625</v>
      </c>
      <c r="I123" s="87">
        <f t="shared" ref="I123:I135" si="77">I122-F123</f>
        <v>4614624.9999999935</v>
      </c>
      <c r="J123" s="81"/>
      <c r="K123" s="87">
        <f t="shared" ref="K123:K135" si="78">B123+H123</f>
        <v>0</v>
      </c>
      <c r="L123" s="87">
        <f t="shared" si="66"/>
        <v>0</v>
      </c>
      <c r="M123" s="128"/>
      <c r="N123" s="87">
        <f t="shared" si="67"/>
        <v>0</v>
      </c>
      <c r="O123" s="87">
        <f t="shared" si="61"/>
        <v>62723.058252429</v>
      </c>
      <c r="P123" s="87">
        <f t="shared" si="68"/>
        <v>0</v>
      </c>
      <c r="Q123" s="87">
        <f t="shared" ref="Q123:Q135" si="79">L123+O123</f>
        <v>62723.058252429</v>
      </c>
      <c r="R123" s="87">
        <f t="shared" ref="R123:R135" si="80">(Q111+Q123+(SUM(Q112:Q122))*2)/24</f>
        <v>9632.4696601932155</v>
      </c>
      <c r="S123" s="87">
        <f t="shared" si="59"/>
        <v>-67203.276699031892</v>
      </c>
      <c r="T123" s="87">
        <f t="shared" si="60"/>
        <v>76835.746359225115</v>
      </c>
    </row>
    <row r="124" spans="1:21" ht="12.75">
      <c r="A124" s="86">
        <v>43616</v>
      </c>
      <c r="B124" s="87">
        <f t="shared" si="69"/>
        <v>-4614625</v>
      </c>
      <c r="C124" s="87">
        <f t="shared" si="70"/>
        <v>-4614625</v>
      </c>
      <c r="D124" s="128"/>
      <c r="E124" s="87">
        <v>0</v>
      </c>
      <c r="F124" s="87">
        <v>0</v>
      </c>
      <c r="G124" s="81"/>
      <c r="H124" s="87">
        <f t="shared" si="76"/>
        <v>4614625</v>
      </c>
      <c r="I124" s="87">
        <f t="shared" si="77"/>
        <v>4614624.9999999935</v>
      </c>
      <c r="J124" s="81"/>
      <c r="K124" s="87">
        <f t="shared" si="78"/>
        <v>0</v>
      </c>
      <c r="L124" s="87">
        <f t="shared" si="66"/>
        <v>0</v>
      </c>
      <c r="M124" s="128"/>
      <c r="N124" s="87">
        <f t="shared" si="67"/>
        <v>0</v>
      </c>
      <c r="O124" s="87">
        <f t="shared" si="61"/>
        <v>62723.058252429</v>
      </c>
      <c r="P124" s="87">
        <f t="shared" si="68"/>
        <v>0</v>
      </c>
      <c r="Q124" s="87">
        <f t="shared" si="79"/>
        <v>62723.058252429</v>
      </c>
      <c r="R124" s="87">
        <v>0</v>
      </c>
      <c r="S124" s="87">
        <f t="shared" si="59"/>
        <v>-46668.942152105854</v>
      </c>
      <c r="T124" s="87">
        <f t="shared" si="60"/>
        <v>72523.536104370738</v>
      </c>
    </row>
    <row r="125" spans="1:21" ht="12.75">
      <c r="A125" s="86">
        <v>43646</v>
      </c>
      <c r="B125" s="87">
        <f t="shared" si="69"/>
        <v>-4614625</v>
      </c>
      <c r="C125" s="87">
        <f t="shared" si="70"/>
        <v>-4614625</v>
      </c>
      <c r="D125" s="128"/>
      <c r="E125" s="87">
        <v>0</v>
      </c>
      <c r="F125" s="87">
        <v>0</v>
      </c>
      <c r="G125" s="81"/>
      <c r="H125" s="87">
        <f t="shared" si="76"/>
        <v>4614625</v>
      </c>
      <c r="I125" s="87">
        <f t="shared" si="77"/>
        <v>4614624.9999999935</v>
      </c>
      <c r="J125" s="81"/>
      <c r="K125" s="87">
        <f t="shared" si="78"/>
        <v>0</v>
      </c>
      <c r="L125" s="87">
        <f t="shared" si="66"/>
        <v>0</v>
      </c>
      <c r="M125" s="128"/>
      <c r="N125" s="87">
        <f t="shared" si="67"/>
        <v>0</v>
      </c>
      <c r="O125" s="87">
        <f t="shared" si="61"/>
        <v>62723.058252429</v>
      </c>
      <c r="P125" s="87">
        <f t="shared" si="68"/>
        <v>0</v>
      </c>
      <c r="Q125" s="87">
        <f t="shared" si="79"/>
        <v>62723.058252429</v>
      </c>
      <c r="R125" s="87">
        <f t="shared" si="80"/>
        <v>39127.241100323634</v>
      </c>
      <c r="S125" s="87">
        <f t="shared" si="59"/>
        <v>-29868.122977348085</v>
      </c>
      <c r="T125" s="87">
        <f t="shared" si="60"/>
        <v>68995.364077671722</v>
      </c>
    </row>
    <row r="126" spans="1:21" ht="12.75">
      <c r="A126" s="86">
        <v>43677</v>
      </c>
      <c r="B126" s="87">
        <f t="shared" si="69"/>
        <v>-4614625</v>
      </c>
      <c r="C126" s="87">
        <f t="shared" si="70"/>
        <v>-4614625</v>
      </c>
      <c r="D126" s="128"/>
      <c r="E126" s="87">
        <v>0</v>
      </c>
      <c r="F126" s="87">
        <v>0</v>
      </c>
      <c r="G126" s="81"/>
      <c r="H126" s="87">
        <f t="shared" si="76"/>
        <v>4614625</v>
      </c>
      <c r="I126" s="87">
        <f t="shared" si="77"/>
        <v>4614624.9999999935</v>
      </c>
      <c r="J126" s="81"/>
      <c r="K126" s="87">
        <f t="shared" si="78"/>
        <v>0</v>
      </c>
      <c r="L126" s="87">
        <f t="shared" si="66"/>
        <v>0</v>
      </c>
      <c r="M126" s="128"/>
      <c r="N126" s="87">
        <f t="shared" si="67"/>
        <v>0</v>
      </c>
      <c r="O126" s="87">
        <f t="shared" si="61"/>
        <v>62723.058252429</v>
      </c>
      <c r="P126" s="87">
        <f t="shared" si="68"/>
        <v>0</v>
      </c>
      <c r="Q126" s="87">
        <f t="shared" si="79"/>
        <v>62723.058252429</v>
      </c>
      <c r="R126" s="87">
        <f t="shared" si="80"/>
        <v>49450.411104369443</v>
      </c>
      <c r="S126" s="87">
        <f t="shared" ref="S126:S147" si="81">(L114+L126+SUM(L115:L125)*2)/24</f>
        <v>-16800.819174758584</v>
      </c>
      <c r="T126" s="87">
        <f t="shared" ref="T126:T147" si="82">(O114+O126+SUM(O115:O125)*2)/24</f>
        <v>66251.230279128024</v>
      </c>
    </row>
    <row r="127" spans="1:21" ht="12.75">
      <c r="A127" s="86">
        <v>43708</v>
      </c>
      <c r="B127" s="87">
        <f t="shared" si="69"/>
        <v>-4614625</v>
      </c>
      <c r="C127" s="87">
        <f t="shared" si="70"/>
        <v>-4614625</v>
      </c>
      <c r="D127" s="128"/>
      <c r="E127" s="87">
        <v>0</v>
      </c>
      <c r="F127" s="87">
        <v>0</v>
      </c>
      <c r="G127" s="81"/>
      <c r="H127" s="87">
        <f t="shared" si="76"/>
        <v>4614625</v>
      </c>
      <c r="I127" s="87">
        <f t="shared" si="77"/>
        <v>4614624.9999999935</v>
      </c>
      <c r="J127" s="81"/>
      <c r="K127" s="87">
        <f t="shared" si="78"/>
        <v>0</v>
      </c>
      <c r="L127" s="87">
        <f t="shared" si="66"/>
        <v>0</v>
      </c>
      <c r="M127" s="128"/>
      <c r="N127" s="87">
        <f t="shared" si="67"/>
        <v>0</v>
      </c>
      <c r="O127" s="87">
        <f t="shared" si="61"/>
        <v>62723.058252429</v>
      </c>
      <c r="P127" s="87">
        <f t="shared" si="68"/>
        <v>0</v>
      </c>
      <c r="Q127" s="87">
        <f t="shared" si="79"/>
        <v>62723.058252429</v>
      </c>
      <c r="R127" s="87">
        <f t="shared" si="80"/>
        <v>56824.103964402319</v>
      </c>
      <c r="S127" s="87">
        <f t="shared" si="81"/>
        <v>-7467.0307443373604</v>
      </c>
      <c r="T127" s="87">
        <f t="shared" si="82"/>
        <v>64291.134708739679</v>
      </c>
    </row>
    <row r="128" spans="1:21" ht="12.75">
      <c r="A128" s="86">
        <v>43738</v>
      </c>
      <c r="B128" s="87">
        <f t="shared" si="69"/>
        <v>-4614625</v>
      </c>
      <c r="C128" s="87">
        <f t="shared" si="70"/>
        <v>-4614625</v>
      </c>
      <c r="D128" s="128"/>
      <c r="E128" s="87">
        <v>0</v>
      </c>
      <c r="F128" s="87">
        <v>0</v>
      </c>
      <c r="G128" s="81"/>
      <c r="H128" s="87">
        <f t="shared" si="76"/>
        <v>4614625</v>
      </c>
      <c r="I128" s="87">
        <f t="shared" si="77"/>
        <v>4614624.9999999935</v>
      </c>
      <c r="J128" s="81"/>
      <c r="K128" s="87">
        <f t="shared" si="78"/>
        <v>0</v>
      </c>
      <c r="L128" s="87">
        <f t="shared" si="66"/>
        <v>0</v>
      </c>
      <c r="M128" s="128"/>
      <c r="N128" s="87">
        <f t="shared" si="67"/>
        <v>0</v>
      </c>
      <c r="O128" s="87">
        <f t="shared" si="61"/>
        <v>62723.058252429</v>
      </c>
      <c r="P128" s="87">
        <f t="shared" si="68"/>
        <v>0</v>
      </c>
      <c r="Q128" s="87">
        <f t="shared" si="79"/>
        <v>62723.058252429</v>
      </c>
      <c r="R128" s="87">
        <f t="shared" si="80"/>
        <v>61248.319680422261</v>
      </c>
      <c r="S128" s="87">
        <f t="shared" si="81"/>
        <v>-1866.7576860844081</v>
      </c>
      <c r="T128" s="87">
        <f t="shared" si="82"/>
        <v>63115.077366506674</v>
      </c>
    </row>
    <row r="129" spans="1:20" ht="12.75">
      <c r="A129" s="86">
        <v>43769</v>
      </c>
      <c r="B129" s="87">
        <f t="shared" si="69"/>
        <v>-4614625</v>
      </c>
      <c r="C129" s="87">
        <f t="shared" si="70"/>
        <v>-4614625</v>
      </c>
      <c r="D129" s="128"/>
      <c r="E129" s="87">
        <v>0</v>
      </c>
      <c r="F129" s="87">
        <v>0</v>
      </c>
      <c r="G129" s="81"/>
      <c r="H129" s="87">
        <f t="shared" si="76"/>
        <v>4614625</v>
      </c>
      <c r="I129" s="87">
        <f t="shared" si="77"/>
        <v>4614624.9999999935</v>
      </c>
      <c r="J129" s="81"/>
      <c r="K129" s="87">
        <f t="shared" si="78"/>
        <v>0</v>
      </c>
      <c r="L129" s="87">
        <f t="shared" si="66"/>
        <v>0</v>
      </c>
      <c r="M129" s="128"/>
      <c r="N129" s="87">
        <f t="shared" si="67"/>
        <v>0</v>
      </c>
      <c r="O129" s="87">
        <f t="shared" si="61"/>
        <v>62723.058252429</v>
      </c>
      <c r="P129" s="87">
        <f t="shared" si="68"/>
        <v>0</v>
      </c>
      <c r="Q129" s="87">
        <f t="shared" si="79"/>
        <v>62723.058252429</v>
      </c>
      <c r="R129" s="87">
        <f t="shared" si="80"/>
        <v>62723.058252429</v>
      </c>
      <c r="S129" s="87">
        <f t="shared" si="81"/>
        <v>0</v>
      </c>
      <c r="T129" s="87">
        <f t="shared" si="82"/>
        <v>62723.058252429</v>
      </c>
    </row>
    <row r="130" spans="1:20" ht="12.75">
      <c r="A130" s="86">
        <v>43799</v>
      </c>
      <c r="B130" s="87">
        <f t="shared" si="69"/>
        <v>-4614625</v>
      </c>
      <c r="C130" s="87">
        <f t="shared" si="70"/>
        <v>-4614625</v>
      </c>
      <c r="D130" s="128"/>
      <c r="E130" s="87">
        <v>0</v>
      </c>
      <c r="F130" s="87">
        <v>0</v>
      </c>
      <c r="G130" s="81"/>
      <c r="H130" s="87">
        <f t="shared" si="76"/>
        <v>4614625</v>
      </c>
      <c r="I130" s="87">
        <f t="shared" si="77"/>
        <v>4614624.9999999935</v>
      </c>
      <c r="J130" s="81"/>
      <c r="K130" s="87">
        <f t="shared" si="78"/>
        <v>0</v>
      </c>
      <c r="L130" s="87">
        <f t="shared" si="66"/>
        <v>0</v>
      </c>
      <c r="M130" s="128"/>
      <c r="N130" s="87">
        <f t="shared" si="67"/>
        <v>0</v>
      </c>
      <c r="O130" s="87">
        <f t="shared" si="61"/>
        <v>62723.058252429</v>
      </c>
      <c r="P130" s="87">
        <f t="shared" si="68"/>
        <v>0</v>
      </c>
      <c r="Q130" s="87">
        <f t="shared" si="79"/>
        <v>62723.058252429</v>
      </c>
      <c r="R130" s="87">
        <f t="shared" si="80"/>
        <v>62723.058252429</v>
      </c>
      <c r="S130" s="87">
        <f t="shared" si="81"/>
        <v>0</v>
      </c>
      <c r="T130" s="87">
        <f t="shared" si="82"/>
        <v>62723.058252429</v>
      </c>
    </row>
    <row r="131" spans="1:20" ht="12.75">
      <c r="A131" s="86">
        <v>43830</v>
      </c>
      <c r="B131" s="87">
        <f t="shared" si="69"/>
        <v>-4614625</v>
      </c>
      <c r="C131" s="87">
        <f t="shared" si="70"/>
        <v>-4614625</v>
      </c>
      <c r="D131" s="128"/>
      <c r="E131" s="87">
        <v>0</v>
      </c>
      <c r="F131" s="87">
        <v>0</v>
      </c>
      <c r="G131" s="81"/>
      <c r="H131" s="87">
        <f t="shared" si="76"/>
        <v>4614625</v>
      </c>
      <c r="I131" s="87">
        <f t="shared" si="77"/>
        <v>4614624.9999999935</v>
      </c>
      <c r="J131" s="81"/>
      <c r="K131" s="87">
        <f t="shared" si="78"/>
        <v>0</v>
      </c>
      <c r="L131" s="87">
        <f t="shared" si="66"/>
        <v>0</v>
      </c>
      <c r="M131" s="128"/>
      <c r="N131" s="87">
        <f t="shared" si="67"/>
        <v>0</v>
      </c>
      <c r="O131" s="87">
        <f t="shared" si="61"/>
        <v>62723.058252429</v>
      </c>
      <c r="P131" s="87">
        <f t="shared" si="68"/>
        <v>0</v>
      </c>
      <c r="Q131" s="87">
        <f t="shared" si="79"/>
        <v>62723.058252429</v>
      </c>
      <c r="R131" s="87">
        <f t="shared" si="80"/>
        <v>62723.058252429</v>
      </c>
      <c r="S131" s="87">
        <f t="shared" si="81"/>
        <v>0</v>
      </c>
      <c r="T131" s="87">
        <f t="shared" si="82"/>
        <v>62723.058252429</v>
      </c>
    </row>
    <row r="132" spans="1:20" ht="12.95" customHeight="1">
      <c r="A132" s="86">
        <v>43861</v>
      </c>
      <c r="B132" s="87">
        <f t="shared" si="69"/>
        <v>-4614625</v>
      </c>
      <c r="C132" s="87">
        <f t="shared" si="70"/>
        <v>-4614625</v>
      </c>
      <c r="D132" s="128"/>
      <c r="E132" s="87">
        <v>0</v>
      </c>
      <c r="F132" s="87">
        <v>0</v>
      </c>
      <c r="G132" s="81"/>
      <c r="H132" s="87">
        <f t="shared" si="76"/>
        <v>4614625</v>
      </c>
      <c r="I132" s="87">
        <f t="shared" si="77"/>
        <v>4614624.9999999935</v>
      </c>
      <c r="J132" s="81"/>
      <c r="K132" s="87">
        <f t="shared" si="78"/>
        <v>0</v>
      </c>
      <c r="L132" s="87">
        <f t="shared" si="66"/>
        <v>0</v>
      </c>
      <c r="M132" s="128"/>
      <c r="N132" s="87">
        <f t="shared" si="67"/>
        <v>0</v>
      </c>
      <c r="O132" s="87">
        <f t="shared" si="61"/>
        <v>62723.058252429</v>
      </c>
      <c r="P132" s="87">
        <f t="shared" si="68"/>
        <v>0</v>
      </c>
      <c r="Q132" s="87">
        <f t="shared" si="79"/>
        <v>62723.058252429</v>
      </c>
      <c r="R132" s="87">
        <f t="shared" si="80"/>
        <v>62723.058252429</v>
      </c>
      <c r="S132" s="87">
        <f t="shared" si="81"/>
        <v>0</v>
      </c>
      <c r="T132" s="87">
        <f t="shared" si="82"/>
        <v>62723.058252429</v>
      </c>
    </row>
    <row r="133" spans="1:20" ht="12.95" customHeight="1">
      <c r="A133" s="86">
        <v>43890</v>
      </c>
      <c r="B133" s="87">
        <f t="shared" si="69"/>
        <v>-4614625</v>
      </c>
      <c r="C133" s="87">
        <f t="shared" si="70"/>
        <v>-4614625</v>
      </c>
      <c r="D133" s="128"/>
      <c r="E133" s="87">
        <v>0</v>
      </c>
      <c r="F133" s="87">
        <v>0</v>
      </c>
      <c r="G133" s="81"/>
      <c r="H133" s="87">
        <f t="shared" si="76"/>
        <v>4614625</v>
      </c>
      <c r="I133" s="87">
        <f t="shared" si="77"/>
        <v>4614624.9999999935</v>
      </c>
      <c r="J133" s="81"/>
      <c r="K133" s="87">
        <f t="shared" si="78"/>
        <v>0</v>
      </c>
      <c r="L133" s="87">
        <f t="shared" si="66"/>
        <v>0</v>
      </c>
      <c r="M133" s="128"/>
      <c r="N133" s="87">
        <f t="shared" si="67"/>
        <v>0</v>
      </c>
      <c r="O133" s="87">
        <f t="shared" si="61"/>
        <v>62723.058252429</v>
      </c>
      <c r="P133" s="87">
        <f t="shared" si="68"/>
        <v>0</v>
      </c>
      <c r="Q133" s="87">
        <f t="shared" si="79"/>
        <v>62723.058252429</v>
      </c>
      <c r="R133" s="87">
        <f t="shared" si="80"/>
        <v>62723.058252429</v>
      </c>
      <c r="S133" s="87">
        <f t="shared" si="81"/>
        <v>0</v>
      </c>
      <c r="T133" s="87">
        <f t="shared" si="82"/>
        <v>62723.058252429</v>
      </c>
    </row>
    <row r="134" spans="1:20" ht="12.95" customHeight="1">
      <c r="A134" s="86">
        <v>43921</v>
      </c>
      <c r="B134" s="87">
        <f t="shared" si="69"/>
        <v>-4614625</v>
      </c>
      <c r="C134" s="87">
        <f t="shared" si="70"/>
        <v>-4614625</v>
      </c>
      <c r="D134" s="128"/>
      <c r="E134" s="87">
        <v>0</v>
      </c>
      <c r="F134" s="87">
        <v>0</v>
      </c>
      <c r="G134" s="81"/>
      <c r="H134" s="87">
        <f t="shared" si="76"/>
        <v>4614625</v>
      </c>
      <c r="I134" s="87">
        <f t="shared" si="77"/>
        <v>4614624.9999999935</v>
      </c>
      <c r="J134" s="81"/>
      <c r="K134" s="87">
        <f t="shared" si="78"/>
        <v>0</v>
      </c>
      <c r="L134" s="87">
        <f t="shared" si="66"/>
        <v>0</v>
      </c>
      <c r="M134" s="128"/>
      <c r="N134" s="87">
        <f t="shared" si="67"/>
        <v>0</v>
      </c>
      <c r="O134" s="87">
        <f t="shared" si="61"/>
        <v>62723.058252429</v>
      </c>
      <c r="P134" s="87">
        <f t="shared" si="68"/>
        <v>0</v>
      </c>
      <c r="Q134" s="87">
        <f t="shared" si="79"/>
        <v>62723.058252429</v>
      </c>
      <c r="R134" s="87">
        <f t="shared" si="80"/>
        <v>62723.058252429</v>
      </c>
      <c r="S134" s="87">
        <f t="shared" si="81"/>
        <v>0</v>
      </c>
      <c r="T134" s="87">
        <f t="shared" si="82"/>
        <v>62723.058252429</v>
      </c>
    </row>
    <row r="135" spans="1:20" ht="12.95" customHeight="1">
      <c r="A135" s="86">
        <v>43951</v>
      </c>
      <c r="B135" s="87">
        <f t="shared" si="69"/>
        <v>-4614625</v>
      </c>
      <c r="C135" s="87">
        <f t="shared" si="70"/>
        <v>-4614625</v>
      </c>
      <c r="D135" s="128"/>
      <c r="E135" s="87">
        <v>0</v>
      </c>
      <c r="F135" s="87">
        <v>0</v>
      </c>
      <c r="G135" s="81"/>
      <c r="H135" s="87">
        <f t="shared" si="76"/>
        <v>4614625</v>
      </c>
      <c r="I135" s="87">
        <f t="shared" si="77"/>
        <v>4614624.9999999935</v>
      </c>
      <c r="J135" s="81"/>
      <c r="K135" s="87">
        <f t="shared" si="78"/>
        <v>0</v>
      </c>
      <c r="L135" s="87">
        <f t="shared" si="66"/>
        <v>0</v>
      </c>
      <c r="M135" s="128"/>
      <c r="N135" s="87">
        <f t="shared" si="67"/>
        <v>0</v>
      </c>
      <c r="O135" s="87">
        <f t="shared" si="61"/>
        <v>62723.058252429</v>
      </c>
      <c r="P135" s="87">
        <f t="shared" si="68"/>
        <v>0</v>
      </c>
      <c r="Q135" s="87">
        <f t="shared" si="79"/>
        <v>62723.058252429</v>
      </c>
      <c r="R135" s="87">
        <f t="shared" si="80"/>
        <v>62723.058252429</v>
      </c>
      <c r="S135" s="87">
        <f t="shared" si="81"/>
        <v>0</v>
      </c>
      <c r="T135" s="87">
        <f t="shared" si="82"/>
        <v>62723.058252429</v>
      </c>
    </row>
    <row r="136" spans="1:20" ht="12.95" customHeight="1">
      <c r="A136" s="86">
        <v>43982</v>
      </c>
      <c r="B136" s="87">
        <f t="shared" si="69"/>
        <v>-4614625</v>
      </c>
      <c r="C136" s="87">
        <f t="shared" si="70"/>
        <v>-4614625</v>
      </c>
      <c r="D136" s="128"/>
      <c r="E136" s="87">
        <v>0</v>
      </c>
      <c r="F136" s="87">
        <v>0</v>
      </c>
      <c r="G136" s="81"/>
      <c r="H136" s="87">
        <f t="shared" ref="H136:H147" si="83">H135-E136</f>
        <v>4614625</v>
      </c>
      <c r="I136" s="87">
        <f t="shared" ref="I136:I147" si="84">I135-F136</f>
        <v>4614624.9999999935</v>
      </c>
      <c r="J136" s="81"/>
      <c r="K136" s="87">
        <f t="shared" ref="K136:K147" si="85">B136+H136</f>
        <v>0</v>
      </c>
      <c r="L136" s="87">
        <f t="shared" ref="L136:L147" si="86">C136+I136</f>
        <v>0</v>
      </c>
      <c r="M136" s="128"/>
      <c r="N136" s="87">
        <f t="shared" ref="N136:N147" si="87">L136-K136</f>
        <v>0</v>
      </c>
      <c r="O136" s="87">
        <f t="shared" si="61"/>
        <v>62723.058252429</v>
      </c>
      <c r="P136" s="87">
        <f t="shared" ref="P136:P147" si="88">-O136+O135</f>
        <v>0</v>
      </c>
      <c r="Q136" s="87">
        <f t="shared" ref="Q136:Q147" si="89">L136+O136</f>
        <v>62723.058252429</v>
      </c>
      <c r="R136" s="87">
        <f t="shared" ref="R136:R147" si="90">(Q124+Q136+(SUM(Q125:Q135))*2)/24</f>
        <v>62723.058252429</v>
      </c>
      <c r="S136" s="87">
        <f t="shared" si="81"/>
        <v>0</v>
      </c>
      <c r="T136" s="87">
        <f t="shared" si="82"/>
        <v>62723.058252429</v>
      </c>
    </row>
    <row r="137" spans="1:20" ht="12.95" customHeight="1">
      <c r="A137" s="86">
        <v>44012</v>
      </c>
      <c r="B137" s="87">
        <f t="shared" si="69"/>
        <v>-4614625</v>
      </c>
      <c r="C137" s="87">
        <f t="shared" si="70"/>
        <v>-4614625</v>
      </c>
      <c r="D137" s="128"/>
      <c r="E137" s="87">
        <v>0</v>
      </c>
      <c r="F137" s="87">
        <v>0</v>
      </c>
      <c r="G137" s="81"/>
      <c r="H137" s="87">
        <f t="shared" si="83"/>
        <v>4614625</v>
      </c>
      <c r="I137" s="87">
        <f t="shared" si="84"/>
        <v>4614624.9999999935</v>
      </c>
      <c r="J137" s="81"/>
      <c r="K137" s="87">
        <f t="shared" si="85"/>
        <v>0</v>
      </c>
      <c r="L137" s="87">
        <f t="shared" si="86"/>
        <v>0</v>
      </c>
      <c r="M137" s="128"/>
      <c r="N137" s="87">
        <f t="shared" si="87"/>
        <v>0</v>
      </c>
      <c r="O137" s="87">
        <f t="shared" si="61"/>
        <v>62723.058252429</v>
      </c>
      <c r="P137" s="87">
        <f t="shared" si="88"/>
        <v>0</v>
      </c>
      <c r="Q137" s="87">
        <f t="shared" si="89"/>
        <v>62723.058252429</v>
      </c>
      <c r="R137" s="87">
        <f t="shared" si="90"/>
        <v>62723.058252429</v>
      </c>
      <c r="S137" s="87">
        <f t="shared" si="81"/>
        <v>0</v>
      </c>
      <c r="T137" s="87">
        <f t="shared" si="82"/>
        <v>62723.058252429</v>
      </c>
    </row>
    <row r="138" spans="1:20" ht="12.95" customHeight="1">
      <c r="A138" s="86">
        <v>44043</v>
      </c>
      <c r="B138" s="87">
        <f t="shared" si="69"/>
        <v>-4614625</v>
      </c>
      <c r="C138" s="87">
        <f t="shared" si="70"/>
        <v>-4614625</v>
      </c>
      <c r="D138" s="128"/>
      <c r="E138" s="87">
        <v>0</v>
      </c>
      <c r="F138" s="87">
        <v>0</v>
      </c>
      <c r="G138" s="81"/>
      <c r="H138" s="87">
        <f t="shared" si="83"/>
        <v>4614625</v>
      </c>
      <c r="I138" s="87">
        <f t="shared" si="84"/>
        <v>4614624.9999999935</v>
      </c>
      <c r="J138" s="81"/>
      <c r="K138" s="87">
        <f t="shared" si="85"/>
        <v>0</v>
      </c>
      <c r="L138" s="87">
        <f t="shared" si="86"/>
        <v>0</v>
      </c>
      <c r="M138" s="128"/>
      <c r="N138" s="87">
        <f t="shared" si="87"/>
        <v>0</v>
      </c>
      <c r="O138" s="87">
        <f t="shared" si="61"/>
        <v>62723.058252429</v>
      </c>
      <c r="P138" s="87">
        <f t="shared" si="88"/>
        <v>0</v>
      </c>
      <c r="Q138" s="87">
        <f t="shared" si="89"/>
        <v>62723.058252429</v>
      </c>
      <c r="R138" s="87">
        <f t="shared" si="90"/>
        <v>62723.058252429</v>
      </c>
      <c r="S138" s="87">
        <f t="shared" si="81"/>
        <v>0</v>
      </c>
      <c r="T138" s="87">
        <f t="shared" si="82"/>
        <v>62723.058252429</v>
      </c>
    </row>
    <row r="139" spans="1:20" ht="12.95" customHeight="1">
      <c r="A139" s="86">
        <v>44074</v>
      </c>
      <c r="B139" s="87">
        <f t="shared" si="69"/>
        <v>-4614625</v>
      </c>
      <c r="C139" s="87">
        <f t="shared" si="70"/>
        <v>-4614625</v>
      </c>
      <c r="D139" s="128"/>
      <c r="E139" s="87">
        <v>0</v>
      </c>
      <c r="F139" s="87">
        <v>0</v>
      </c>
      <c r="G139" s="81"/>
      <c r="H139" s="87">
        <f t="shared" si="83"/>
        <v>4614625</v>
      </c>
      <c r="I139" s="87">
        <f t="shared" si="84"/>
        <v>4614624.9999999935</v>
      </c>
      <c r="J139" s="81"/>
      <c r="K139" s="87">
        <f t="shared" si="85"/>
        <v>0</v>
      </c>
      <c r="L139" s="87">
        <f t="shared" si="86"/>
        <v>0</v>
      </c>
      <c r="M139" s="128"/>
      <c r="N139" s="87">
        <f t="shared" si="87"/>
        <v>0</v>
      </c>
      <c r="O139" s="87">
        <f t="shared" si="61"/>
        <v>62723.058252429</v>
      </c>
      <c r="P139" s="87">
        <f t="shared" si="88"/>
        <v>0</v>
      </c>
      <c r="Q139" s="87">
        <f t="shared" si="89"/>
        <v>62723.058252429</v>
      </c>
      <c r="R139" s="87">
        <f t="shared" si="90"/>
        <v>62723.058252429</v>
      </c>
      <c r="S139" s="87">
        <f t="shared" si="81"/>
        <v>0</v>
      </c>
      <c r="T139" s="87">
        <f t="shared" si="82"/>
        <v>62723.058252429</v>
      </c>
    </row>
    <row r="140" spans="1:20" ht="12.95" customHeight="1">
      <c r="A140" s="86">
        <v>44104</v>
      </c>
      <c r="B140" s="87">
        <f t="shared" si="69"/>
        <v>-4614625</v>
      </c>
      <c r="C140" s="87">
        <f t="shared" si="70"/>
        <v>-4614625</v>
      </c>
      <c r="D140" s="128"/>
      <c r="E140" s="87">
        <v>0</v>
      </c>
      <c r="F140" s="87">
        <v>0</v>
      </c>
      <c r="G140" s="81"/>
      <c r="H140" s="87">
        <f t="shared" si="83"/>
        <v>4614625</v>
      </c>
      <c r="I140" s="87">
        <f t="shared" si="84"/>
        <v>4614624.9999999935</v>
      </c>
      <c r="J140" s="81"/>
      <c r="K140" s="87">
        <f t="shared" si="85"/>
        <v>0</v>
      </c>
      <c r="L140" s="87">
        <f t="shared" si="86"/>
        <v>0</v>
      </c>
      <c r="M140" s="128"/>
      <c r="N140" s="87">
        <f t="shared" si="87"/>
        <v>0</v>
      </c>
      <c r="O140" s="87">
        <f t="shared" si="61"/>
        <v>62723.058252429</v>
      </c>
      <c r="P140" s="87">
        <f t="shared" si="88"/>
        <v>0</v>
      </c>
      <c r="Q140" s="87">
        <f t="shared" si="89"/>
        <v>62723.058252429</v>
      </c>
      <c r="R140" s="87">
        <f t="shared" si="90"/>
        <v>62723.058252429</v>
      </c>
      <c r="S140" s="87">
        <f t="shared" si="81"/>
        <v>0</v>
      </c>
      <c r="T140" s="87">
        <f t="shared" si="82"/>
        <v>62723.058252429</v>
      </c>
    </row>
    <row r="141" spans="1:20" ht="12.95" customHeight="1">
      <c r="A141" s="86">
        <v>44135</v>
      </c>
      <c r="B141" s="87">
        <f t="shared" si="69"/>
        <v>-4614625</v>
      </c>
      <c r="C141" s="87">
        <f t="shared" si="70"/>
        <v>-4614625</v>
      </c>
      <c r="D141" s="128"/>
      <c r="E141" s="87">
        <v>0</v>
      </c>
      <c r="F141" s="87">
        <v>0</v>
      </c>
      <c r="G141" s="81"/>
      <c r="H141" s="87">
        <f t="shared" si="83"/>
        <v>4614625</v>
      </c>
      <c r="I141" s="87">
        <f t="shared" si="84"/>
        <v>4614624.9999999935</v>
      </c>
      <c r="J141" s="81"/>
      <c r="K141" s="87">
        <f t="shared" si="85"/>
        <v>0</v>
      </c>
      <c r="L141" s="87">
        <f t="shared" si="86"/>
        <v>0</v>
      </c>
      <c r="M141" s="128"/>
      <c r="N141" s="87">
        <f t="shared" si="87"/>
        <v>0</v>
      </c>
      <c r="O141" s="87">
        <f t="shared" si="61"/>
        <v>62723.058252429</v>
      </c>
      <c r="P141" s="87">
        <f t="shared" si="88"/>
        <v>0</v>
      </c>
      <c r="Q141" s="87">
        <f t="shared" si="89"/>
        <v>62723.058252429</v>
      </c>
      <c r="R141" s="87">
        <f t="shared" si="90"/>
        <v>62723.058252429</v>
      </c>
      <c r="S141" s="87">
        <f t="shared" si="81"/>
        <v>0</v>
      </c>
      <c r="T141" s="87">
        <f t="shared" si="82"/>
        <v>62723.058252429</v>
      </c>
    </row>
    <row r="142" spans="1:20" ht="12.95" customHeight="1">
      <c r="A142" s="86">
        <v>44165</v>
      </c>
      <c r="B142" s="87">
        <f t="shared" si="69"/>
        <v>-4614625</v>
      </c>
      <c r="C142" s="87">
        <f t="shared" si="70"/>
        <v>-4614625</v>
      </c>
      <c r="D142" s="128"/>
      <c r="E142" s="87">
        <v>0</v>
      </c>
      <c r="F142" s="87">
        <v>0</v>
      </c>
      <c r="G142" s="81"/>
      <c r="H142" s="87">
        <f t="shared" si="83"/>
        <v>4614625</v>
      </c>
      <c r="I142" s="87">
        <f t="shared" si="84"/>
        <v>4614624.9999999935</v>
      </c>
      <c r="J142" s="81"/>
      <c r="K142" s="87">
        <f t="shared" si="85"/>
        <v>0</v>
      </c>
      <c r="L142" s="87">
        <f t="shared" si="86"/>
        <v>0</v>
      </c>
      <c r="M142" s="128"/>
      <c r="N142" s="87">
        <f t="shared" si="87"/>
        <v>0</v>
      </c>
      <c r="O142" s="87">
        <f t="shared" si="61"/>
        <v>62723.058252429</v>
      </c>
      <c r="P142" s="87">
        <f t="shared" si="88"/>
        <v>0</v>
      </c>
      <c r="Q142" s="87">
        <f t="shared" si="89"/>
        <v>62723.058252429</v>
      </c>
      <c r="R142" s="87">
        <f t="shared" si="90"/>
        <v>62723.058252429</v>
      </c>
      <c r="S142" s="87">
        <f t="shared" si="81"/>
        <v>0</v>
      </c>
      <c r="T142" s="87">
        <f t="shared" si="82"/>
        <v>62723.058252429</v>
      </c>
    </row>
    <row r="143" spans="1:20" ht="12.95" customHeight="1">
      <c r="A143" s="86">
        <v>44196</v>
      </c>
      <c r="B143" s="87">
        <f t="shared" si="69"/>
        <v>-4614625</v>
      </c>
      <c r="C143" s="87">
        <f t="shared" si="70"/>
        <v>-4614625</v>
      </c>
      <c r="D143" s="128"/>
      <c r="E143" s="87">
        <v>0</v>
      </c>
      <c r="F143" s="87">
        <v>0</v>
      </c>
      <c r="G143" s="81"/>
      <c r="H143" s="87">
        <f t="shared" si="83"/>
        <v>4614625</v>
      </c>
      <c r="I143" s="87">
        <f t="shared" si="84"/>
        <v>4614624.9999999935</v>
      </c>
      <c r="J143" s="81"/>
      <c r="K143" s="87">
        <f t="shared" si="85"/>
        <v>0</v>
      </c>
      <c r="L143" s="87">
        <f t="shared" si="86"/>
        <v>0</v>
      </c>
      <c r="M143" s="128"/>
      <c r="N143" s="87">
        <f t="shared" si="87"/>
        <v>0</v>
      </c>
      <c r="O143" s="87">
        <f t="shared" si="61"/>
        <v>62723.058252429</v>
      </c>
      <c r="P143" s="87">
        <f t="shared" si="88"/>
        <v>0</v>
      </c>
      <c r="Q143" s="87">
        <f t="shared" si="89"/>
        <v>62723.058252429</v>
      </c>
      <c r="R143" s="87">
        <f t="shared" si="90"/>
        <v>62723.058252429</v>
      </c>
      <c r="S143" s="87">
        <f t="shared" si="81"/>
        <v>0</v>
      </c>
      <c r="T143" s="87">
        <f t="shared" si="82"/>
        <v>62723.058252429</v>
      </c>
    </row>
    <row r="144" spans="1:20" ht="12.95" customHeight="1">
      <c r="A144" s="86">
        <v>44227</v>
      </c>
      <c r="B144" s="87">
        <f t="shared" si="69"/>
        <v>-4614625</v>
      </c>
      <c r="C144" s="87">
        <f t="shared" si="70"/>
        <v>-4614625</v>
      </c>
      <c r="D144" s="128"/>
      <c r="E144" s="87">
        <v>0</v>
      </c>
      <c r="F144" s="87">
        <v>0</v>
      </c>
      <c r="G144" s="81"/>
      <c r="H144" s="87">
        <f t="shared" si="83"/>
        <v>4614625</v>
      </c>
      <c r="I144" s="87">
        <f t="shared" si="84"/>
        <v>4614624.9999999935</v>
      </c>
      <c r="J144" s="81"/>
      <c r="K144" s="87">
        <f t="shared" si="85"/>
        <v>0</v>
      </c>
      <c r="L144" s="87">
        <f t="shared" si="86"/>
        <v>0</v>
      </c>
      <c r="M144" s="128"/>
      <c r="N144" s="87">
        <f t="shared" si="87"/>
        <v>0</v>
      </c>
      <c r="O144" s="87">
        <f t="shared" si="61"/>
        <v>62723.058252429</v>
      </c>
      <c r="P144" s="87">
        <f t="shared" si="88"/>
        <v>0</v>
      </c>
      <c r="Q144" s="87">
        <f t="shared" si="89"/>
        <v>62723.058252429</v>
      </c>
      <c r="R144" s="87">
        <f t="shared" si="90"/>
        <v>62723.058252429</v>
      </c>
      <c r="S144" s="87">
        <f t="shared" si="81"/>
        <v>0</v>
      </c>
      <c r="T144" s="87">
        <f t="shared" si="82"/>
        <v>62723.058252429</v>
      </c>
    </row>
    <row r="145" spans="1:20" ht="12.95" customHeight="1">
      <c r="A145" s="86">
        <v>44255</v>
      </c>
      <c r="B145" s="87">
        <f t="shared" si="69"/>
        <v>-4614625</v>
      </c>
      <c r="C145" s="87">
        <f t="shared" si="70"/>
        <v>-4614625</v>
      </c>
      <c r="D145" s="128"/>
      <c r="E145" s="87">
        <v>0</v>
      </c>
      <c r="F145" s="87">
        <v>0</v>
      </c>
      <c r="G145" s="81"/>
      <c r="H145" s="87">
        <f t="shared" si="83"/>
        <v>4614625</v>
      </c>
      <c r="I145" s="87">
        <f t="shared" si="84"/>
        <v>4614624.9999999935</v>
      </c>
      <c r="J145" s="81"/>
      <c r="K145" s="87">
        <f t="shared" si="85"/>
        <v>0</v>
      </c>
      <c r="L145" s="87">
        <f t="shared" si="86"/>
        <v>0</v>
      </c>
      <c r="M145" s="128"/>
      <c r="N145" s="87">
        <f t="shared" si="87"/>
        <v>0</v>
      </c>
      <c r="O145" s="87">
        <f t="shared" si="61"/>
        <v>62723.058252429</v>
      </c>
      <c r="P145" s="87">
        <f t="shared" si="88"/>
        <v>0</v>
      </c>
      <c r="Q145" s="87">
        <f t="shared" si="89"/>
        <v>62723.058252429</v>
      </c>
      <c r="R145" s="87">
        <f t="shared" si="90"/>
        <v>62723.058252429</v>
      </c>
      <c r="S145" s="87">
        <f t="shared" si="81"/>
        <v>0</v>
      </c>
      <c r="T145" s="87">
        <f t="shared" si="82"/>
        <v>62723.058252429</v>
      </c>
    </row>
    <row r="146" spans="1:20" ht="12.95" customHeight="1">
      <c r="A146" s="86">
        <v>44286</v>
      </c>
      <c r="B146" s="87">
        <f t="shared" si="69"/>
        <v>-4614625</v>
      </c>
      <c r="C146" s="87">
        <f t="shared" si="70"/>
        <v>-4614625</v>
      </c>
      <c r="D146" s="128"/>
      <c r="E146" s="87">
        <v>0</v>
      </c>
      <c r="F146" s="87">
        <v>0</v>
      </c>
      <c r="G146" s="81"/>
      <c r="H146" s="87">
        <f t="shared" si="83"/>
        <v>4614625</v>
      </c>
      <c r="I146" s="87">
        <f t="shared" si="84"/>
        <v>4614624.9999999935</v>
      </c>
      <c r="J146" s="81"/>
      <c r="K146" s="87">
        <f t="shared" si="85"/>
        <v>0</v>
      </c>
      <c r="L146" s="87">
        <f t="shared" si="86"/>
        <v>0</v>
      </c>
      <c r="M146" s="128"/>
      <c r="N146" s="87">
        <f t="shared" si="87"/>
        <v>0</v>
      </c>
      <c r="O146" s="87">
        <f t="shared" si="61"/>
        <v>62723.058252429</v>
      </c>
      <c r="P146" s="87">
        <f t="shared" si="88"/>
        <v>0</v>
      </c>
      <c r="Q146" s="87">
        <f t="shared" si="89"/>
        <v>62723.058252429</v>
      </c>
      <c r="R146" s="87">
        <f t="shared" si="90"/>
        <v>62723.058252429</v>
      </c>
      <c r="S146" s="87">
        <f t="shared" si="81"/>
        <v>0</v>
      </c>
      <c r="T146" s="87">
        <f t="shared" si="82"/>
        <v>62723.058252429</v>
      </c>
    </row>
    <row r="147" spans="1:20" ht="12.95" customHeight="1">
      <c r="A147" s="86">
        <v>44316</v>
      </c>
      <c r="B147" s="87">
        <f t="shared" si="69"/>
        <v>-4614625</v>
      </c>
      <c r="C147" s="87">
        <f t="shared" si="70"/>
        <v>-4614625</v>
      </c>
      <c r="D147" s="128"/>
      <c r="E147" s="87">
        <v>0</v>
      </c>
      <c r="F147" s="87">
        <v>0</v>
      </c>
      <c r="G147" s="81"/>
      <c r="H147" s="87">
        <f t="shared" si="83"/>
        <v>4614625</v>
      </c>
      <c r="I147" s="87">
        <f t="shared" si="84"/>
        <v>4614624.9999999935</v>
      </c>
      <c r="J147" s="81"/>
      <c r="K147" s="87">
        <f t="shared" si="85"/>
        <v>0</v>
      </c>
      <c r="L147" s="87">
        <f t="shared" si="86"/>
        <v>0</v>
      </c>
      <c r="M147" s="128"/>
      <c r="N147" s="87">
        <f t="shared" si="87"/>
        <v>0</v>
      </c>
      <c r="O147" s="87">
        <f t="shared" si="61"/>
        <v>62723.058252429</v>
      </c>
      <c r="P147" s="87">
        <f t="shared" si="88"/>
        <v>0</v>
      </c>
      <c r="Q147" s="87">
        <f t="shared" si="89"/>
        <v>62723.058252429</v>
      </c>
      <c r="R147" s="87">
        <f t="shared" si="90"/>
        <v>62723.058252429</v>
      </c>
      <c r="S147" s="87">
        <f t="shared" si="81"/>
        <v>0</v>
      </c>
      <c r="T147" s="87">
        <f t="shared" si="82"/>
        <v>62723.058252429</v>
      </c>
    </row>
    <row r="148" spans="1:20" ht="12.95" customHeight="1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</row>
    <row r="149" spans="1:20" ht="12.95" customHeight="1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</row>
    <row r="150" spans="1:20" ht="12.95" customHeight="1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</row>
    <row r="151" spans="1:20" ht="12.95" customHeight="1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</row>
    <row r="152" spans="1:20" ht="12.95" customHeight="1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</row>
    <row r="153" spans="1:20" ht="12.95" customHeight="1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</row>
    <row r="154" spans="1:20" ht="12.95" customHeight="1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</row>
    <row r="155" spans="1:20" ht="12.95" customHeight="1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</row>
    <row r="156" spans="1:20" ht="12.95" customHeight="1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</row>
    <row r="157" spans="1:20" ht="12.95" customHeight="1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</row>
    <row r="158" spans="1:20" ht="12.95" customHeight="1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</row>
    <row r="159" spans="1:20" ht="12.95" customHeight="1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</row>
    <row r="160" spans="1:20" ht="12.95" customHeight="1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</row>
    <row r="161" spans="1:18" ht="12.95" customHeight="1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</row>
    <row r="162" spans="1:18" ht="12.95" customHeight="1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</row>
    <row r="163" spans="1:18" ht="12.95" customHeight="1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</row>
    <row r="164" spans="1:18" ht="12.95" customHeight="1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</row>
    <row r="165" spans="1:18" ht="12.95" customHeight="1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</row>
    <row r="166" spans="1:18" ht="12.95" customHeight="1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</row>
    <row r="167" spans="1:18" ht="12.95" customHeight="1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</row>
    <row r="168" spans="1:18" ht="12.95" customHeight="1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</row>
    <row r="169" spans="1:18" ht="12.95" customHeight="1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</row>
    <row r="170" spans="1:18" ht="12.95" customHeight="1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</row>
    <row r="171" spans="1:18" ht="12.95" customHeight="1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</row>
    <row r="172" spans="1:18" ht="12.95" customHeight="1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</row>
    <row r="173" spans="1:18" ht="12.95" customHeight="1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</row>
    <row r="174" spans="1:18" ht="12.95" customHeight="1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</row>
    <row r="175" spans="1:18" ht="12.95" customHeight="1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</row>
    <row r="176" spans="1:18" ht="12.95" customHeight="1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</row>
    <row r="177" spans="1:18" ht="12.95" customHeight="1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</row>
    <row r="178" spans="1:18" ht="12.95" customHeight="1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</row>
    <row r="179" spans="1:18" ht="12.95" customHeight="1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</row>
    <row r="180" spans="1:18" ht="12.95" customHeight="1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</row>
    <row r="181" spans="1:18" ht="12.95" customHeight="1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</row>
    <row r="182" spans="1:18" ht="12.95" customHeight="1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</row>
    <row r="183" spans="1:18" ht="12.95" customHeight="1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</row>
    <row r="184" spans="1:18" ht="12.95" customHeight="1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</row>
    <row r="185" spans="1:18" ht="12.95" customHeight="1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</row>
    <row r="193" spans="18:18" ht="12.95" customHeight="1">
      <c r="R193" s="760"/>
    </row>
  </sheetData>
  <phoneticPr fontId="2" type="noConversion"/>
  <pageMargins left="0.5" right="0.5" top="0.5" bottom="0.5" header="0.5" footer="0"/>
  <pageSetup scale="56" fitToHeight="0" orientation="landscape" r:id="rId1"/>
  <headerFooter alignWithMargins="0">
    <oddFooter>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pageSetUpPr fitToPage="1"/>
  </sheetPr>
  <dimension ref="A1:Y193"/>
  <sheetViews>
    <sheetView zoomScale="55" zoomScaleNormal="55" workbookViewId="0">
      <pane xSplit="1" ySplit="11" topLeftCell="B12" activePane="bottomRight" state="frozen"/>
      <selection activeCell="R193" sqref="R193"/>
      <selection pane="topRight" activeCell="R193" sqref="R193"/>
      <selection pane="bottomLeft" activeCell="R193" sqref="R193"/>
      <selection pane="bottomRight" activeCell="I135" sqref="I135"/>
    </sheetView>
  </sheetViews>
  <sheetFormatPr defaultRowHeight="12.95" customHeight="1" outlineLevelRow="1" outlineLevelCol="1"/>
  <cols>
    <col min="1" max="1" width="23.5" customWidth="1"/>
    <col min="2" max="3" width="15.5" bestFit="1" customWidth="1"/>
    <col min="4" max="4" width="1.83203125" customWidth="1"/>
    <col min="5" max="5" width="23.83203125" customWidth="1"/>
    <col min="6" max="6" width="20.33203125" bestFit="1" customWidth="1"/>
    <col min="7" max="7" width="1.83203125" customWidth="1"/>
    <col min="8" max="9" width="14.5" bestFit="1" customWidth="1"/>
    <col min="10" max="10" width="1.83203125" customWidth="1"/>
    <col min="11" max="11" width="16.33203125" customWidth="1"/>
    <col min="12" max="12" width="15.5" bestFit="1" customWidth="1"/>
    <col min="13" max="13" width="1.83203125" customWidth="1"/>
    <col min="14" max="14" width="16" customWidth="1"/>
    <col min="15" max="15" width="15.5" bestFit="1" customWidth="1"/>
    <col min="16" max="16" width="16.5" bestFit="1" customWidth="1"/>
    <col min="17" max="18" width="15.5" bestFit="1" customWidth="1"/>
    <col min="19" max="19" width="14.6640625" customWidth="1" outlineLevel="1"/>
    <col min="20" max="20" width="13.1640625" customWidth="1" outlineLevel="1"/>
    <col min="21" max="21" width="9.1640625" customWidth="1" outlineLevel="1"/>
    <col min="23" max="23" width="13.6640625" customWidth="1"/>
  </cols>
  <sheetData>
    <row r="1" spans="1:18" ht="12.95" customHeight="1">
      <c r="A1" s="5" t="s">
        <v>179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8" ht="12.95" customHeight="1">
      <c r="A2" s="7" t="s">
        <v>116</v>
      </c>
      <c r="D2" s="6"/>
      <c r="E2" s="8">
        <v>3529527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12.95" customHeight="1">
      <c r="A3" s="7" t="s">
        <v>117</v>
      </c>
      <c r="D3" s="6"/>
      <c r="E3" s="741" t="s">
        <v>613</v>
      </c>
      <c r="F3" s="69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ht="12.95" customHeight="1">
      <c r="A4" s="5" t="s">
        <v>118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.95" customHeight="1">
      <c r="A5" s="5" t="s">
        <v>119</v>
      </c>
      <c r="D5" s="6"/>
      <c r="E5" s="476">
        <v>108</v>
      </c>
      <c r="F5" s="9" t="s">
        <v>82</v>
      </c>
      <c r="G5" s="6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>
      <c r="A6" s="5" t="s">
        <v>83</v>
      </c>
      <c r="D6" s="6"/>
      <c r="E6" s="10" t="s">
        <v>84</v>
      </c>
      <c r="F6" s="6"/>
      <c r="G6" s="6"/>
      <c r="H6" s="6"/>
      <c r="I6" s="6"/>
      <c r="J6" s="6"/>
      <c r="K6" s="6"/>
      <c r="L6" s="6"/>
      <c r="M6" s="6"/>
      <c r="N6" s="742"/>
      <c r="O6" s="743" t="s">
        <v>180</v>
      </c>
      <c r="P6" s="6"/>
    </row>
    <row r="7" spans="1:18" ht="12.95" customHeight="1" thickBot="1">
      <c r="A7" s="6"/>
      <c r="B7" s="6"/>
      <c r="C7" s="6"/>
      <c r="D7" s="6"/>
      <c r="E7" s="6"/>
      <c r="F7" s="925" t="s">
        <v>883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1:18" ht="12.95" customHeight="1">
      <c r="A8" s="11" t="s">
        <v>85</v>
      </c>
      <c r="B8" s="12" t="s">
        <v>120</v>
      </c>
      <c r="C8" s="13"/>
      <c r="D8" s="14"/>
      <c r="E8" s="15" t="s">
        <v>3</v>
      </c>
      <c r="F8" s="15"/>
      <c r="G8" s="14"/>
      <c r="H8" s="15" t="s">
        <v>86</v>
      </c>
      <c r="I8" s="15"/>
      <c r="J8" s="14"/>
      <c r="K8" s="15" t="s">
        <v>87</v>
      </c>
      <c r="L8" s="15"/>
      <c r="M8" s="82"/>
      <c r="N8" s="16" t="s">
        <v>88</v>
      </c>
      <c r="O8" s="16" t="s">
        <v>89</v>
      </c>
      <c r="P8" s="11" t="s">
        <v>90</v>
      </c>
      <c r="Q8" s="16" t="s">
        <v>21</v>
      </c>
      <c r="R8" s="16" t="s">
        <v>18</v>
      </c>
    </row>
    <row r="9" spans="1:18" ht="12.95" customHeight="1">
      <c r="A9" s="17"/>
      <c r="B9" s="18" t="s">
        <v>91</v>
      </c>
      <c r="C9" s="19" t="s">
        <v>92</v>
      </c>
      <c r="D9" s="20"/>
      <c r="E9" s="18" t="s">
        <v>91</v>
      </c>
      <c r="F9" s="19" t="s">
        <v>92</v>
      </c>
      <c r="G9" s="20"/>
      <c r="H9" s="18" t="s">
        <v>91</v>
      </c>
      <c r="I9" s="19" t="s">
        <v>92</v>
      </c>
      <c r="J9" s="20"/>
      <c r="K9" s="18" t="s">
        <v>91</v>
      </c>
      <c r="L9" s="19" t="s">
        <v>92</v>
      </c>
      <c r="M9" s="17"/>
      <c r="N9" s="20" t="s">
        <v>93</v>
      </c>
      <c r="O9" s="21">
        <v>0.35</v>
      </c>
      <c r="P9" s="22" t="s">
        <v>121</v>
      </c>
      <c r="Q9" s="21" t="s">
        <v>17</v>
      </c>
      <c r="R9" s="21" t="s">
        <v>19</v>
      </c>
    </row>
    <row r="10" spans="1:18" ht="12.95" customHeight="1">
      <c r="A10" s="17"/>
      <c r="B10" s="18" t="s">
        <v>22</v>
      </c>
      <c r="C10" s="19" t="s">
        <v>23</v>
      </c>
      <c r="D10" s="20"/>
      <c r="E10" s="18" t="s">
        <v>94</v>
      </c>
      <c r="F10" s="19" t="s">
        <v>122</v>
      </c>
      <c r="G10" s="20"/>
      <c r="H10" s="18" t="s">
        <v>123</v>
      </c>
      <c r="I10" s="19" t="s">
        <v>124</v>
      </c>
      <c r="J10" s="20"/>
      <c r="K10" s="18"/>
      <c r="L10" s="19"/>
      <c r="M10" s="17"/>
      <c r="N10" s="20"/>
      <c r="O10" s="21">
        <v>0.21</v>
      </c>
      <c r="P10" s="22" t="s">
        <v>125</v>
      </c>
      <c r="Q10" s="21"/>
      <c r="R10" s="21" t="s">
        <v>126</v>
      </c>
    </row>
    <row r="11" spans="1:18" ht="12.95" customHeight="1" thickBot="1">
      <c r="A11" s="23"/>
      <c r="B11" s="24"/>
      <c r="C11" s="25"/>
      <c r="D11" s="23"/>
      <c r="E11" s="24"/>
      <c r="F11" s="25" t="s">
        <v>82</v>
      </c>
      <c r="G11" s="23"/>
      <c r="H11" s="24" t="s">
        <v>127</v>
      </c>
      <c r="I11" s="25" t="s">
        <v>128</v>
      </c>
      <c r="J11" s="23"/>
      <c r="K11" s="24" t="s">
        <v>95</v>
      </c>
      <c r="L11" s="25" t="s">
        <v>96</v>
      </c>
      <c r="M11" s="33"/>
      <c r="N11" s="23" t="s">
        <v>97</v>
      </c>
      <c r="O11" s="26" t="s">
        <v>98</v>
      </c>
      <c r="P11" s="27" t="s">
        <v>129</v>
      </c>
      <c r="Q11" s="83" t="s">
        <v>130</v>
      </c>
      <c r="R11" s="83" t="s">
        <v>131</v>
      </c>
    </row>
    <row r="12" spans="1:18" ht="12.95" customHeight="1" thickTop="1">
      <c r="A12" s="477"/>
      <c r="B12" s="477"/>
      <c r="C12" s="477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7"/>
    </row>
    <row r="13" spans="1:18" ht="12.95" hidden="1" customHeight="1" outlineLevel="1">
      <c r="A13" s="84">
        <v>39752</v>
      </c>
      <c r="B13" s="28">
        <f>-E2</f>
        <v>-3529527</v>
      </c>
      <c r="C13" s="28">
        <f>-E2</f>
        <v>-3529527</v>
      </c>
      <c r="D13" s="29"/>
      <c r="E13" s="28">
        <f>B13</f>
        <v>-3529527</v>
      </c>
      <c r="F13" s="30"/>
      <c r="G13" s="30"/>
      <c r="H13" s="30">
        <f>-E13</f>
        <v>3529527</v>
      </c>
      <c r="I13" s="30"/>
      <c r="J13" s="30"/>
      <c r="K13" s="30">
        <f t="shared" ref="K13:L28" si="0">B13+H13</f>
        <v>0</v>
      </c>
      <c r="L13" s="30">
        <f t="shared" si="0"/>
        <v>-3529527</v>
      </c>
      <c r="M13" s="30"/>
      <c r="N13" s="30">
        <f>L13-K13</f>
        <v>-3529527</v>
      </c>
      <c r="O13" s="30">
        <f>-N13*$O$9-334</f>
        <v>1235000.45</v>
      </c>
      <c r="P13" s="30">
        <f>-O13+O12</f>
        <v>-1235000.45</v>
      </c>
      <c r="Q13" s="30">
        <f t="shared" ref="Q13:Q49" si="1">L13+O13</f>
        <v>-2294526.5499999998</v>
      </c>
      <c r="R13" s="30">
        <f>(0+Q13+SUM(0)*2)/24</f>
        <v>-95605.272916666654</v>
      </c>
    </row>
    <row r="14" spans="1:18" ht="12.95" hidden="1" customHeight="1" outlineLevel="1">
      <c r="A14" s="85">
        <v>39782</v>
      </c>
      <c r="B14" s="32">
        <f t="shared" ref="B14:C25" si="2">B13</f>
        <v>-3529527</v>
      </c>
      <c r="C14" s="32">
        <f t="shared" si="2"/>
        <v>-3529527</v>
      </c>
      <c r="D14" s="31"/>
      <c r="E14" s="32">
        <v>0</v>
      </c>
      <c r="F14" s="32">
        <v>0</v>
      </c>
      <c r="G14" s="31"/>
      <c r="H14" s="32">
        <f t="shared" ref="H14:I29" si="3">H13-E14</f>
        <v>3529527</v>
      </c>
      <c r="I14" s="32"/>
      <c r="J14" s="31"/>
      <c r="K14" s="32">
        <f t="shared" si="0"/>
        <v>0</v>
      </c>
      <c r="L14" s="32">
        <f t="shared" si="0"/>
        <v>-3529527</v>
      </c>
      <c r="M14" s="31"/>
      <c r="N14" s="32">
        <f>L14-K14</f>
        <v>-3529527</v>
      </c>
      <c r="O14" s="32">
        <f t="shared" ref="O14:O29" si="4">-N14*$O$9-334</f>
        <v>1235000.45</v>
      </c>
      <c r="P14" s="32">
        <f>-O14+O13</f>
        <v>0</v>
      </c>
      <c r="Q14" s="32">
        <f t="shared" si="1"/>
        <v>-2294526.5499999998</v>
      </c>
      <c r="R14" s="32">
        <f>(0+Q14+SUM($Q$13:Q13)*2)/24</f>
        <v>-286815.81874999998</v>
      </c>
    </row>
    <row r="15" spans="1:18" ht="12.95" hidden="1" customHeight="1" outlineLevel="1">
      <c r="A15" s="85">
        <v>39813</v>
      </c>
      <c r="B15" s="32">
        <f t="shared" si="2"/>
        <v>-3529527</v>
      </c>
      <c r="C15" s="32">
        <f t="shared" si="2"/>
        <v>-3529527</v>
      </c>
      <c r="D15" s="31"/>
      <c r="E15" s="32">
        <v>0</v>
      </c>
      <c r="F15" s="32">
        <v>0</v>
      </c>
      <c r="G15" s="31"/>
      <c r="H15" s="32">
        <f t="shared" si="3"/>
        <v>3529527</v>
      </c>
      <c r="I15" s="32"/>
      <c r="J15" s="31"/>
      <c r="K15" s="32">
        <f t="shared" si="0"/>
        <v>0</v>
      </c>
      <c r="L15" s="32">
        <f t="shared" si="0"/>
        <v>-3529527</v>
      </c>
      <c r="M15" s="31"/>
      <c r="N15" s="32">
        <f t="shared" ref="N15:N49" si="5">L15-K15</f>
        <v>-3529527</v>
      </c>
      <c r="O15" s="32">
        <f t="shared" si="4"/>
        <v>1235000.45</v>
      </c>
      <c r="P15" s="32">
        <f>-O15+O14</f>
        <v>0</v>
      </c>
      <c r="Q15" s="32">
        <f t="shared" si="1"/>
        <v>-2294526.5499999998</v>
      </c>
      <c r="R15" s="32">
        <f>(0+Q15+SUM($Q$13:Q14)*2)/24</f>
        <v>-478026.36458333331</v>
      </c>
    </row>
    <row r="16" spans="1:18" ht="12.95" hidden="1" customHeight="1" outlineLevel="1">
      <c r="A16" s="85">
        <v>39844</v>
      </c>
      <c r="B16" s="32">
        <f t="shared" si="2"/>
        <v>-3529527</v>
      </c>
      <c r="C16" s="32">
        <f t="shared" si="2"/>
        <v>-3529527</v>
      </c>
      <c r="D16" s="31"/>
      <c r="E16" s="32">
        <v>0</v>
      </c>
      <c r="F16" s="32">
        <v>0</v>
      </c>
      <c r="G16" s="31"/>
      <c r="H16" s="32">
        <f t="shared" si="3"/>
        <v>3529527</v>
      </c>
      <c r="I16" s="32"/>
      <c r="J16" s="31"/>
      <c r="K16" s="32">
        <f t="shared" si="0"/>
        <v>0</v>
      </c>
      <c r="L16" s="32">
        <f t="shared" si="0"/>
        <v>-3529527</v>
      </c>
      <c r="M16" s="31"/>
      <c r="N16" s="32">
        <f t="shared" si="5"/>
        <v>-3529527</v>
      </c>
      <c r="O16" s="32">
        <f t="shared" si="4"/>
        <v>1235000.45</v>
      </c>
      <c r="P16" s="32">
        <f t="shared" ref="P16:P25" si="6">-O16+O15</f>
        <v>0</v>
      </c>
      <c r="Q16" s="32">
        <f t="shared" si="1"/>
        <v>-2294526.5499999998</v>
      </c>
      <c r="R16" s="32">
        <f>(0+Q16+SUM($Q$13:Q15)*2)/24</f>
        <v>-669236.91041666653</v>
      </c>
    </row>
    <row r="17" spans="1:20" ht="12.95" hidden="1" customHeight="1" outlineLevel="1">
      <c r="A17" s="85">
        <v>39872</v>
      </c>
      <c r="B17" s="32">
        <f t="shared" si="2"/>
        <v>-3529527</v>
      </c>
      <c r="C17" s="32">
        <f t="shared" si="2"/>
        <v>-3529527</v>
      </c>
      <c r="D17" s="31"/>
      <c r="E17" s="32">
        <v>0</v>
      </c>
      <c r="F17" s="32">
        <v>0</v>
      </c>
      <c r="G17" s="31"/>
      <c r="H17" s="32">
        <f t="shared" si="3"/>
        <v>3529527</v>
      </c>
      <c r="I17" s="32"/>
      <c r="J17" s="31"/>
      <c r="K17" s="32">
        <f t="shared" si="0"/>
        <v>0</v>
      </c>
      <c r="L17" s="32">
        <f t="shared" si="0"/>
        <v>-3529527</v>
      </c>
      <c r="M17" s="31"/>
      <c r="N17" s="32">
        <f t="shared" si="5"/>
        <v>-3529527</v>
      </c>
      <c r="O17" s="32">
        <f t="shared" si="4"/>
        <v>1235000.45</v>
      </c>
      <c r="P17" s="32">
        <f t="shared" si="6"/>
        <v>0</v>
      </c>
      <c r="Q17" s="32">
        <f t="shared" si="1"/>
        <v>-2294526.5499999998</v>
      </c>
      <c r="R17" s="32">
        <f>(0+Q17+SUM($Q$13:Q16)*2)/24</f>
        <v>-860447.45624999993</v>
      </c>
    </row>
    <row r="18" spans="1:20" ht="12.95" hidden="1" customHeight="1" outlineLevel="1">
      <c r="A18" s="85">
        <v>39903</v>
      </c>
      <c r="B18" s="32">
        <f t="shared" si="2"/>
        <v>-3529527</v>
      </c>
      <c r="C18" s="32">
        <f t="shared" si="2"/>
        <v>-3529527</v>
      </c>
      <c r="D18" s="31"/>
      <c r="E18" s="32">
        <v>0</v>
      </c>
      <c r="F18" s="32">
        <v>0</v>
      </c>
      <c r="G18" s="31"/>
      <c r="H18" s="32">
        <f t="shared" si="3"/>
        <v>3529527</v>
      </c>
      <c r="I18" s="32"/>
      <c r="J18" s="31"/>
      <c r="K18" s="32">
        <f t="shared" si="0"/>
        <v>0</v>
      </c>
      <c r="L18" s="32">
        <f t="shared" si="0"/>
        <v>-3529527</v>
      </c>
      <c r="M18" s="31"/>
      <c r="N18" s="32">
        <f t="shared" si="5"/>
        <v>-3529527</v>
      </c>
      <c r="O18" s="32">
        <f t="shared" si="4"/>
        <v>1235000.45</v>
      </c>
      <c r="P18" s="32">
        <f t="shared" si="6"/>
        <v>0</v>
      </c>
      <c r="Q18" s="32">
        <f>L18+O18</f>
        <v>-2294526.5499999998</v>
      </c>
      <c r="R18" s="32">
        <f>(0+Q18+SUM($Q$13:Q17)*2)/24</f>
        <v>-1051658.0020833334</v>
      </c>
    </row>
    <row r="19" spans="1:20" ht="12.95" hidden="1" customHeight="1" outlineLevel="1">
      <c r="A19" s="85">
        <v>39933</v>
      </c>
      <c r="B19" s="32">
        <f t="shared" si="2"/>
        <v>-3529527</v>
      </c>
      <c r="C19" s="32">
        <f t="shared" si="2"/>
        <v>-3529527</v>
      </c>
      <c r="D19" s="31"/>
      <c r="E19" s="32">
        <v>0</v>
      </c>
      <c r="F19" s="87">
        <v>0</v>
      </c>
      <c r="G19" s="31"/>
      <c r="H19" s="32">
        <f t="shared" si="3"/>
        <v>3529527</v>
      </c>
      <c r="I19" s="32"/>
      <c r="J19" s="31"/>
      <c r="K19" s="32">
        <f t="shared" si="0"/>
        <v>0</v>
      </c>
      <c r="L19" s="32">
        <f t="shared" si="0"/>
        <v>-3529527</v>
      </c>
      <c r="M19" s="31"/>
      <c r="N19" s="32">
        <f t="shared" si="5"/>
        <v>-3529527</v>
      </c>
      <c r="O19" s="32">
        <f t="shared" si="4"/>
        <v>1235000.45</v>
      </c>
      <c r="P19" s="32">
        <f t="shared" si="6"/>
        <v>0</v>
      </c>
      <c r="Q19" s="32">
        <f t="shared" si="1"/>
        <v>-2294526.5499999998</v>
      </c>
      <c r="R19" s="32">
        <f>(0+Q19+SUM($Q$13:Q18)*2)/24</f>
        <v>-1242868.5479166668</v>
      </c>
    </row>
    <row r="20" spans="1:20" ht="12.95" hidden="1" customHeight="1" outlineLevel="1">
      <c r="A20" s="85">
        <v>39964</v>
      </c>
      <c r="B20" s="32">
        <f t="shared" si="2"/>
        <v>-3529527</v>
      </c>
      <c r="C20" s="32">
        <f t="shared" si="2"/>
        <v>-3529527</v>
      </c>
      <c r="D20" s="31"/>
      <c r="E20" s="32">
        <v>0</v>
      </c>
      <c r="F20" s="87">
        <v>0</v>
      </c>
      <c r="G20" s="31"/>
      <c r="H20" s="32">
        <f t="shared" si="3"/>
        <v>3529527</v>
      </c>
      <c r="I20" s="32"/>
      <c r="J20" s="31"/>
      <c r="K20" s="32">
        <f t="shared" si="0"/>
        <v>0</v>
      </c>
      <c r="L20" s="32">
        <f t="shared" si="0"/>
        <v>-3529527</v>
      </c>
      <c r="M20" s="31"/>
      <c r="N20" s="32">
        <f t="shared" si="5"/>
        <v>-3529527</v>
      </c>
      <c r="O20" s="32">
        <f t="shared" si="4"/>
        <v>1235000.45</v>
      </c>
      <c r="P20" s="32">
        <f t="shared" si="6"/>
        <v>0</v>
      </c>
      <c r="Q20" s="32">
        <f t="shared" si="1"/>
        <v>-2294526.5499999998</v>
      </c>
      <c r="R20" s="32">
        <f>(0+Q20+SUM($Q$13:Q19)*2)/24</f>
        <v>-1434079.09375</v>
      </c>
    </row>
    <row r="21" spans="1:20" ht="12.95" hidden="1" customHeight="1" outlineLevel="1">
      <c r="A21" s="85">
        <v>39994</v>
      </c>
      <c r="B21" s="32">
        <f t="shared" si="2"/>
        <v>-3529527</v>
      </c>
      <c r="C21" s="32">
        <f t="shared" si="2"/>
        <v>-3529527</v>
      </c>
      <c r="D21" s="31"/>
      <c r="E21" s="32">
        <v>0</v>
      </c>
      <c r="F21" s="87">
        <v>0</v>
      </c>
      <c r="G21" s="31"/>
      <c r="H21" s="32">
        <f t="shared" si="3"/>
        <v>3529527</v>
      </c>
      <c r="I21" s="32"/>
      <c r="J21" s="31"/>
      <c r="K21" s="32">
        <f t="shared" si="0"/>
        <v>0</v>
      </c>
      <c r="L21" s="32">
        <f t="shared" si="0"/>
        <v>-3529527</v>
      </c>
      <c r="M21" s="31"/>
      <c r="N21" s="32">
        <f t="shared" si="5"/>
        <v>-3529527</v>
      </c>
      <c r="O21" s="32">
        <f t="shared" si="4"/>
        <v>1235000.45</v>
      </c>
      <c r="P21" s="32">
        <f t="shared" si="6"/>
        <v>0</v>
      </c>
      <c r="Q21" s="32">
        <f t="shared" si="1"/>
        <v>-2294526.5499999998</v>
      </c>
      <c r="R21" s="32">
        <f>(0+Q21+SUM($Q$13:Q20)*2)/24</f>
        <v>-1625289.6395833334</v>
      </c>
    </row>
    <row r="22" spans="1:20" ht="12.95" hidden="1" customHeight="1" outlineLevel="1">
      <c r="A22" s="85">
        <v>40025</v>
      </c>
      <c r="B22" s="32">
        <f t="shared" si="2"/>
        <v>-3529527</v>
      </c>
      <c r="C22" s="32">
        <f t="shared" si="2"/>
        <v>-3529527</v>
      </c>
      <c r="D22" s="31"/>
      <c r="E22" s="32">
        <v>0</v>
      </c>
      <c r="F22" s="87">
        <v>0</v>
      </c>
      <c r="G22" s="31"/>
      <c r="H22" s="32">
        <f t="shared" si="3"/>
        <v>3529527</v>
      </c>
      <c r="I22" s="32"/>
      <c r="J22" s="31"/>
      <c r="K22" s="32">
        <f t="shared" si="0"/>
        <v>0</v>
      </c>
      <c r="L22" s="32">
        <f t="shared" si="0"/>
        <v>-3529527</v>
      </c>
      <c r="M22" s="31"/>
      <c r="N22" s="32">
        <f t="shared" si="5"/>
        <v>-3529527</v>
      </c>
      <c r="O22" s="32">
        <f t="shared" si="4"/>
        <v>1235000.45</v>
      </c>
      <c r="P22" s="32">
        <f t="shared" si="6"/>
        <v>0</v>
      </c>
      <c r="Q22" s="32">
        <f t="shared" si="1"/>
        <v>-2294526.5499999998</v>
      </c>
      <c r="R22" s="32">
        <f>(0+Q22+SUM($Q$13:Q21)*2)/24</f>
        <v>-1816500.1854166668</v>
      </c>
    </row>
    <row r="23" spans="1:20" ht="12.95" hidden="1" customHeight="1" outlineLevel="1">
      <c r="A23" s="85">
        <v>40056</v>
      </c>
      <c r="B23" s="32">
        <f t="shared" si="2"/>
        <v>-3529527</v>
      </c>
      <c r="C23" s="32">
        <f t="shared" si="2"/>
        <v>-3529527</v>
      </c>
      <c r="D23" s="31"/>
      <c r="E23" s="32">
        <v>0</v>
      </c>
      <c r="F23" s="87">
        <v>0</v>
      </c>
      <c r="G23" s="31"/>
      <c r="H23" s="32">
        <f t="shared" si="3"/>
        <v>3529527</v>
      </c>
      <c r="I23" s="32"/>
      <c r="J23" s="31"/>
      <c r="K23" s="32">
        <f t="shared" si="0"/>
        <v>0</v>
      </c>
      <c r="L23" s="32">
        <f t="shared" si="0"/>
        <v>-3529527</v>
      </c>
      <c r="M23" s="31"/>
      <c r="N23" s="32">
        <f t="shared" si="5"/>
        <v>-3529527</v>
      </c>
      <c r="O23" s="32">
        <f t="shared" si="4"/>
        <v>1235000.45</v>
      </c>
      <c r="P23" s="32">
        <f t="shared" si="6"/>
        <v>0</v>
      </c>
      <c r="Q23" s="32">
        <f t="shared" si="1"/>
        <v>-2294526.5499999998</v>
      </c>
      <c r="R23" s="32">
        <f>(0+Q23+SUM($Q$13:Q22)*2)/24</f>
        <v>-2007710.7312500002</v>
      </c>
    </row>
    <row r="24" spans="1:20" ht="12.95" hidden="1" customHeight="1" outlineLevel="1">
      <c r="A24" s="85">
        <v>40086</v>
      </c>
      <c r="B24" s="32">
        <f t="shared" si="2"/>
        <v>-3529527</v>
      </c>
      <c r="C24" s="32">
        <f t="shared" si="2"/>
        <v>-3529527</v>
      </c>
      <c r="D24" s="31"/>
      <c r="E24" s="32">
        <v>0</v>
      </c>
      <c r="F24" s="87">
        <v>0</v>
      </c>
      <c r="G24" s="31"/>
      <c r="H24" s="32">
        <f t="shared" si="3"/>
        <v>3529527</v>
      </c>
      <c r="I24" s="32"/>
      <c r="J24" s="31"/>
      <c r="K24" s="32">
        <f t="shared" si="0"/>
        <v>0</v>
      </c>
      <c r="L24" s="32">
        <f t="shared" si="0"/>
        <v>-3529527</v>
      </c>
      <c r="M24" s="31"/>
      <c r="N24" s="32">
        <f t="shared" si="5"/>
        <v>-3529527</v>
      </c>
      <c r="O24" s="32">
        <f t="shared" si="4"/>
        <v>1235000.45</v>
      </c>
      <c r="P24" s="32">
        <f t="shared" si="6"/>
        <v>0</v>
      </c>
      <c r="Q24" s="32">
        <f t="shared" si="1"/>
        <v>-2294526.5499999998</v>
      </c>
      <c r="R24" s="32">
        <f t="shared" ref="R24:R62" si="7">(Q12+Q24+SUM(Q13:Q23)*2)/24</f>
        <v>-2198921.2770833336</v>
      </c>
    </row>
    <row r="25" spans="1:20" ht="12.95" hidden="1" customHeight="1" outlineLevel="1">
      <c r="A25" s="85">
        <v>40117</v>
      </c>
      <c r="B25" s="32">
        <f t="shared" si="2"/>
        <v>-3529527</v>
      </c>
      <c r="C25" s="32">
        <f t="shared" si="2"/>
        <v>-3529527</v>
      </c>
      <c r="D25" s="31"/>
      <c r="E25" s="32">
        <v>0</v>
      </c>
      <c r="F25" s="87">
        <v>0</v>
      </c>
      <c r="G25" s="31"/>
      <c r="H25" s="32">
        <f t="shared" si="3"/>
        <v>3529527</v>
      </c>
      <c r="I25" s="32">
        <v>0</v>
      </c>
      <c r="J25" s="31"/>
      <c r="K25" s="32">
        <f t="shared" si="0"/>
        <v>0</v>
      </c>
      <c r="L25" s="32">
        <f t="shared" si="0"/>
        <v>-3529527</v>
      </c>
      <c r="M25" s="31"/>
      <c r="N25" s="32">
        <f t="shared" si="5"/>
        <v>-3529527</v>
      </c>
      <c r="O25" s="32">
        <f t="shared" si="4"/>
        <v>1235000.45</v>
      </c>
      <c r="P25" s="32">
        <f t="shared" si="6"/>
        <v>0</v>
      </c>
      <c r="Q25" s="32">
        <f t="shared" si="1"/>
        <v>-2294526.5499999998</v>
      </c>
      <c r="R25" s="32">
        <f t="shared" si="7"/>
        <v>-2294526.5500000003</v>
      </c>
    </row>
    <row r="26" spans="1:20" ht="12.95" hidden="1" customHeight="1" outlineLevel="1">
      <c r="A26" s="85">
        <v>40147</v>
      </c>
      <c r="B26" s="32">
        <f>B25</f>
        <v>-3529527</v>
      </c>
      <c r="C26" s="32">
        <f>C25</f>
        <v>-3529527</v>
      </c>
      <c r="D26" s="31"/>
      <c r="E26" s="32">
        <v>0</v>
      </c>
      <c r="F26" s="116"/>
      <c r="G26" s="31"/>
      <c r="H26" s="32">
        <f>H25-E26</f>
        <v>3529527</v>
      </c>
      <c r="I26" s="32">
        <f t="shared" si="3"/>
        <v>0</v>
      </c>
      <c r="J26" s="31"/>
      <c r="K26" s="32">
        <f t="shared" si="0"/>
        <v>0</v>
      </c>
      <c r="L26" s="32">
        <f t="shared" si="0"/>
        <v>-3529527</v>
      </c>
      <c r="M26" s="31"/>
      <c r="N26" s="32">
        <f t="shared" si="5"/>
        <v>-3529527</v>
      </c>
      <c r="O26" s="32">
        <f t="shared" si="4"/>
        <v>1235000.45</v>
      </c>
      <c r="P26" s="32">
        <f>-O26+O25</f>
        <v>0</v>
      </c>
      <c r="Q26" s="32">
        <f>L26+O26</f>
        <v>-2294526.5499999998</v>
      </c>
      <c r="R26" s="32">
        <f t="shared" si="7"/>
        <v>-2294526.5500000003</v>
      </c>
    </row>
    <row r="27" spans="1:20" ht="12.95" hidden="1" customHeight="1" outlineLevel="1">
      <c r="A27" s="85">
        <v>40178</v>
      </c>
      <c r="B27" s="32">
        <f>B26</f>
        <v>-3529527</v>
      </c>
      <c r="C27" s="32">
        <f t="shared" ref="C27:C67" si="8">C26</f>
        <v>-3529527</v>
      </c>
      <c r="D27" s="31"/>
      <c r="E27" s="32">
        <v>0</v>
      </c>
      <c r="F27" s="87"/>
      <c r="G27" s="31"/>
      <c r="H27" s="32">
        <f t="shared" si="3"/>
        <v>3529527</v>
      </c>
      <c r="I27" s="32">
        <f t="shared" si="3"/>
        <v>0</v>
      </c>
      <c r="J27" s="31"/>
      <c r="K27" s="32">
        <f t="shared" si="0"/>
        <v>0</v>
      </c>
      <c r="L27" s="32">
        <f>C27+I27</f>
        <v>-3529527</v>
      </c>
      <c r="M27" s="31"/>
      <c r="N27" s="32">
        <f t="shared" si="5"/>
        <v>-3529527</v>
      </c>
      <c r="O27" s="32">
        <f t="shared" si="4"/>
        <v>1235000.45</v>
      </c>
      <c r="P27" s="32">
        <f>-O27+O26</f>
        <v>0</v>
      </c>
      <c r="Q27" s="32">
        <f>L27+O27</f>
        <v>-2294526.5499999998</v>
      </c>
      <c r="R27" s="32">
        <f t="shared" si="7"/>
        <v>-2294526.5500000003</v>
      </c>
    </row>
    <row r="28" spans="1:20" ht="12.95" hidden="1" customHeight="1" outlineLevel="1">
      <c r="A28" s="85">
        <v>40209</v>
      </c>
      <c r="B28" s="32">
        <f t="shared" ref="B28:B67" si="9">B27</f>
        <v>-3529527</v>
      </c>
      <c r="C28" s="32">
        <f t="shared" si="8"/>
        <v>-3529527</v>
      </c>
      <c r="D28" s="31"/>
      <c r="E28" s="32">
        <v>0</v>
      </c>
      <c r="F28" s="87"/>
      <c r="G28" s="31"/>
      <c r="H28" s="32">
        <f t="shared" si="3"/>
        <v>3529527</v>
      </c>
      <c r="I28" s="32">
        <f t="shared" si="3"/>
        <v>0</v>
      </c>
      <c r="J28" s="31"/>
      <c r="K28" s="32">
        <f t="shared" si="0"/>
        <v>0</v>
      </c>
      <c r="L28" s="32">
        <f t="shared" si="0"/>
        <v>-3529527</v>
      </c>
      <c r="M28" s="31"/>
      <c r="N28" s="32">
        <f t="shared" si="5"/>
        <v>-3529527</v>
      </c>
      <c r="O28" s="32">
        <f t="shared" si="4"/>
        <v>1235000.45</v>
      </c>
      <c r="P28" s="32">
        <f t="shared" ref="P28:P49" si="10">-O28+O27</f>
        <v>0</v>
      </c>
      <c r="Q28" s="32">
        <f t="shared" si="1"/>
        <v>-2294526.5499999998</v>
      </c>
      <c r="R28" s="32">
        <f t="shared" si="7"/>
        <v>-2294526.5500000003</v>
      </c>
    </row>
    <row r="29" spans="1:20" ht="12.95" hidden="1" customHeight="1" outlineLevel="1">
      <c r="A29" s="85">
        <v>40237</v>
      </c>
      <c r="B29" s="32">
        <f t="shared" si="9"/>
        <v>-3529527</v>
      </c>
      <c r="C29" s="32">
        <f t="shared" si="8"/>
        <v>-3529527</v>
      </c>
      <c r="D29" s="31"/>
      <c r="E29" s="32">
        <v>0</v>
      </c>
      <c r="F29" s="87"/>
      <c r="G29" s="31"/>
      <c r="H29" s="32">
        <f t="shared" si="3"/>
        <v>3529527</v>
      </c>
      <c r="I29" s="32">
        <f t="shared" si="3"/>
        <v>0</v>
      </c>
      <c r="J29" s="31"/>
      <c r="K29" s="32">
        <f t="shared" ref="K29:L44" si="11">B29+H29</f>
        <v>0</v>
      </c>
      <c r="L29" s="32">
        <f t="shared" si="11"/>
        <v>-3529527</v>
      </c>
      <c r="M29" s="31"/>
      <c r="N29" s="32">
        <f t="shared" si="5"/>
        <v>-3529527</v>
      </c>
      <c r="O29" s="32">
        <f t="shared" si="4"/>
        <v>1235000.45</v>
      </c>
      <c r="P29" s="32">
        <f t="shared" si="10"/>
        <v>0</v>
      </c>
      <c r="Q29" s="32">
        <f t="shared" si="1"/>
        <v>-2294526.5499999998</v>
      </c>
      <c r="R29" s="32">
        <f t="shared" si="7"/>
        <v>-2294526.5500000003</v>
      </c>
    </row>
    <row r="30" spans="1:20" ht="12.95" hidden="1" customHeight="1" outlineLevel="1">
      <c r="A30" s="86">
        <v>40268</v>
      </c>
      <c r="B30" s="87">
        <f t="shared" si="9"/>
        <v>-3529527</v>
      </c>
      <c r="C30" s="87">
        <f t="shared" si="8"/>
        <v>-3529527</v>
      </c>
      <c r="D30" s="88"/>
      <c r="E30" s="87">
        <v>0</v>
      </c>
      <c r="F30" s="87"/>
      <c r="G30" s="88"/>
      <c r="H30" s="87">
        <f t="shared" ref="H30:I45" si="12">H29-E30</f>
        <v>3529527</v>
      </c>
      <c r="I30" s="87">
        <f>I29-F30</f>
        <v>0</v>
      </c>
      <c r="J30" s="88"/>
      <c r="K30" s="87">
        <f t="shared" si="11"/>
        <v>0</v>
      </c>
      <c r="L30" s="87">
        <f t="shared" si="11"/>
        <v>-3529527</v>
      </c>
      <c r="M30" s="88"/>
      <c r="N30" s="87">
        <f t="shared" si="5"/>
        <v>-3529527</v>
      </c>
      <c r="O30" s="32">
        <f>-N30*$O$9-334</f>
        <v>1235000.45</v>
      </c>
      <c r="P30" s="87">
        <f t="shared" si="10"/>
        <v>0</v>
      </c>
      <c r="Q30" s="87">
        <f t="shared" si="1"/>
        <v>-2294526.5499999998</v>
      </c>
      <c r="R30" s="87">
        <f t="shared" si="7"/>
        <v>-2294526.5500000003</v>
      </c>
      <c r="S30" s="81"/>
      <c r="T30" s="81"/>
    </row>
    <row r="31" spans="1:20" ht="12.95" hidden="1" customHeight="1" outlineLevel="1">
      <c r="A31" s="85">
        <v>40298</v>
      </c>
      <c r="B31" s="32">
        <f t="shared" si="9"/>
        <v>-3529527</v>
      </c>
      <c r="C31" s="32">
        <f t="shared" si="8"/>
        <v>-3529527</v>
      </c>
      <c r="D31" s="31"/>
      <c r="E31" s="32">
        <v>0</v>
      </c>
      <c r="F31" s="32">
        <v>-196084.86</v>
      </c>
      <c r="G31" s="31"/>
      <c r="H31" s="32">
        <f t="shared" si="12"/>
        <v>3529527</v>
      </c>
      <c r="I31" s="32">
        <f>I30-F31</f>
        <v>196084.86</v>
      </c>
      <c r="J31" s="31"/>
      <c r="K31" s="32">
        <f t="shared" si="11"/>
        <v>0</v>
      </c>
      <c r="L31" s="32">
        <f>C31+I31</f>
        <v>-3333442.14</v>
      </c>
      <c r="M31" s="31"/>
      <c r="N31" s="32">
        <f>L31-K31</f>
        <v>-3333442.14</v>
      </c>
      <c r="O31" s="32">
        <f>O30</f>
        <v>1235000.45</v>
      </c>
      <c r="P31" s="32">
        <f t="shared" si="10"/>
        <v>0</v>
      </c>
      <c r="Q31" s="32">
        <f t="shared" si="1"/>
        <v>-2098441.6900000004</v>
      </c>
      <c r="R31" s="32">
        <f t="shared" si="7"/>
        <v>-2286356.3475000006</v>
      </c>
    </row>
    <row r="32" spans="1:20" ht="12.95" hidden="1" customHeight="1" outlineLevel="1">
      <c r="A32" s="85">
        <v>40329</v>
      </c>
      <c r="B32" s="32">
        <f t="shared" si="9"/>
        <v>-3529527</v>
      </c>
      <c r="C32" s="32">
        <f t="shared" si="8"/>
        <v>-3529527</v>
      </c>
      <c r="D32" s="31"/>
      <c r="E32" s="32">
        <v>0</v>
      </c>
      <c r="F32" s="32">
        <f>$C$27/$E$5</f>
        <v>-32680.805555555555</v>
      </c>
      <c r="G32" s="31"/>
      <c r="H32" s="32">
        <f t="shared" si="12"/>
        <v>3529527</v>
      </c>
      <c r="I32" s="32">
        <f>I31-F32</f>
        <v>228765.66555555555</v>
      </c>
      <c r="J32" s="31"/>
      <c r="K32" s="32">
        <f t="shared" si="11"/>
        <v>0</v>
      </c>
      <c r="L32" s="32">
        <f t="shared" si="11"/>
        <v>-3300761.3344444446</v>
      </c>
      <c r="M32" s="31"/>
      <c r="N32" s="32">
        <f t="shared" si="5"/>
        <v>-3300761.3344444446</v>
      </c>
      <c r="O32" s="87">
        <f>O31</f>
        <v>1235000.45</v>
      </c>
      <c r="P32" s="87">
        <f>-O32+O31</f>
        <v>0</v>
      </c>
      <c r="Q32" s="32">
        <f t="shared" si="1"/>
        <v>-2065760.8844444447</v>
      </c>
      <c r="R32" s="32">
        <f t="shared" si="7"/>
        <v>-2268654.242268519</v>
      </c>
    </row>
    <row r="33" spans="1:20" ht="12.95" hidden="1" customHeight="1" outlineLevel="1">
      <c r="A33" s="85">
        <v>40359</v>
      </c>
      <c r="B33" s="32">
        <f t="shared" si="9"/>
        <v>-3529527</v>
      </c>
      <c r="C33" s="32">
        <f t="shared" si="8"/>
        <v>-3529527</v>
      </c>
      <c r="D33" s="31"/>
      <c r="E33" s="32">
        <v>0</v>
      </c>
      <c r="F33" s="32">
        <f t="shared" ref="F33:F67" si="13">$C$27/$E$5</f>
        <v>-32680.805555555555</v>
      </c>
      <c r="G33" s="31"/>
      <c r="H33" s="32">
        <f>H32-E33</f>
        <v>3529527</v>
      </c>
      <c r="I33" s="32">
        <f>I32-F33</f>
        <v>261446.47111111111</v>
      </c>
      <c r="J33" s="31"/>
      <c r="K33" s="32">
        <f t="shared" si="11"/>
        <v>0</v>
      </c>
      <c r="L33" s="32">
        <f>C33+I33</f>
        <v>-3268080.5288888887</v>
      </c>
      <c r="M33" s="31"/>
      <c r="N33" s="32">
        <f t="shared" si="5"/>
        <v>-3268080.5288888887</v>
      </c>
      <c r="O33" s="87">
        <v>1143000</v>
      </c>
      <c r="P33" s="87">
        <f>-O33+O32</f>
        <v>92000.449999999953</v>
      </c>
      <c r="Q33" s="32">
        <f t="shared" si="1"/>
        <v>-2125080.5288888887</v>
      </c>
      <c r="R33" s="32">
        <f t="shared" si="7"/>
        <v>-2252062.0886574076</v>
      </c>
      <c r="S33" s="32">
        <f t="shared" ref="S33:T36" si="14">(N21+N33+SUM(N22:N32)*2)/24</f>
        <v>-3483229.186574074</v>
      </c>
      <c r="T33" s="32">
        <f t="shared" si="14"/>
        <v>1231167.0979166664</v>
      </c>
    </row>
    <row r="34" spans="1:20" ht="12.95" hidden="1" customHeight="1" outlineLevel="1">
      <c r="A34" s="85">
        <v>40390</v>
      </c>
      <c r="B34" s="32">
        <f t="shared" si="9"/>
        <v>-3529527</v>
      </c>
      <c r="C34" s="32">
        <f t="shared" si="8"/>
        <v>-3529527</v>
      </c>
      <c r="D34" s="31"/>
      <c r="E34" s="32">
        <v>0</v>
      </c>
      <c r="F34" s="32">
        <f t="shared" si="13"/>
        <v>-32680.805555555555</v>
      </c>
      <c r="G34" s="31"/>
      <c r="H34" s="32">
        <f t="shared" si="12"/>
        <v>3529527</v>
      </c>
      <c r="I34" s="32">
        <f t="shared" si="12"/>
        <v>294127.27666666667</v>
      </c>
      <c r="J34" s="31"/>
      <c r="K34" s="32">
        <f t="shared" si="11"/>
        <v>0</v>
      </c>
      <c r="L34" s="32">
        <f t="shared" si="11"/>
        <v>-3235399.7233333332</v>
      </c>
      <c r="M34" s="31"/>
      <c r="N34" s="32">
        <f t="shared" si="5"/>
        <v>-3235399.7233333332</v>
      </c>
      <c r="O34" s="87">
        <v>1132000</v>
      </c>
      <c r="P34" s="87">
        <f t="shared" si="10"/>
        <v>11000</v>
      </c>
      <c r="Q34" s="32">
        <f t="shared" si="1"/>
        <v>-2103399.7233333332</v>
      </c>
      <c r="R34" s="32">
        <f t="shared" si="7"/>
        <v>-2237038.2200000002</v>
      </c>
      <c r="S34" s="32">
        <f t="shared" si="14"/>
        <v>-3460080.280416667</v>
      </c>
      <c r="T34" s="32">
        <f t="shared" si="14"/>
        <v>1223042.0604166666</v>
      </c>
    </row>
    <row r="35" spans="1:20" ht="12.95" hidden="1" customHeight="1" outlineLevel="1">
      <c r="A35" s="85">
        <v>40421</v>
      </c>
      <c r="B35" s="32">
        <f t="shared" si="9"/>
        <v>-3529527</v>
      </c>
      <c r="C35" s="32">
        <f t="shared" si="8"/>
        <v>-3529527</v>
      </c>
      <c r="D35" s="31"/>
      <c r="E35" s="32">
        <v>0</v>
      </c>
      <c r="F35" s="32">
        <f t="shared" si="13"/>
        <v>-32680.805555555555</v>
      </c>
      <c r="G35" s="31"/>
      <c r="H35" s="32">
        <f t="shared" si="12"/>
        <v>3529527</v>
      </c>
      <c r="I35" s="32">
        <f t="shared" si="12"/>
        <v>326808.08222222223</v>
      </c>
      <c r="J35" s="31"/>
      <c r="K35" s="32">
        <f t="shared" si="11"/>
        <v>0</v>
      </c>
      <c r="L35" s="32">
        <f t="shared" si="11"/>
        <v>-3202718.9177777776</v>
      </c>
      <c r="M35" s="31"/>
      <c r="N35" s="32">
        <f t="shared" si="5"/>
        <v>-3202718.9177777776</v>
      </c>
      <c r="O35" s="87">
        <v>1121000</v>
      </c>
      <c r="P35" s="87">
        <f t="shared" si="10"/>
        <v>11000</v>
      </c>
      <c r="Q35" s="32">
        <f t="shared" si="1"/>
        <v>-2081718.9177777776</v>
      </c>
      <c r="R35" s="32">
        <f t="shared" si="7"/>
        <v>-2220207.6175462962</v>
      </c>
      <c r="S35" s="32">
        <f t="shared" si="14"/>
        <v>-3434207.9737962964</v>
      </c>
      <c r="T35" s="32">
        <f t="shared" si="14"/>
        <v>1214000.35625</v>
      </c>
    </row>
    <row r="36" spans="1:20" ht="12.95" hidden="1" customHeight="1" outlineLevel="1">
      <c r="A36" s="86">
        <v>40451</v>
      </c>
      <c r="B36" s="87">
        <f t="shared" si="9"/>
        <v>-3529527</v>
      </c>
      <c r="C36" s="87">
        <f t="shared" si="8"/>
        <v>-3529527</v>
      </c>
      <c r="D36" s="88"/>
      <c r="E36" s="87">
        <v>0</v>
      </c>
      <c r="F36" s="87">
        <f t="shared" si="13"/>
        <v>-32680.805555555555</v>
      </c>
      <c r="G36" s="88"/>
      <c r="H36" s="87">
        <f t="shared" si="12"/>
        <v>3529527</v>
      </c>
      <c r="I36" s="87">
        <f>I35-F36</f>
        <v>359488.8877777778</v>
      </c>
      <c r="J36" s="88"/>
      <c r="K36" s="87">
        <f t="shared" si="11"/>
        <v>0</v>
      </c>
      <c r="L36" s="87">
        <f t="shared" si="11"/>
        <v>-3170038.1122222221</v>
      </c>
      <c r="M36" s="88"/>
      <c r="N36" s="87">
        <f t="shared" si="5"/>
        <v>-3170038.1122222221</v>
      </c>
      <c r="O36" s="87">
        <v>1109179</v>
      </c>
      <c r="P36" s="87">
        <f t="shared" si="10"/>
        <v>11821</v>
      </c>
      <c r="Q36" s="87">
        <f>L36+O36</f>
        <v>-2060859.1122222221</v>
      </c>
      <c r="R36" s="87">
        <f t="shared" si="7"/>
        <v>-2201604.4896296295</v>
      </c>
      <c r="S36" s="87">
        <f t="shared" si="14"/>
        <v>-3405612.2667129631</v>
      </c>
      <c r="T36" s="87">
        <f t="shared" si="14"/>
        <v>1204007.7770833333</v>
      </c>
    </row>
    <row r="37" spans="1:20" ht="12.95" hidden="1" customHeight="1" outlineLevel="1">
      <c r="A37" s="85">
        <v>40482</v>
      </c>
      <c r="B37" s="32">
        <f t="shared" si="9"/>
        <v>-3529527</v>
      </c>
      <c r="C37" s="32">
        <f t="shared" si="8"/>
        <v>-3529527</v>
      </c>
      <c r="D37" s="31"/>
      <c r="E37" s="32">
        <v>0</v>
      </c>
      <c r="F37" s="32">
        <f t="shared" si="13"/>
        <v>-32680.805555555555</v>
      </c>
      <c r="G37" s="31"/>
      <c r="H37" s="32">
        <f t="shared" si="12"/>
        <v>3529527</v>
      </c>
      <c r="I37" s="32">
        <f t="shared" si="12"/>
        <v>392169.69333333336</v>
      </c>
      <c r="J37" s="31"/>
      <c r="K37" s="32">
        <f t="shared" si="11"/>
        <v>0</v>
      </c>
      <c r="L37" s="32">
        <f t="shared" si="11"/>
        <v>-3137357.3066666666</v>
      </c>
      <c r="M37" s="31"/>
      <c r="N37" s="32">
        <f t="shared" si="5"/>
        <v>-3137357.3066666666</v>
      </c>
      <c r="O37" s="87">
        <v>1097741</v>
      </c>
      <c r="P37" s="87">
        <f t="shared" si="10"/>
        <v>11438</v>
      </c>
      <c r="Q37" s="32">
        <f t="shared" si="1"/>
        <v>-2039616.3066666666</v>
      </c>
      <c r="R37" s="32">
        <f t="shared" si="7"/>
        <v>-2181247.0862500002</v>
      </c>
      <c r="S37" s="87">
        <f t="shared" ref="S37:S43" si="15">(N25+N37+SUM(N26:N36)*2)/24</f>
        <v>-3374293.1591666671</v>
      </c>
      <c r="T37" s="87">
        <f t="shared" ref="T37:T43" si="16">(O25+O37+SUM(O26:O36)*2)/24</f>
        <v>1193046.0729166667</v>
      </c>
    </row>
    <row r="38" spans="1:20" ht="12.95" hidden="1" customHeight="1" outlineLevel="1">
      <c r="A38" s="86">
        <v>40512</v>
      </c>
      <c r="B38" s="87">
        <f t="shared" si="9"/>
        <v>-3529527</v>
      </c>
      <c r="C38" s="87">
        <f t="shared" si="8"/>
        <v>-3529527</v>
      </c>
      <c r="D38" s="88"/>
      <c r="E38" s="87">
        <v>0</v>
      </c>
      <c r="F38" s="87">
        <f t="shared" si="13"/>
        <v>-32680.805555555555</v>
      </c>
      <c r="G38" s="88"/>
      <c r="H38" s="87">
        <f t="shared" si="12"/>
        <v>3529527</v>
      </c>
      <c r="I38" s="87">
        <f t="shared" si="12"/>
        <v>424850.49888888892</v>
      </c>
      <c r="J38" s="88"/>
      <c r="K38" s="87">
        <f t="shared" si="11"/>
        <v>0</v>
      </c>
      <c r="L38" s="87">
        <f t="shared" si="11"/>
        <v>-3104676.5011111111</v>
      </c>
      <c r="M38" s="88"/>
      <c r="N38" s="87">
        <f t="shared" si="5"/>
        <v>-3104676.5011111111</v>
      </c>
      <c r="O38" s="87">
        <v>1086303</v>
      </c>
      <c r="P38" s="87">
        <f>-O38+O37</f>
        <v>11438</v>
      </c>
      <c r="Q38" s="87">
        <f t="shared" si="1"/>
        <v>-2018373.5011111111</v>
      </c>
      <c r="R38" s="87">
        <f t="shared" si="7"/>
        <v>-2159119.4490740737</v>
      </c>
      <c r="S38" s="87">
        <f t="shared" si="15"/>
        <v>-3340250.6511574071</v>
      </c>
      <c r="T38" s="87">
        <f t="shared" si="16"/>
        <v>1181131.2020833332</v>
      </c>
    </row>
    <row r="39" spans="1:20" ht="12.95" hidden="1" customHeight="1" outlineLevel="1">
      <c r="A39" s="86">
        <v>40543</v>
      </c>
      <c r="B39" s="87">
        <f t="shared" si="9"/>
        <v>-3529527</v>
      </c>
      <c r="C39" s="87">
        <f t="shared" si="8"/>
        <v>-3529527</v>
      </c>
      <c r="D39" s="88"/>
      <c r="E39" s="87">
        <v>0</v>
      </c>
      <c r="F39" s="87">
        <f t="shared" si="13"/>
        <v>-32680.805555555555</v>
      </c>
      <c r="G39" s="88"/>
      <c r="H39" s="87">
        <f t="shared" si="12"/>
        <v>3529527</v>
      </c>
      <c r="I39" s="87">
        <f>I38-F39</f>
        <v>457531.30444444448</v>
      </c>
      <c r="J39" s="88"/>
      <c r="K39" s="87">
        <f t="shared" si="11"/>
        <v>0</v>
      </c>
      <c r="L39" s="87">
        <f>C39+I39</f>
        <v>-3071995.6955555556</v>
      </c>
      <c r="M39" s="31"/>
      <c r="N39" s="32">
        <f>L39-K39</f>
        <v>-3071995.6955555556</v>
      </c>
      <c r="O39" s="87">
        <v>1074864</v>
      </c>
      <c r="P39" s="87">
        <f>-O39+O38</f>
        <v>11439</v>
      </c>
      <c r="Q39" s="32">
        <f t="shared" si="1"/>
        <v>-1997131.6955555556</v>
      </c>
      <c r="R39" s="32">
        <f t="shared" si="7"/>
        <v>-2135221.6197685185</v>
      </c>
      <c r="S39" s="87">
        <f t="shared" si="15"/>
        <v>-3303484.7426851853</v>
      </c>
      <c r="T39" s="87">
        <f t="shared" si="16"/>
        <v>1168263.1229166666</v>
      </c>
    </row>
    <row r="40" spans="1:20" ht="12.95" hidden="1" customHeight="1" outlineLevel="1">
      <c r="A40" s="86">
        <v>40574</v>
      </c>
      <c r="B40" s="87">
        <f t="shared" si="9"/>
        <v>-3529527</v>
      </c>
      <c r="C40" s="87">
        <f t="shared" si="8"/>
        <v>-3529527</v>
      </c>
      <c r="D40" s="88"/>
      <c r="E40" s="87">
        <v>0</v>
      </c>
      <c r="F40" s="87">
        <f>$C$27/$E$5</f>
        <v>-32680.805555555555</v>
      </c>
      <c r="G40" s="88"/>
      <c r="H40" s="87">
        <f t="shared" si="12"/>
        <v>3529527</v>
      </c>
      <c r="I40" s="87">
        <f t="shared" si="12"/>
        <v>490212.11000000004</v>
      </c>
      <c r="J40" s="88"/>
      <c r="K40" s="87">
        <f t="shared" si="11"/>
        <v>0</v>
      </c>
      <c r="L40" s="87">
        <f t="shared" si="11"/>
        <v>-3039314.89</v>
      </c>
      <c r="M40" s="88"/>
      <c r="N40" s="87">
        <f t="shared" si="5"/>
        <v>-3039314.89</v>
      </c>
      <c r="O40" s="87">
        <v>1063426</v>
      </c>
      <c r="P40" s="87">
        <f t="shared" si="10"/>
        <v>11438</v>
      </c>
      <c r="Q40" s="87">
        <f t="shared" si="1"/>
        <v>-1975888.8900000001</v>
      </c>
      <c r="R40" s="87">
        <f t="shared" si="7"/>
        <v>-2109553.5983333332</v>
      </c>
      <c r="S40" s="87">
        <f t="shared" si="15"/>
        <v>-3263995.4337499999</v>
      </c>
      <c r="T40" s="87">
        <f t="shared" si="16"/>
        <v>1154441.8354166667</v>
      </c>
    </row>
    <row r="41" spans="1:20" ht="12.95" hidden="1" customHeight="1" outlineLevel="1">
      <c r="A41" s="86">
        <v>40602</v>
      </c>
      <c r="B41" s="87">
        <f t="shared" si="9"/>
        <v>-3529527</v>
      </c>
      <c r="C41" s="87">
        <f t="shared" si="8"/>
        <v>-3529527</v>
      </c>
      <c r="D41" s="88"/>
      <c r="E41" s="87">
        <v>0</v>
      </c>
      <c r="F41" s="87">
        <f t="shared" si="13"/>
        <v>-32680.805555555555</v>
      </c>
      <c r="G41" s="88"/>
      <c r="H41" s="87">
        <f t="shared" si="12"/>
        <v>3529527</v>
      </c>
      <c r="I41" s="87">
        <f>I40-F41</f>
        <v>522892.91555555561</v>
      </c>
      <c r="J41" s="88"/>
      <c r="K41" s="87">
        <f t="shared" si="11"/>
        <v>0</v>
      </c>
      <c r="L41" s="87">
        <f>C41+I41</f>
        <v>-3006634.0844444446</v>
      </c>
      <c r="M41" s="88"/>
      <c r="N41" s="87">
        <f>L41-K41</f>
        <v>-3006634.0844444446</v>
      </c>
      <c r="O41" s="87">
        <v>1051988</v>
      </c>
      <c r="P41" s="87">
        <f t="shared" si="10"/>
        <v>11438</v>
      </c>
      <c r="Q41" s="87">
        <f t="shared" si="1"/>
        <v>-1954646.0844444446</v>
      </c>
      <c r="R41" s="87">
        <f t="shared" si="7"/>
        <v>-2082115.3431018519</v>
      </c>
      <c r="S41" s="87">
        <f t="shared" si="15"/>
        <v>-3221782.7243518517</v>
      </c>
      <c r="T41" s="87">
        <f t="shared" si="16"/>
        <v>1139667.3812499999</v>
      </c>
    </row>
    <row r="42" spans="1:20" ht="12.95" hidden="1" customHeight="1" outlineLevel="1">
      <c r="A42" s="86">
        <v>40633</v>
      </c>
      <c r="B42" s="87">
        <f t="shared" si="9"/>
        <v>-3529527</v>
      </c>
      <c r="C42" s="87">
        <f t="shared" si="8"/>
        <v>-3529527</v>
      </c>
      <c r="D42" s="88"/>
      <c r="E42" s="87">
        <v>0</v>
      </c>
      <c r="F42" s="87">
        <f t="shared" si="13"/>
        <v>-32680.805555555555</v>
      </c>
      <c r="G42" s="88"/>
      <c r="H42" s="87">
        <f t="shared" si="12"/>
        <v>3529527</v>
      </c>
      <c r="I42" s="87">
        <f>I41-F42</f>
        <v>555573.72111111111</v>
      </c>
      <c r="J42" s="88"/>
      <c r="K42" s="87">
        <f t="shared" si="11"/>
        <v>0</v>
      </c>
      <c r="L42" s="87">
        <f t="shared" si="11"/>
        <v>-2973953.2788888887</v>
      </c>
      <c r="M42" s="88"/>
      <c r="N42" s="87">
        <f t="shared" si="5"/>
        <v>-2973953.2788888887</v>
      </c>
      <c r="O42" s="87">
        <f>-N42*$O$9</f>
        <v>1040883.6476111109</v>
      </c>
      <c r="P42" s="87">
        <f t="shared" si="10"/>
        <v>11104.352388889063</v>
      </c>
      <c r="Q42" s="87">
        <f t="shared" si="1"/>
        <v>-1933069.6312777777</v>
      </c>
      <c r="R42" s="87">
        <f t="shared" si="7"/>
        <v>-2052892.9520902776</v>
      </c>
      <c r="S42" s="87">
        <f t="shared" si="15"/>
        <v>-3176846.6144907414</v>
      </c>
      <c r="T42" s="87">
        <f t="shared" si="16"/>
        <v>1123953.6624004629</v>
      </c>
    </row>
    <row r="43" spans="1:20" ht="12.95" hidden="1" customHeight="1" outlineLevel="1">
      <c r="A43" s="86">
        <v>40663</v>
      </c>
      <c r="B43" s="87">
        <f t="shared" si="9"/>
        <v>-3529527</v>
      </c>
      <c r="C43" s="87">
        <f t="shared" si="8"/>
        <v>-3529527</v>
      </c>
      <c r="D43" s="88"/>
      <c r="E43" s="87">
        <v>0</v>
      </c>
      <c r="F43" s="87">
        <f t="shared" si="13"/>
        <v>-32680.805555555555</v>
      </c>
      <c r="G43" s="88"/>
      <c r="H43" s="87">
        <f t="shared" si="12"/>
        <v>3529527</v>
      </c>
      <c r="I43" s="87">
        <f t="shared" si="12"/>
        <v>588254.52666666661</v>
      </c>
      <c r="J43" s="88"/>
      <c r="K43" s="87">
        <f t="shared" si="11"/>
        <v>0</v>
      </c>
      <c r="L43" s="87">
        <f t="shared" si="11"/>
        <v>-2941272.4733333336</v>
      </c>
      <c r="M43" s="88"/>
      <c r="N43" s="87">
        <f t="shared" si="5"/>
        <v>-2941272.4733333336</v>
      </c>
      <c r="O43" s="87">
        <v>1029112</v>
      </c>
      <c r="P43" s="87">
        <f t="shared" si="10"/>
        <v>11771.647611110937</v>
      </c>
      <c r="Q43" s="87">
        <f t="shared" si="1"/>
        <v>-1912160.4733333336</v>
      </c>
      <c r="R43" s="87">
        <f t="shared" si="7"/>
        <v>-2030070.5297824072</v>
      </c>
      <c r="S43" s="87">
        <f t="shared" si="15"/>
        <v>-3137357.3066666666</v>
      </c>
      <c r="T43" s="87">
        <f t="shared" si="16"/>
        <v>1107286.7768842592</v>
      </c>
    </row>
    <row r="44" spans="1:20" ht="12.95" hidden="1" customHeight="1" outlineLevel="1">
      <c r="A44" s="86">
        <v>40694</v>
      </c>
      <c r="B44" s="32">
        <f t="shared" si="9"/>
        <v>-3529527</v>
      </c>
      <c r="C44" s="32">
        <f t="shared" si="8"/>
        <v>-3529527</v>
      </c>
      <c r="D44" s="31"/>
      <c r="E44" s="32">
        <v>0</v>
      </c>
      <c r="F44" s="32">
        <f t="shared" si="13"/>
        <v>-32680.805555555555</v>
      </c>
      <c r="G44" s="31"/>
      <c r="H44" s="32">
        <f t="shared" si="12"/>
        <v>3529527</v>
      </c>
      <c r="I44" s="32">
        <f>I43-F44</f>
        <v>620935.33222222212</v>
      </c>
      <c r="J44" s="31"/>
      <c r="K44" s="32">
        <f t="shared" si="11"/>
        <v>0</v>
      </c>
      <c r="L44" s="32">
        <f t="shared" si="11"/>
        <v>-2908591.6677777776</v>
      </c>
      <c r="M44" s="31"/>
      <c r="N44" s="32">
        <f t="shared" si="5"/>
        <v>-2908591.6677777776</v>
      </c>
      <c r="O44" s="32">
        <v>1017674</v>
      </c>
      <c r="P44" s="32">
        <f t="shared" si="10"/>
        <v>11438</v>
      </c>
      <c r="Q44" s="32">
        <f t="shared" si="1"/>
        <v>-1890917.6677777776</v>
      </c>
      <c r="R44" s="32">
        <f t="shared" si="7"/>
        <v>-2015023.6783935183</v>
      </c>
      <c r="S44" s="87">
        <f t="shared" ref="S44:S49" si="17">(N32+N44+SUM(N33:N43)*2)/24</f>
        <v>-3104676.5011111111</v>
      </c>
      <c r="T44" s="87">
        <f>(O32+O44+SUM(O33:O43)*2)/24</f>
        <v>1089652.8227175926</v>
      </c>
    </row>
    <row r="45" spans="1:20" ht="12.95" hidden="1" customHeight="1" outlineLevel="1">
      <c r="A45" s="85">
        <v>40724</v>
      </c>
      <c r="B45" s="32">
        <f t="shared" si="9"/>
        <v>-3529527</v>
      </c>
      <c r="C45" s="32">
        <f t="shared" si="8"/>
        <v>-3529527</v>
      </c>
      <c r="D45" s="31"/>
      <c r="E45" s="32">
        <v>0</v>
      </c>
      <c r="F45" s="87">
        <f t="shared" si="13"/>
        <v>-32680.805555555555</v>
      </c>
      <c r="G45" s="31"/>
      <c r="H45" s="32">
        <f t="shared" si="12"/>
        <v>3529527</v>
      </c>
      <c r="I45" s="32">
        <f t="shared" si="12"/>
        <v>653616.13777777762</v>
      </c>
      <c r="J45" s="31"/>
      <c r="K45" s="32">
        <f t="shared" ref="K45:L63" si="18">B45+H45</f>
        <v>0</v>
      </c>
      <c r="L45" s="87">
        <f t="shared" si="18"/>
        <v>-2875910.8622222226</v>
      </c>
      <c r="M45" s="88"/>
      <c r="N45" s="87">
        <f>L45-K45</f>
        <v>-2875910.8622222226</v>
      </c>
      <c r="O45" s="87">
        <v>1006236</v>
      </c>
      <c r="P45" s="87">
        <f t="shared" si="10"/>
        <v>11438</v>
      </c>
      <c r="Q45" s="87">
        <f t="shared" si="1"/>
        <v>-1869674.8622222226</v>
      </c>
      <c r="R45" s="87">
        <f t="shared" si="7"/>
        <v>-1997096.6415879631</v>
      </c>
      <c r="S45" s="87">
        <f t="shared" si="17"/>
        <v>-3071995.6955555552</v>
      </c>
      <c r="T45" s="87">
        <f>(O33+O45+SUM(O34:O44)*2)/24</f>
        <v>1074899.0539675925</v>
      </c>
    </row>
    <row r="46" spans="1:20" ht="12.95" hidden="1" customHeight="1" outlineLevel="1">
      <c r="A46" s="85">
        <v>40755</v>
      </c>
      <c r="B46" s="32">
        <f t="shared" si="9"/>
        <v>-3529527</v>
      </c>
      <c r="C46" s="32">
        <f t="shared" si="8"/>
        <v>-3529527</v>
      </c>
      <c r="D46" s="31"/>
      <c r="E46" s="32">
        <v>0</v>
      </c>
      <c r="F46" s="87">
        <f t="shared" si="13"/>
        <v>-32680.805555555555</v>
      </c>
      <c r="G46" s="31"/>
      <c r="H46" s="32">
        <f t="shared" ref="H46:I49" si="19">H45-E46</f>
        <v>3529527</v>
      </c>
      <c r="I46" s="32">
        <f t="shared" si="19"/>
        <v>686296.94333333313</v>
      </c>
      <c r="J46" s="31"/>
      <c r="K46" s="32">
        <f t="shared" si="18"/>
        <v>0</v>
      </c>
      <c r="L46" s="87">
        <f t="shared" si="18"/>
        <v>-2843230.0566666666</v>
      </c>
      <c r="M46" s="88"/>
      <c r="N46" s="87">
        <f>L46-K46</f>
        <v>-2843230.0566666666</v>
      </c>
      <c r="O46" s="87">
        <v>994798</v>
      </c>
      <c r="P46" s="87">
        <f t="shared" si="10"/>
        <v>11438</v>
      </c>
      <c r="Q46" s="87">
        <f t="shared" si="1"/>
        <v>-1848432.0566666666</v>
      </c>
      <c r="R46" s="87">
        <f t="shared" si="7"/>
        <v>-1975831.0860324074</v>
      </c>
      <c r="S46" s="87">
        <f t="shared" si="17"/>
        <v>-3039314.89</v>
      </c>
      <c r="T46" s="87">
        <f>(O34+O46+SUM(O35:O45)*2)/24</f>
        <v>1063483.8039675925</v>
      </c>
    </row>
    <row r="47" spans="1:20" ht="12.95" hidden="1" customHeight="1" outlineLevel="1">
      <c r="A47" s="85">
        <v>40786</v>
      </c>
      <c r="B47" s="32">
        <f t="shared" si="9"/>
        <v>-3529527</v>
      </c>
      <c r="C47" s="32">
        <f t="shared" si="8"/>
        <v>-3529527</v>
      </c>
      <c r="D47" s="31"/>
      <c r="E47" s="32">
        <v>0</v>
      </c>
      <c r="F47" s="87">
        <f t="shared" si="13"/>
        <v>-32680.805555555555</v>
      </c>
      <c r="G47" s="31"/>
      <c r="H47" s="32">
        <f t="shared" si="19"/>
        <v>3529527</v>
      </c>
      <c r="I47" s="32">
        <f t="shared" si="19"/>
        <v>718977.74888888863</v>
      </c>
      <c r="J47" s="31"/>
      <c r="K47" s="32">
        <f t="shared" si="18"/>
        <v>0</v>
      </c>
      <c r="L47" s="87">
        <f t="shared" si="18"/>
        <v>-2810549.2511111116</v>
      </c>
      <c r="M47" s="88"/>
      <c r="N47" s="87">
        <f t="shared" si="5"/>
        <v>-2810549.2511111116</v>
      </c>
      <c r="O47" s="87">
        <v>983360</v>
      </c>
      <c r="P47" s="32">
        <f t="shared" si="10"/>
        <v>11438</v>
      </c>
      <c r="Q47" s="32">
        <f t="shared" si="1"/>
        <v>-1827189.2511111116</v>
      </c>
      <c r="R47" s="32">
        <f t="shared" si="7"/>
        <v>-1954602.0304768516</v>
      </c>
      <c r="S47" s="87">
        <f t="shared" si="17"/>
        <v>-3006634.0844444446</v>
      </c>
      <c r="T47" s="87">
        <f>(O35+O47+SUM(O36:O46)*2)/24</f>
        <v>1052032.0539675925</v>
      </c>
    </row>
    <row r="48" spans="1:20" ht="12.95" hidden="1" customHeight="1" outlineLevel="1">
      <c r="A48" s="85">
        <v>40816</v>
      </c>
      <c r="B48" s="32">
        <f t="shared" si="9"/>
        <v>-3529527</v>
      </c>
      <c r="C48" s="32">
        <f t="shared" si="8"/>
        <v>-3529527</v>
      </c>
      <c r="D48" s="31"/>
      <c r="E48" s="32">
        <v>0</v>
      </c>
      <c r="F48" s="87">
        <f t="shared" si="13"/>
        <v>-32680.805555555555</v>
      </c>
      <c r="G48" s="31"/>
      <c r="H48" s="32">
        <f t="shared" si="19"/>
        <v>3529527</v>
      </c>
      <c r="I48" s="32">
        <f t="shared" si="19"/>
        <v>751658.55444444413</v>
      </c>
      <c r="J48" s="31"/>
      <c r="K48" s="32">
        <f t="shared" si="18"/>
        <v>0</v>
      </c>
      <c r="L48" s="87">
        <f t="shared" si="18"/>
        <v>-2777868.4455555556</v>
      </c>
      <c r="M48" s="88"/>
      <c r="N48" s="87">
        <f t="shared" si="5"/>
        <v>-2777868.4455555556</v>
      </c>
      <c r="O48" s="87">
        <v>971922</v>
      </c>
      <c r="P48" s="87">
        <f t="shared" si="10"/>
        <v>11438</v>
      </c>
      <c r="Q48" s="87">
        <f t="shared" si="1"/>
        <v>-1805946.4455555556</v>
      </c>
      <c r="R48" s="87">
        <f t="shared" si="7"/>
        <v>-1933375.2665879626</v>
      </c>
      <c r="S48" s="87">
        <f t="shared" si="17"/>
        <v>-2973953.2788888887</v>
      </c>
      <c r="T48" s="87">
        <f>(O36+O48+SUM(O37:O47)*2)/24</f>
        <v>1040578.0123009259</v>
      </c>
    </row>
    <row r="49" spans="1:20" ht="12.95" hidden="1" customHeight="1" outlineLevel="1">
      <c r="A49" s="85">
        <v>40847</v>
      </c>
      <c r="B49" s="32">
        <f t="shared" si="9"/>
        <v>-3529527</v>
      </c>
      <c r="C49" s="32">
        <f t="shared" si="8"/>
        <v>-3529527</v>
      </c>
      <c r="D49" s="31"/>
      <c r="E49" s="32">
        <v>0</v>
      </c>
      <c r="F49" s="87">
        <f t="shared" si="13"/>
        <v>-32680.805555555555</v>
      </c>
      <c r="G49" s="31"/>
      <c r="H49" s="32">
        <f t="shared" si="19"/>
        <v>3529527</v>
      </c>
      <c r="I49" s="32">
        <f t="shared" si="19"/>
        <v>784339.35999999964</v>
      </c>
      <c r="J49" s="31"/>
      <c r="K49" s="32">
        <f t="shared" si="18"/>
        <v>0</v>
      </c>
      <c r="L49" s="87">
        <f t="shared" si="18"/>
        <v>-2745187.6400000006</v>
      </c>
      <c r="M49" s="88"/>
      <c r="N49" s="87">
        <f t="shared" si="5"/>
        <v>-2745187.6400000006</v>
      </c>
      <c r="O49" s="87">
        <v>960484</v>
      </c>
      <c r="P49" s="87">
        <f t="shared" si="10"/>
        <v>11438</v>
      </c>
      <c r="Q49" s="87">
        <f t="shared" si="1"/>
        <v>-1784703.6400000006</v>
      </c>
      <c r="R49" s="87">
        <f t="shared" si="7"/>
        <v>-1912132.5443657411</v>
      </c>
      <c r="S49" s="87">
        <f t="shared" si="17"/>
        <v>-2941272.4733333332</v>
      </c>
      <c r="T49" s="87">
        <f t="shared" ref="T49:T54" si="20">(O37+O49+SUM(O38:O48)*2)/24</f>
        <v>1029139.9289675927</v>
      </c>
    </row>
    <row r="50" spans="1:20" ht="12.95" hidden="1" customHeight="1" outlineLevel="1">
      <c r="A50" s="86">
        <v>40877</v>
      </c>
      <c r="B50" s="87">
        <f t="shared" si="9"/>
        <v>-3529527</v>
      </c>
      <c r="C50" s="87">
        <f>C49</f>
        <v>-3529527</v>
      </c>
      <c r="D50" s="88"/>
      <c r="E50" s="87">
        <v>0</v>
      </c>
      <c r="F50" s="87">
        <f t="shared" si="13"/>
        <v>-32680.805555555555</v>
      </c>
      <c r="G50" s="88"/>
      <c r="H50" s="87">
        <f>H49-E50</f>
        <v>3529527</v>
      </c>
      <c r="I50" s="87">
        <f>I49-F50</f>
        <v>817020.16555555514</v>
      </c>
      <c r="J50" s="88"/>
      <c r="K50" s="87">
        <f t="shared" si="18"/>
        <v>0</v>
      </c>
      <c r="L50" s="87">
        <f>C50+I50</f>
        <v>-2712506.8344444446</v>
      </c>
      <c r="M50" s="88"/>
      <c r="N50" s="87">
        <f>L50-K50</f>
        <v>-2712506.8344444446</v>
      </c>
      <c r="O50" s="87">
        <v>949046</v>
      </c>
      <c r="P50" s="87">
        <f>-O50+O49</f>
        <v>11438</v>
      </c>
      <c r="Q50" s="87">
        <f>L50+O50</f>
        <v>-1763460.8344444446</v>
      </c>
      <c r="R50" s="87">
        <f t="shared" si="7"/>
        <v>-1890889.8221435186</v>
      </c>
      <c r="S50" s="87">
        <f t="shared" ref="S50:S59" si="21">(N38+N50+SUM(N39:N49)*2)/24</f>
        <v>-2908591.6677777781</v>
      </c>
      <c r="T50" s="87">
        <f t="shared" si="20"/>
        <v>1017701.8456342593</v>
      </c>
    </row>
    <row r="51" spans="1:20" ht="12.95" hidden="1" customHeight="1" outlineLevel="1">
      <c r="A51" s="86">
        <v>40908</v>
      </c>
      <c r="B51" s="87">
        <f t="shared" si="9"/>
        <v>-3529527</v>
      </c>
      <c r="C51" s="87">
        <f t="shared" si="8"/>
        <v>-3529527</v>
      </c>
      <c r="D51" s="88"/>
      <c r="E51" s="87">
        <v>0</v>
      </c>
      <c r="F51" s="87">
        <f t="shared" si="13"/>
        <v>-32680.805555555555</v>
      </c>
      <c r="G51" s="88"/>
      <c r="H51" s="87">
        <f t="shared" ref="H51:I63" si="22">H50-E51</f>
        <v>3529527</v>
      </c>
      <c r="I51" s="87">
        <f t="shared" si="22"/>
        <v>849700.97111111064</v>
      </c>
      <c r="J51" s="88"/>
      <c r="K51" s="87">
        <f t="shared" si="18"/>
        <v>0</v>
      </c>
      <c r="L51" s="87">
        <f t="shared" si="18"/>
        <v>-2679826.0288888896</v>
      </c>
      <c r="M51" s="88"/>
      <c r="N51" s="87">
        <f t="shared" ref="N51:N63" si="23">L51-K51</f>
        <v>-2679826.0288888896</v>
      </c>
      <c r="O51" s="87">
        <f t="shared" ref="O51:O63" si="24">-N51*$O$9</f>
        <v>937939.11011111131</v>
      </c>
      <c r="P51" s="87">
        <f t="shared" ref="P51:P62" si="25">-O51+O50</f>
        <v>11106.889888888691</v>
      </c>
      <c r="Q51" s="87">
        <f t="shared" ref="Q51:Q63" si="26">L51+O51</f>
        <v>-1741886.9187777783</v>
      </c>
      <c r="R51" s="87">
        <f t="shared" si="7"/>
        <v>-1869633.2620000001</v>
      </c>
      <c r="S51" s="87">
        <f t="shared" si="21"/>
        <v>-2875910.8622222226</v>
      </c>
      <c r="T51" s="87">
        <f t="shared" si="20"/>
        <v>1006277.6002222222</v>
      </c>
    </row>
    <row r="52" spans="1:20" ht="12.95" hidden="1" customHeight="1" outlineLevel="1">
      <c r="A52" s="86">
        <v>40939</v>
      </c>
      <c r="B52" s="87">
        <f t="shared" si="9"/>
        <v>-3529527</v>
      </c>
      <c r="C52" s="87">
        <f t="shared" si="8"/>
        <v>-3529527</v>
      </c>
      <c r="D52" s="128"/>
      <c r="E52" s="87">
        <v>0</v>
      </c>
      <c r="F52" s="87">
        <f t="shared" si="13"/>
        <v>-32680.805555555555</v>
      </c>
      <c r="G52" s="128"/>
      <c r="H52" s="87">
        <f t="shared" si="22"/>
        <v>3529527</v>
      </c>
      <c r="I52" s="87">
        <f t="shared" si="22"/>
        <v>882381.77666666615</v>
      </c>
      <c r="J52" s="128"/>
      <c r="K52" s="87">
        <f t="shared" si="18"/>
        <v>0</v>
      </c>
      <c r="L52" s="87">
        <f t="shared" si="18"/>
        <v>-2647145.2233333336</v>
      </c>
      <c r="M52" s="128"/>
      <c r="N52" s="87">
        <f t="shared" si="23"/>
        <v>-2647145.2233333336</v>
      </c>
      <c r="O52" s="87">
        <f t="shared" si="24"/>
        <v>926500.82816666667</v>
      </c>
      <c r="P52" s="87">
        <f t="shared" si="25"/>
        <v>11438.281944444636</v>
      </c>
      <c r="Q52" s="87">
        <f t="shared" si="26"/>
        <v>-1720644.3951666669</v>
      </c>
      <c r="R52" s="87">
        <f t="shared" si="7"/>
        <v>-1848362.8756828706</v>
      </c>
      <c r="S52" s="87">
        <f t="shared" si="21"/>
        <v>-2843230.0566666666</v>
      </c>
      <c r="T52" s="87">
        <f t="shared" si="20"/>
        <v>994867.18098379637</v>
      </c>
    </row>
    <row r="53" spans="1:20" ht="12.95" hidden="1" customHeight="1" outlineLevel="1">
      <c r="A53" s="86">
        <v>40967</v>
      </c>
      <c r="B53" s="87">
        <f t="shared" si="9"/>
        <v>-3529527</v>
      </c>
      <c r="C53" s="87">
        <f t="shared" si="8"/>
        <v>-3529527</v>
      </c>
      <c r="D53" s="128"/>
      <c r="E53" s="87">
        <v>0</v>
      </c>
      <c r="F53" s="87">
        <f t="shared" si="13"/>
        <v>-32680.805555555555</v>
      </c>
      <c r="G53" s="128"/>
      <c r="H53" s="87">
        <f t="shared" si="22"/>
        <v>3529527</v>
      </c>
      <c r="I53" s="87">
        <f t="shared" si="22"/>
        <v>915062.58222222165</v>
      </c>
      <c r="J53" s="128"/>
      <c r="K53" s="87">
        <f t="shared" si="18"/>
        <v>0</v>
      </c>
      <c r="L53" s="87">
        <f t="shared" si="18"/>
        <v>-2614464.4177777786</v>
      </c>
      <c r="M53" s="128"/>
      <c r="N53" s="87">
        <f t="shared" si="23"/>
        <v>-2614464.4177777786</v>
      </c>
      <c r="O53" s="87">
        <f t="shared" si="24"/>
        <v>915062.5462222225</v>
      </c>
      <c r="P53" s="87">
        <f t="shared" si="25"/>
        <v>11438.28194444417</v>
      </c>
      <c r="Q53" s="87">
        <f t="shared" si="26"/>
        <v>-1699401.8715555561</v>
      </c>
      <c r="R53" s="87">
        <f t="shared" si="7"/>
        <v>-1827092.5128611112</v>
      </c>
      <c r="S53" s="87">
        <f t="shared" si="21"/>
        <v>-2810549.2511111111</v>
      </c>
      <c r="T53" s="87">
        <f t="shared" si="20"/>
        <v>983456.73825000005</v>
      </c>
    </row>
    <row r="54" spans="1:20" ht="12.95" hidden="1" customHeight="1" outlineLevel="1">
      <c r="A54" s="85">
        <v>40999</v>
      </c>
      <c r="B54" s="32">
        <f t="shared" si="9"/>
        <v>-3529527</v>
      </c>
      <c r="C54" s="32">
        <f t="shared" si="8"/>
        <v>-3529527</v>
      </c>
      <c r="D54" s="89"/>
      <c r="E54" s="32">
        <v>0</v>
      </c>
      <c r="F54" s="87">
        <f t="shared" si="13"/>
        <v>-32680.805555555555</v>
      </c>
      <c r="G54" s="89"/>
      <c r="H54" s="32">
        <f t="shared" si="22"/>
        <v>3529527</v>
      </c>
      <c r="I54" s="32">
        <f t="shared" si="22"/>
        <v>947743.38777777716</v>
      </c>
      <c r="J54" s="89"/>
      <c r="K54" s="32">
        <f t="shared" si="18"/>
        <v>0</v>
      </c>
      <c r="L54" s="32">
        <f t="shared" si="18"/>
        <v>-2581783.6122222226</v>
      </c>
      <c r="M54" s="89"/>
      <c r="N54" s="32">
        <f t="shared" si="23"/>
        <v>-2581783.6122222226</v>
      </c>
      <c r="O54" s="32">
        <f t="shared" si="24"/>
        <v>903624.26427777787</v>
      </c>
      <c r="P54" s="32">
        <f t="shared" si="25"/>
        <v>11438.281944444636</v>
      </c>
      <c r="Q54" s="32">
        <f t="shared" si="26"/>
        <v>-1678159.3479444447</v>
      </c>
      <c r="R54" s="32">
        <f t="shared" si="7"/>
        <v>-1805836.0755185187</v>
      </c>
      <c r="S54" s="87">
        <f t="shared" si="21"/>
        <v>-2777868.4455555556</v>
      </c>
      <c r="T54" s="87">
        <f t="shared" si="20"/>
        <v>972032.3700370373</v>
      </c>
    </row>
    <row r="55" spans="1:20" ht="12.95" hidden="1" customHeight="1" outlineLevel="1">
      <c r="A55" s="86">
        <v>41029</v>
      </c>
      <c r="B55" s="87">
        <f t="shared" si="9"/>
        <v>-3529527</v>
      </c>
      <c r="C55" s="87">
        <f t="shared" si="8"/>
        <v>-3529527</v>
      </c>
      <c r="D55" s="128"/>
      <c r="E55" s="87">
        <v>0</v>
      </c>
      <c r="F55" s="87">
        <f t="shared" si="13"/>
        <v>-32680.805555555555</v>
      </c>
      <c r="G55" s="128"/>
      <c r="H55" s="87">
        <f t="shared" si="22"/>
        <v>3529527</v>
      </c>
      <c r="I55" s="87">
        <f t="shared" si="22"/>
        <v>980424.19333333266</v>
      </c>
      <c r="J55" s="128"/>
      <c r="K55" s="87">
        <f t="shared" si="18"/>
        <v>0</v>
      </c>
      <c r="L55" s="87">
        <f t="shared" si="18"/>
        <v>-2549102.8066666676</v>
      </c>
      <c r="M55" s="128"/>
      <c r="N55" s="87">
        <f t="shared" si="23"/>
        <v>-2549102.8066666676</v>
      </c>
      <c r="O55" s="87">
        <f t="shared" si="24"/>
        <v>892185.98233333358</v>
      </c>
      <c r="P55" s="87">
        <f>-O55+O54</f>
        <v>11438.281944444287</v>
      </c>
      <c r="Q55" s="87">
        <f t="shared" si="26"/>
        <v>-1656916.8243333339</v>
      </c>
      <c r="R55" s="87">
        <f t="shared" si="7"/>
        <v>-1784579.6616712969</v>
      </c>
      <c r="S55" s="87">
        <f t="shared" si="21"/>
        <v>-2745187.6400000006</v>
      </c>
      <c r="T55" s="87">
        <f t="shared" ref="T55:T60" si="27">(O43+O55+SUM(O44:O54)*2)/24</f>
        <v>960607.9783287039</v>
      </c>
    </row>
    <row r="56" spans="1:20" ht="12.95" hidden="1" customHeight="1" outlineLevel="1">
      <c r="A56" s="86">
        <v>41060</v>
      </c>
      <c r="B56" s="87">
        <f t="shared" si="9"/>
        <v>-3529527</v>
      </c>
      <c r="C56" s="87">
        <f t="shared" si="8"/>
        <v>-3529527</v>
      </c>
      <c r="D56" s="128"/>
      <c r="E56" s="87">
        <v>0</v>
      </c>
      <c r="F56" s="87">
        <f t="shared" si="13"/>
        <v>-32680.805555555555</v>
      </c>
      <c r="G56" s="128"/>
      <c r="H56" s="87">
        <f t="shared" si="22"/>
        <v>3529527</v>
      </c>
      <c r="I56" s="87">
        <f t="shared" si="22"/>
        <v>1013104.9988888882</v>
      </c>
      <c r="J56" s="128"/>
      <c r="K56" s="87">
        <f t="shared" si="18"/>
        <v>0</v>
      </c>
      <c r="L56" s="87">
        <f t="shared" si="18"/>
        <v>-2516422.0011111116</v>
      </c>
      <c r="M56" s="128"/>
      <c r="N56" s="87">
        <f t="shared" si="23"/>
        <v>-2516422.0011111116</v>
      </c>
      <c r="O56" s="87">
        <f t="shared" si="24"/>
        <v>880747.70038888906</v>
      </c>
      <c r="P56" s="87">
        <f t="shared" si="25"/>
        <v>11438.281944444519</v>
      </c>
      <c r="Q56" s="87">
        <f t="shared" si="26"/>
        <v>-1635674.3007222225</v>
      </c>
      <c r="R56" s="87">
        <f t="shared" si="7"/>
        <v>-1763309.3693356486</v>
      </c>
      <c r="S56" s="87">
        <f t="shared" si="21"/>
        <v>-2712506.8344444451</v>
      </c>
      <c r="T56" s="87">
        <f t="shared" si="27"/>
        <v>949197.46510879649</v>
      </c>
    </row>
    <row r="57" spans="1:20" ht="12.95" hidden="1" customHeight="1" outlineLevel="1">
      <c r="A57" s="85">
        <v>41090</v>
      </c>
      <c r="B57" s="32">
        <f t="shared" si="9"/>
        <v>-3529527</v>
      </c>
      <c r="C57" s="32">
        <f t="shared" si="8"/>
        <v>-3529527</v>
      </c>
      <c r="D57" s="89"/>
      <c r="E57" s="32">
        <v>0</v>
      </c>
      <c r="F57" s="87">
        <f t="shared" si="13"/>
        <v>-32680.805555555555</v>
      </c>
      <c r="G57" s="89"/>
      <c r="H57" s="32">
        <f t="shared" si="22"/>
        <v>3529527</v>
      </c>
      <c r="I57" s="32">
        <f t="shared" si="22"/>
        <v>1045785.8044444437</v>
      </c>
      <c r="J57" s="89"/>
      <c r="K57" s="32">
        <f t="shared" si="18"/>
        <v>0</v>
      </c>
      <c r="L57" s="32">
        <f t="shared" si="18"/>
        <v>-2483741.1955555566</v>
      </c>
      <c r="M57" s="89"/>
      <c r="N57" s="32">
        <f t="shared" si="23"/>
        <v>-2483741.1955555566</v>
      </c>
      <c r="O57" s="32">
        <f t="shared" si="24"/>
        <v>869309.41844444477</v>
      </c>
      <c r="P57" s="32">
        <f t="shared" si="25"/>
        <v>11438.281944444287</v>
      </c>
      <c r="Q57" s="32">
        <f t="shared" si="26"/>
        <v>-1614431.7771111117</v>
      </c>
      <c r="R57" s="32">
        <f t="shared" si="7"/>
        <v>-1742039.1004953708</v>
      </c>
      <c r="S57" s="87">
        <f t="shared" si="21"/>
        <v>-2679826.0288888896</v>
      </c>
      <c r="T57" s="87">
        <f t="shared" si="27"/>
        <v>937786.92839351867</v>
      </c>
    </row>
    <row r="58" spans="1:20" ht="12.95" hidden="1" customHeight="1" outlineLevel="1">
      <c r="A58" s="86">
        <v>41121</v>
      </c>
      <c r="B58" s="87">
        <f t="shared" si="9"/>
        <v>-3529527</v>
      </c>
      <c r="C58" s="87">
        <f t="shared" si="8"/>
        <v>-3529527</v>
      </c>
      <c r="D58" s="128"/>
      <c r="E58" s="87">
        <v>0</v>
      </c>
      <c r="F58" s="87">
        <f t="shared" si="13"/>
        <v>-32680.805555555555</v>
      </c>
      <c r="G58" s="128"/>
      <c r="H58" s="87">
        <f t="shared" si="22"/>
        <v>3529527</v>
      </c>
      <c r="I58" s="87">
        <f t="shared" si="22"/>
        <v>1078466.6099999992</v>
      </c>
      <c r="J58" s="128"/>
      <c r="K58" s="87">
        <f t="shared" si="18"/>
        <v>0</v>
      </c>
      <c r="L58" s="87">
        <f t="shared" si="18"/>
        <v>-2451060.3900000006</v>
      </c>
      <c r="M58" s="128"/>
      <c r="N58" s="87">
        <f t="shared" si="23"/>
        <v>-2451060.3900000006</v>
      </c>
      <c r="O58" s="87">
        <f t="shared" si="24"/>
        <v>857871.13650000014</v>
      </c>
      <c r="P58" s="87">
        <f t="shared" si="25"/>
        <v>11438.281944444636</v>
      </c>
      <c r="Q58" s="87">
        <f t="shared" si="26"/>
        <v>-1593189.2535000006</v>
      </c>
      <c r="R58" s="87">
        <f t="shared" si="7"/>
        <v>-1720768.8551504633</v>
      </c>
      <c r="S58" s="87">
        <f t="shared" si="21"/>
        <v>-2647145.2233333341</v>
      </c>
      <c r="T58" s="87">
        <f t="shared" si="27"/>
        <v>926376.36818287056</v>
      </c>
    </row>
    <row r="59" spans="1:20" ht="12.95" hidden="1" customHeight="1" outlineLevel="1">
      <c r="A59" s="86">
        <v>41152</v>
      </c>
      <c r="B59" s="87">
        <f t="shared" si="9"/>
        <v>-3529527</v>
      </c>
      <c r="C59" s="87">
        <f t="shared" si="8"/>
        <v>-3529527</v>
      </c>
      <c r="D59" s="128"/>
      <c r="E59" s="87">
        <v>0</v>
      </c>
      <c r="F59" s="87">
        <f t="shared" si="13"/>
        <v>-32680.805555555555</v>
      </c>
      <c r="G59" s="128"/>
      <c r="H59" s="87">
        <f t="shared" si="22"/>
        <v>3529527</v>
      </c>
      <c r="I59" s="87">
        <f t="shared" si="22"/>
        <v>1111147.4155555547</v>
      </c>
      <c r="J59" s="128"/>
      <c r="K59" s="87">
        <f t="shared" si="18"/>
        <v>0</v>
      </c>
      <c r="L59" s="87">
        <f t="shared" si="18"/>
        <v>-2418379.5844444456</v>
      </c>
      <c r="M59" s="128"/>
      <c r="N59" s="87">
        <f t="shared" si="23"/>
        <v>-2418379.5844444456</v>
      </c>
      <c r="O59" s="87">
        <f t="shared" si="24"/>
        <v>846432.85455555585</v>
      </c>
      <c r="P59" s="87">
        <f t="shared" si="25"/>
        <v>11438.281944444287</v>
      </c>
      <c r="Q59" s="87">
        <f t="shared" si="26"/>
        <v>-1571946.7298888897</v>
      </c>
      <c r="R59" s="87">
        <f t="shared" si="7"/>
        <v>-1699498.6333009263</v>
      </c>
      <c r="S59" s="87">
        <f t="shared" si="21"/>
        <v>-2614464.4177777786</v>
      </c>
      <c r="T59" s="87">
        <f t="shared" si="27"/>
        <v>914965.78447685193</v>
      </c>
    </row>
    <row r="60" spans="1:20" ht="12.95" hidden="1" customHeight="1" outlineLevel="1">
      <c r="A60" s="86">
        <v>41182</v>
      </c>
      <c r="B60" s="87">
        <f t="shared" si="9"/>
        <v>-3529527</v>
      </c>
      <c r="C60" s="87">
        <f t="shared" si="8"/>
        <v>-3529527</v>
      </c>
      <c r="D60" s="128"/>
      <c r="E60" s="87">
        <v>0</v>
      </c>
      <c r="F60" s="87">
        <f t="shared" si="13"/>
        <v>-32680.805555555555</v>
      </c>
      <c r="G60" s="128"/>
      <c r="H60" s="87">
        <f t="shared" si="22"/>
        <v>3529527</v>
      </c>
      <c r="I60" s="87">
        <f t="shared" si="22"/>
        <v>1143828.2211111102</v>
      </c>
      <c r="J60" s="128"/>
      <c r="K60" s="87">
        <f t="shared" si="18"/>
        <v>0</v>
      </c>
      <c r="L60" s="87">
        <f t="shared" si="18"/>
        <v>-2385698.7788888896</v>
      </c>
      <c r="M60" s="128"/>
      <c r="N60" s="87">
        <f t="shared" si="23"/>
        <v>-2385698.7788888896</v>
      </c>
      <c r="O60" s="87">
        <f t="shared" si="24"/>
        <v>834994.57261111133</v>
      </c>
      <c r="P60" s="87">
        <f t="shared" si="25"/>
        <v>11438.281944444519</v>
      </c>
      <c r="Q60" s="87">
        <f t="shared" si="26"/>
        <v>-1550704.2062777784</v>
      </c>
      <c r="R60" s="87">
        <f t="shared" si="7"/>
        <v>-1678228.4349467596</v>
      </c>
      <c r="S60" s="87">
        <f>(N48+N60+SUM(N49:N59)*2)/24</f>
        <v>-2581783.6122222226</v>
      </c>
      <c r="T60" s="87">
        <f t="shared" si="27"/>
        <v>903555.17727546312</v>
      </c>
    </row>
    <row r="61" spans="1:20" ht="12.95" hidden="1" customHeight="1" outlineLevel="1">
      <c r="A61" s="86">
        <v>41213</v>
      </c>
      <c r="B61" s="87">
        <f t="shared" si="9"/>
        <v>-3529527</v>
      </c>
      <c r="C61" s="87">
        <f t="shared" si="8"/>
        <v>-3529527</v>
      </c>
      <c r="D61" s="128"/>
      <c r="E61" s="87">
        <v>0</v>
      </c>
      <c r="F61" s="87">
        <f t="shared" si="13"/>
        <v>-32680.805555555555</v>
      </c>
      <c r="G61" s="128"/>
      <c r="H61" s="87">
        <f t="shared" si="22"/>
        <v>3529527</v>
      </c>
      <c r="I61" s="87">
        <f t="shared" si="22"/>
        <v>1176509.0266666657</v>
      </c>
      <c r="J61" s="128"/>
      <c r="K61" s="87">
        <f t="shared" si="18"/>
        <v>0</v>
      </c>
      <c r="L61" s="87">
        <f t="shared" si="18"/>
        <v>-2353017.9733333346</v>
      </c>
      <c r="M61" s="128"/>
      <c r="N61" s="87">
        <f t="shared" si="23"/>
        <v>-2353017.9733333346</v>
      </c>
      <c r="O61" s="87">
        <f t="shared" si="24"/>
        <v>823556.29066666705</v>
      </c>
      <c r="P61" s="87">
        <f t="shared" si="25"/>
        <v>11438.281944444287</v>
      </c>
      <c r="Q61" s="87">
        <f t="shared" si="26"/>
        <v>-1529461.6826666675</v>
      </c>
      <c r="R61" s="87">
        <f t="shared" si="7"/>
        <v>-1656958.2600879634</v>
      </c>
      <c r="S61" s="87">
        <f t="shared" ref="S61:S70" si="28">(N49+N61+SUM(N50:N60)*2)/24</f>
        <v>-2549102.8066666671</v>
      </c>
      <c r="T61" s="87">
        <f t="shared" ref="T61:T70" si="29">(O49+O61+SUM(O50:O60)*2)/24</f>
        <v>892144.54657870391</v>
      </c>
    </row>
    <row r="62" spans="1:20" ht="12.95" hidden="1" customHeight="1" outlineLevel="1">
      <c r="A62" s="86">
        <v>41243</v>
      </c>
      <c r="B62" s="87">
        <f t="shared" si="9"/>
        <v>-3529527</v>
      </c>
      <c r="C62" s="87">
        <f t="shared" si="8"/>
        <v>-3529527</v>
      </c>
      <c r="D62" s="128"/>
      <c r="E62" s="87">
        <v>0</v>
      </c>
      <c r="F62" s="87">
        <f t="shared" si="13"/>
        <v>-32680.805555555555</v>
      </c>
      <c r="G62" s="128"/>
      <c r="H62" s="87">
        <f t="shared" si="22"/>
        <v>3529527</v>
      </c>
      <c r="I62" s="87">
        <f t="shared" si="22"/>
        <v>1209189.8322222212</v>
      </c>
      <c r="J62" s="128"/>
      <c r="K62" s="87">
        <f t="shared" si="18"/>
        <v>0</v>
      </c>
      <c r="L62" s="87">
        <f t="shared" si="18"/>
        <v>-2320337.1677777786</v>
      </c>
      <c r="M62" s="128"/>
      <c r="N62" s="87">
        <f t="shared" si="23"/>
        <v>-2320337.1677777786</v>
      </c>
      <c r="O62" s="87">
        <f t="shared" si="24"/>
        <v>812118.00872222241</v>
      </c>
      <c r="P62" s="87">
        <f t="shared" si="25"/>
        <v>11438.281944444636</v>
      </c>
      <c r="Q62" s="87">
        <f t="shared" si="26"/>
        <v>-1508219.1590555562</v>
      </c>
      <c r="R62" s="87">
        <f t="shared" si="7"/>
        <v>-1635688.1087245375</v>
      </c>
      <c r="S62" s="87">
        <f t="shared" si="28"/>
        <v>-2516422.0011111121</v>
      </c>
      <c r="T62" s="87">
        <f t="shared" si="29"/>
        <v>880733.8923865743</v>
      </c>
    </row>
    <row r="63" spans="1:20" ht="12.95" hidden="1" customHeight="1" outlineLevel="1">
      <c r="A63" s="86">
        <v>41274</v>
      </c>
      <c r="B63" s="87">
        <f t="shared" si="9"/>
        <v>-3529527</v>
      </c>
      <c r="C63" s="87">
        <f t="shared" si="8"/>
        <v>-3529527</v>
      </c>
      <c r="D63" s="128"/>
      <c r="E63" s="87">
        <v>0</v>
      </c>
      <c r="F63" s="87">
        <f t="shared" si="13"/>
        <v>-32680.805555555555</v>
      </c>
      <c r="G63" s="128"/>
      <c r="H63" s="87">
        <f t="shared" si="22"/>
        <v>3529527</v>
      </c>
      <c r="I63" s="87">
        <f t="shared" si="22"/>
        <v>1241870.6377777767</v>
      </c>
      <c r="J63" s="128"/>
      <c r="K63" s="87">
        <f t="shared" si="18"/>
        <v>0</v>
      </c>
      <c r="L63" s="87">
        <f t="shared" si="18"/>
        <v>-2287656.3622222235</v>
      </c>
      <c r="M63" s="128"/>
      <c r="N63" s="87">
        <f t="shared" si="23"/>
        <v>-2287656.3622222235</v>
      </c>
      <c r="O63" s="87">
        <f t="shared" si="24"/>
        <v>800679.72677777824</v>
      </c>
      <c r="P63" s="87">
        <f t="shared" ref="P63:P70" si="30">-O63+O62</f>
        <v>11438.28194444417</v>
      </c>
      <c r="Q63" s="87">
        <f t="shared" si="26"/>
        <v>-1486976.6354444453</v>
      </c>
      <c r="R63" s="87">
        <f>(Q51+Q63+SUM(Q52:Q62)*2)/24</f>
        <v>-1614431.7771111114</v>
      </c>
      <c r="S63" s="87">
        <f t="shared" si="28"/>
        <v>-2483741.1955555561</v>
      </c>
      <c r="T63" s="87">
        <f t="shared" si="29"/>
        <v>869309.41844444454</v>
      </c>
    </row>
    <row r="64" spans="1:20" ht="12.95" hidden="1" customHeight="1" outlineLevel="1">
      <c r="A64" s="86">
        <v>41305</v>
      </c>
      <c r="B64" s="87">
        <f t="shared" si="9"/>
        <v>-3529527</v>
      </c>
      <c r="C64" s="87">
        <f t="shared" si="8"/>
        <v>-3529527</v>
      </c>
      <c r="D64" s="128"/>
      <c r="E64" s="87">
        <v>0</v>
      </c>
      <c r="F64" s="87">
        <f t="shared" si="13"/>
        <v>-32680.805555555555</v>
      </c>
      <c r="G64" s="128"/>
      <c r="H64" s="87">
        <f t="shared" ref="H64:I67" si="31">H63-E64</f>
        <v>3529527</v>
      </c>
      <c r="I64" s="87">
        <f t="shared" si="31"/>
        <v>1274551.4433333322</v>
      </c>
      <c r="J64" s="128"/>
      <c r="K64" s="87">
        <f t="shared" ref="K64:L67" si="32">B64+H64</f>
        <v>0</v>
      </c>
      <c r="L64" s="87">
        <f t="shared" si="32"/>
        <v>-2254975.5566666676</v>
      </c>
      <c r="M64" s="128"/>
      <c r="N64" s="87">
        <f>L64-K64</f>
        <v>-2254975.5566666676</v>
      </c>
      <c r="O64" s="87">
        <f>-N64*$O$9</f>
        <v>789241.4448333336</v>
      </c>
      <c r="P64" s="87">
        <f t="shared" si="30"/>
        <v>11438.281944444636</v>
      </c>
      <c r="Q64" s="87">
        <f>L64+O64</f>
        <v>-1465734.111833334</v>
      </c>
      <c r="R64" s="87">
        <f>(Q52+Q64+SUM(Q53:Q63)*2)/24</f>
        <v>-1593189.2535000003</v>
      </c>
      <c r="S64" s="87">
        <f t="shared" si="28"/>
        <v>-2451060.3900000006</v>
      </c>
      <c r="T64" s="87">
        <f t="shared" si="29"/>
        <v>857871.13650000014</v>
      </c>
    </row>
    <row r="65" spans="1:20" ht="12.95" hidden="1" customHeight="1" outlineLevel="1">
      <c r="A65" s="86">
        <v>41333</v>
      </c>
      <c r="B65" s="87">
        <f t="shared" si="9"/>
        <v>-3529527</v>
      </c>
      <c r="C65" s="87">
        <f t="shared" si="8"/>
        <v>-3529527</v>
      </c>
      <c r="D65" s="128"/>
      <c r="E65" s="87">
        <v>0</v>
      </c>
      <c r="F65" s="87">
        <f t="shared" si="13"/>
        <v>-32680.805555555555</v>
      </c>
      <c r="G65" s="128"/>
      <c r="H65" s="87">
        <f t="shared" si="31"/>
        <v>3529527</v>
      </c>
      <c r="I65" s="87">
        <f t="shared" si="31"/>
        <v>1307232.2488888877</v>
      </c>
      <c r="J65" s="128"/>
      <c r="K65" s="87">
        <f t="shared" si="32"/>
        <v>0</v>
      </c>
      <c r="L65" s="87">
        <f t="shared" si="32"/>
        <v>-2222294.7511111125</v>
      </c>
      <c r="M65" s="128"/>
      <c r="N65" s="87">
        <f>L65-K65</f>
        <v>-2222294.7511111125</v>
      </c>
      <c r="O65" s="87">
        <f>-N65*$O$9</f>
        <v>777803.16288888932</v>
      </c>
      <c r="P65" s="87">
        <f t="shared" si="30"/>
        <v>11438.281944444287</v>
      </c>
      <c r="Q65" s="87">
        <f>L65+O65</f>
        <v>-1444491.5882222233</v>
      </c>
      <c r="R65" s="87">
        <f>(Q53+Q65+SUM(Q54:Q64)*2)/24</f>
        <v>-1571946.7298888897</v>
      </c>
      <c r="S65" s="87">
        <f t="shared" si="28"/>
        <v>-2418379.5844444451</v>
      </c>
      <c r="T65" s="87">
        <f t="shared" si="29"/>
        <v>846432.85455555574</v>
      </c>
    </row>
    <row r="66" spans="1:20" ht="12.95" hidden="1" customHeight="1" outlineLevel="1">
      <c r="A66" s="86">
        <v>41364</v>
      </c>
      <c r="B66" s="87">
        <f t="shared" si="9"/>
        <v>-3529527</v>
      </c>
      <c r="C66" s="87">
        <f t="shared" si="8"/>
        <v>-3529527</v>
      </c>
      <c r="D66" s="128"/>
      <c r="E66" s="87">
        <v>0</v>
      </c>
      <c r="F66" s="87">
        <f t="shared" si="13"/>
        <v>-32680.805555555555</v>
      </c>
      <c r="G66" s="128"/>
      <c r="H66" s="87">
        <f t="shared" si="31"/>
        <v>3529527</v>
      </c>
      <c r="I66" s="87">
        <f t="shared" si="31"/>
        <v>1339913.0544444432</v>
      </c>
      <c r="J66" s="128"/>
      <c r="K66" s="87">
        <f t="shared" si="32"/>
        <v>0</v>
      </c>
      <c r="L66" s="87">
        <f t="shared" si="32"/>
        <v>-2189613.9455555566</v>
      </c>
      <c r="M66" s="128"/>
      <c r="N66" s="87">
        <f>L66-K66</f>
        <v>-2189613.9455555566</v>
      </c>
      <c r="O66" s="87">
        <f>-N66*$O$9</f>
        <v>766364.8809444448</v>
      </c>
      <c r="P66" s="87">
        <f t="shared" si="30"/>
        <v>11438.281944444519</v>
      </c>
      <c r="Q66" s="87">
        <f>L66+O66</f>
        <v>-1423249.0646111118</v>
      </c>
      <c r="R66" s="87">
        <f>(Q54+Q66+SUM(Q55:Q65)*2)/24</f>
        <v>-1550704.2062777784</v>
      </c>
      <c r="S66" s="87">
        <f t="shared" si="28"/>
        <v>-2385698.7788888896</v>
      </c>
      <c r="T66" s="87">
        <f t="shared" si="29"/>
        <v>834994.57261111133</v>
      </c>
    </row>
    <row r="67" spans="1:20" ht="12.95" hidden="1" customHeight="1" outlineLevel="1">
      <c r="A67" s="86">
        <v>41394</v>
      </c>
      <c r="B67" s="87">
        <f t="shared" si="9"/>
        <v>-3529527</v>
      </c>
      <c r="C67" s="87">
        <f t="shared" si="8"/>
        <v>-3529527</v>
      </c>
      <c r="D67" s="128"/>
      <c r="E67" s="87">
        <v>0</v>
      </c>
      <c r="F67" s="87">
        <f t="shared" si="13"/>
        <v>-32680.805555555555</v>
      </c>
      <c r="G67" s="128"/>
      <c r="H67" s="87">
        <f t="shared" si="31"/>
        <v>3529527</v>
      </c>
      <c r="I67" s="87">
        <f t="shared" si="31"/>
        <v>1372593.8599999987</v>
      </c>
      <c r="J67" s="128"/>
      <c r="K67" s="87">
        <f t="shared" si="32"/>
        <v>0</v>
      </c>
      <c r="L67" s="87">
        <f t="shared" si="32"/>
        <v>-2156933.1400000015</v>
      </c>
      <c r="M67" s="128"/>
      <c r="N67" s="87">
        <f>L67-K67</f>
        <v>-2156933.1400000015</v>
      </c>
      <c r="O67" s="87">
        <f>-N67*$O$9</f>
        <v>754926.59900000051</v>
      </c>
      <c r="P67" s="87">
        <f t="shared" si="30"/>
        <v>11438.281944444287</v>
      </c>
      <c r="Q67" s="87">
        <f>L67+O67</f>
        <v>-1402006.5410000011</v>
      </c>
      <c r="R67" s="87">
        <f>(Q55+Q67+SUM(Q56:Q66)*2)/24</f>
        <v>-1529461.682666667</v>
      </c>
      <c r="S67" s="87">
        <f t="shared" si="28"/>
        <v>-2353017.9733333346</v>
      </c>
      <c r="T67" s="87">
        <f t="shared" si="29"/>
        <v>823556.29066666693</v>
      </c>
    </row>
    <row r="68" spans="1:20" ht="12.95" hidden="1" customHeight="1" outlineLevel="1">
      <c r="A68" s="86">
        <v>41425</v>
      </c>
      <c r="B68" s="87">
        <f>B67</f>
        <v>-3529527</v>
      </c>
      <c r="C68" s="87">
        <f>C67</f>
        <v>-3529527</v>
      </c>
      <c r="D68" s="128"/>
      <c r="E68" s="87">
        <v>0</v>
      </c>
      <c r="F68" s="87">
        <f>$C$27/$E$5</f>
        <v>-32680.805555555555</v>
      </c>
      <c r="G68" s="128"/>
      <c r="H68" s="87">
        <f>H67-E68</f>
        <v>3529527</v>
      </c>
      <c r="I68" s="87">
        <f>I67-F68</f>
        <v>1405274.6655555542</v>
      </c>
      <c r="J68" s="128"/>
      <c r="K68" s="87">
        <f t="shared" ref="K68:L81" si="33">B68+H68</f>
        <v>0</v>
      </c>
      <c r="L68" s="87">
        <f>C68+I68</f>
        <v>-2124252.3344444456</v>
      </c>
      <c r="M68" s="128"/>
      <c r="N68" s="87">
        <f>L68-K68</f>
        <v>-2124252.3344444456</v>
      </c>
      <c r="O68" s="87">
        <f>-N68*$O$9</f>
        <v>743488.31705555588</v>
      </c>
      <c r="P68" s="87">
        <f t="shared" si="30"/>
        <v>11438.281944444636</v>
      </c>
      <c r="Q68" s="87">
        <f t="shared" ref="Q68:Q98" si="34">L68+O68</f>
        <v>-1380764.0173888896</v>
      </c>
      <c r="R68" s="87">
        <f>(Q56+Q68+(SUM(Q57:Q67))*2)/24</f>
        <v>-1508219.1590555562</v>
      </c>
      <c r="S68" s="87">
        <f t="shared" si="28"/>
        <v>-2320337.1677777786</v>
      </c>
      <c r="T68" s="87">
        <f t="shared" si="29"/>
        <v>812118.00872222241</v>
      </c>
    </row>
    <row r="69" spans="1:20" ht="12.95" hidden="1" customHeight="1" outlineLevel="1">
      <c r="A69" s="86">
        <v>41455</v>
      </c>
      <c r="B69" s="87">
        <f t="shared" ref="B69:C81" si="35">B68</f>
        <v>-3529527</v>
      </c>
      <c r="C69" s="87">
        <f t="shared" si="35"/>
        <v>-3529527</v>
      </c>
      <c r="D69" s="128"/>
      <c r="E69" s="87">
        <v>0</v>
      </c>
      <c r="F69" s="87">
        <f t="shared" ref="F69:F95" si="36">$C$27/$E$5</f>
        <v>-32680.805555555555</v>
      </c>
      <c r="G69" s="128"/>
      <c r="H69" s="87">
        <f t="shared" ref="H69:I81" si="37">H68-E69</f>
        <v>3529527</v>
      </c>
      <c r="I69" s="87">
        <f t="shared" si="37"/>
        <v>1437955.4711111097</v>
      </c>
      <c r="J69" s="128"/>
      <c r="K69" s="87">
        <f t="shared" si="33"/>
        <v>0</v>
      </c>
      <c r="L69" s="87">
        <f t="shared" si="33"/>
        <v>-2091571.5288888903</v>
      </c>
      <c r="M69" s="128"/>
      <c r="N69" s="87">
        <f t="shared" ref="N69:N98" si="38">L69-K69</f>
        <v>-2091571.5288888903</v>
      </c>
      <c r="O69" s="87">
        <f t="shared" ref="O69:O123" si="39">-N69*$O$9</f>
        <v>732050.03511111159</v>
      </c>
      <c r="P69" s="32">
        <f t="shared" si="30"/>
        <v>11438.281944444287</v>
      </c>
      <c r="Q69" s="32">
        <f t="shared" si="34"/>
        <v>-1359521.4937777787</v>
      </c>
      <c r="R69" s="32">
        <f>(Q57+Q69+(SUM(Q58:Q67)+SUM(Q68:Q68))*2)/24</f>
        <v>-1486976.6354444453</v>
      </c>
      <c r="S69" s="87">
        <f t="shared" si="28"/>
        <v>-2287656.3622222231</v>
      </c>
      <c r="T69" s="87">
        <f t="shared" si="29"/>
        <v>800679.72677777812</v>
      </c>
    </row>
    <row r="70" spans="1:20" ht="12.95" hidden="1" customHeight="1" outlineLevel="1">
      <c r="A70" s="86">
        <v>41486</v>
      </c>
      <c r="B70" s="87">
        <f t="shared" si="35"/>
        <v>-3529527</v>
      </c>
      <c r="C70" s="87">
        <f t="shared" si="35"/>
        <v>-3529527</v>
      </c>
      <c r="D70" s="128"/>
      <c r="E70" s="87">
        <v>0</v>
      </c>
      <c r="F70" s="87">
        <f t="shared" si="36"/>
        <v>-32680.805555555555</v>
      </c>
      <c r="G70" s="128"/>
      <c r="H70" s="87">
        <f t="shared" si="37"/>
        <v>3529527</v>
      </c>
      <c r="I70" s="87">
        <f t="shared" si="37"/>
        <v>1470636.2766666652</v>
      </c>
      <c r="J70" s="128"/>
      <c r="K70" s="87">
        <f t="shared" si="33"/>
        <v>0</v>
      </c>
      <c r="L70" s="87">
        <f t="shared" si="33"/>
        <v>-2058890.7233333348</v>
      </c>
      <c r="M70" s="128"/>
      <c r="N70" s="87">
        <f t="shared" si="38"/>
        <v>-2058890.7233333348</v>
      </c>
      <c r="O70" s="87">
        <f t="shared" si="39"/>
        <v>720611.75316666719</v>
      </c>
      <c r="P70" s="87">
        <f t="shared" si="30"/>
        <v>11438.281944444403</v>
      </c>
      <c r="Q70" s="87">
        <f t="shared" si="34"/>
        <v>-1338278.9701666676</v>
      </c>
      <c r="R70" s="87">
        <f>(Q58+Q70+(SUM(Q59:Q67)+SUM(Q68:Q69))*2)/24</f>
        <v>-1465734.1118333342</v>
      </c>
      <c r="S70" s="87">
        <f t="shared" si="28"/>
        <v>-2254975.5566666676</v>
      </c>
      <c r="T70" s="87">
        <f t="shared" si="29"/>
        <v>789241.4448333336</v>
      </c>
    </row>
    <row r="71" spans="1:20" ht="12.95" hidden="1" customHeight="1" outlineLevel="1">
      <c r="A71" s="86">
        <v>41517</v>
      </c>
      <c r="B71" s="87">
        <f t="shared" si="35"/>
        <v>-3529527</v>
      </c>
      <c r="C71" s="87">
        <f t="shared" si="35"/>
        <v>-3529527</v>
      </c>
      <c r="D71" s="128"/>
      <c r="E71" s="87">
        <v>0</v>
      </c>
      <c r="F71" s="87">
        <f t="shared" si="36"/>
        <v>-32680.805555555555</v>
      </c>
      <c r="G71" s="128"/>
      <c r="H71" s="87">
        <f t="shared" si="37"/>
        <v>3529527</v>
      </c>
      <c r="I71" s="87">
        <f t="shared" si="37"/>
        <v>1503317.0822222207</v>
      </c>
      <c r="J71" s="128"/>
      <c r="K71" s="87">
        <f t="shared" si="33"/>
        <v>0</v>
      </c>
      <c r="L71" s="87">
        <f t="shared" si="33"/>
        <v>-2026209.9177777793</v>
      </c>
      <c r="M71" s="128"/>
      <c r="N71" s="87">
        <f t="shared" si="38"/>
        <v>-2026209.9177777793</v>
      </c>
      <c r="O71" s="87">
        <f t="shared" si="39"/>
        <v>709173.47122222267</v>
      </c>
      <c r="P71" s="87">
        <f t="shared" ref="P71:P98" si="40">-O71+O70</f>
        <v>11438.281944444519</v>
      </c>
      <c r="Q71" s="87">
        <f t="shared" si="34"/>
        <v>-1317036.4465555567</v>
      </c>
      <c r="R71" s="87">
        <f>(Q59+Q71+(SUM(Q60:Q67)+SUM(Q68:Q70))*2)/24</f>
        <v>-1444491.5882222231</v>
      </c>
      <c r="S71" s="87">
        <f t="shared" ref="S71:S81" si="41">(N59+N71+SUM(N60:N70)*2)/24</f>
        <v>-2222294.7511111121</v>
      </c>
      <c r="T71" s="87">
        <f t="shared" ref="T71:T81" si="42">(O59+O71+SUM(O60:O70)*2)/24</f>
        <v>777803.1628888892</v>
      </c>
    </row>
    <row r="72" spans="1:20" ht="12.95" hidden="1" customHeight="1" outlineLevel="1">
      <c r="A72" s="86">
        <v>41547</v>
      </c>
      <c r="B72" s="87">
        <f t="shared" si="35"/>
        <v>-3529527</v>
      </c>
      <c r="C72" s="87">
        <f t="shared" si="35"/>
        <v>-3529527</v>
      </c>
      <c r="D72" s="128"/>
      <c r="E72" s="87">
        <v>0</v>
      </c>
      <c r="F72" s="87">
        <f t="shared" si="36"/>
        <v>-32680.805555555555</v>
      </c>
      <c r="G72" s="128"/>
      <c r="H72" s="87">
        <f t="shared" si="37"/>
        <v>3529527</v>
      </c>
      <c r="I72" s="87">
        <f t="shared" si="37"/>
        <v>1535997.8877777762</v>
      </c>
      <c r="J72" s="128"/>
      <c r="K72" s="87">
        <f t="shared" si="33"/>
        <v>0</v>
      </c>
      <c r="L72" s="87">
        <f t="shared" si="33"/>
        <v>-1993529.1122222238</v>
      </c>
      <c r="M72" s="128"/>
      <c r="N72" s="87">
        <f t="shared" si="38"/>
        <v>-1993529.1122222238</v>
      </c>
      <c r="O72" s="87">
        <f t="shared" si="39"/>
        <v>697735.18927777826</v>
      </c>
      <c r="P72" s="87">
        <f t="shared" si="40"/>
        <v>11438.281944444403</v>
      </c>
      <c r="Q72" s="87">
        <f t="shared" si="34"/>
        <v>-1295793.9229444456</v>
      </c>
      <c r="R72" s="87">
        <f>(Q60+Q72+(SUM(Q61:Q67)+SUM(Q68:Q71))*2)/24</f>
        <v>-1423249.064611112</v>
      </c>
      <c r="S72" s="87">
        <f t="shared" si="41"/>
        <v>-2189613.945555557</v>
      </c>
      <c r="T72" s="87">
        <f t="shared" si="42"/>
        <v>766364.8809444448</v>
      </c>
    </row>
    <row r="73" spans="1:20" ht="12.95" hidden="1" customHeight="1" outlineLevel="1">
      <c r="A73" s="86">
        <v>41578</v>
      </c>
      <c r="B73" s="87">
        <f t="shared" si="35"/>
        <v>-3529527</v>
      </c>
      <c r="C73" s="87">
        <f t="shared" si="35"/>
        <v>-3529527</v>
      </c>
      <c r="D73" s="128"/>
      <c r="E73" s="87">
        <v>0</v>
      </c>
      <c r="F73" s="87">
        <f t="shared" si="36"/>
        <v>-32680.805555555555</v>
      </c>
      <c r="G73" s="128"/>
      <c r="H73" s="87">
        <f t="shared" si="37"/>
        <v>3529527</v>
      </c>
      <c r="I73" s="87">
        <f t="shared" si="37"/>
        <v>1568678.6933333317</v>
      </c>
      <c r="J73" s="128"/>
      <c r="K73" s="87">
        <f t="shared" si="33"/>
        <v>0</v>
      </c>
      <c r="L73" s="87">
        <f t="shared" si="33"/>
        <v>-1960848.3066666683</v>
      </c>
      <c r="M73" s="128"/>
      <c r="N73" s="87">
        <f t="shared" si="38"/>
        <v>-1960848.3066666683</v>
      </c>
      <c r="O73" s="87">
        <f t="shared" si="39"/>
        <v>686296.90733333386</v>
      </c>
      <c r="P73" s="87">
        <f t="shared" si="40"/>
        <v>11438.281944444403</v>
      </c>
      <c r="Q73" s="87">
        <f t="shared" si="34"/>
        <v>-1274551.3993333345</v>
      </c>
      <c r="R73" s="87">
        <f>(Q61+Q73+(SUM(Q62:Q67)+SUM(Q68:Q72))*2)/24</f>
        <v>-1402006.5410000009</v>
      </c>
      <c r="S73" s="87">
        <f t="shared" si="41"/>
        <v>-2156933.1400000011</v>
      </c>
      <c r="T73" s="87">
        <f t="shared" si="42"/>
        <v>754926.59900000039</v>
      </c>
    </row>
    <row r="74" spans="1:20" ht="12.95" hidden="1" customHeight="1" outlineLevel="1">
      <c r="A74" s="86">
        <v>41608</v>
      </c>
      <c r="B74" s="87">
        <f t="shared" si="35"/>
        <v>-3529527</v>
      </c>
      <c r="C74" s="87">
        <f t="shared" si="35"/>
        <v>-3529527</v>
      </c>
      <c r="D74" s="128"/>
      <c r="E74" s="87">
        <v>0</v>
      </c>
      <c r="F74" s="87">
        <f t="shared" si="36"/>
        <v>-32680.805555555555</v>
      </c>
      <c r="G74" s="128"/>
      <c r="H74" s="87">
        <f t="shared" si="37"/>
        <v>3529527</v>
      </c>
      <c r="I74" s="87">
        <f t="shared" si="37"/>
        <v>1601359.4988888872</v>
      </c>
      <c r="J74" s="128"/>
      <c r="K74" s="87">
        <f t="shared" si="33"/>
        <v>0</v>
      </c>
      <c r="L74" s="87">
        <f t="shared" si="33"/>
        <v>-1928167.5011111128</v>
      </c>
      <c r="M74" s="128"/>
      <c r="N74" s="87">
        <f t="shared" si="38"/>
        <v>-1928167.5011111128</v>
      </c>
      <c r="O74" s="87">
        <f t="shared" si="39"/>
        <v>674858.62538888946</v>
      </c>
      <c r="P74" s="87">
        <f t="shared" si="40"/>
        <v>11438.281944444403</v>
      </c>
      <c r="Q74" s="87">
        <f t="shared" si="34"/>
        <v>-1253308.8757222234</v>
      </c>
      <c r="R74" s="87">
        <f>(Q62+Q74+(SUM(Q63:Q67)+SUM(Q68:Q73))*2)/24</f>
        <v>-1380764.0173888898</v>
      </c>
      <c r="S74" s="87">
        <f t="shared" si="41"/>
        <v>-2124252.334444446</v>
      </c>
      <c r="T74" s="87">
        <f t="shared" si="42"/>
        <v>743488.31705555599</v>
      </c>
    </row>
    <row r="75" spans="1:20" ht="12.95" hidden="1" customHeight="1" outlineLevel="1">
      <c r="A75" s="86">
        <v>41639</v>
      </c>
      <c r="B75" s="87">
        <f t="shared" si="35"/>
        <v>-3529527</v>
      </c>
      <c r="C75" s="87">
        <f t="shared" si="35"/>
        <v>-3529527</v>
      </c>
      <c r="D75" s="128"/>
      <c r="E75" s="87">
        <v>0</v>
      </c>
      <c r="F75" s="87">
        <f t="shared" si="36"/>
        <v>-32680.805555555555</v>
      </c>
      <c r="G75" s="128"/>
      <c r="H75" s="87">
        <f t="shared" si="37"/>
        <v>3529527</v>
      </c>
      <c r="I75" s="87">
        <f t="shared" si="37"/>
        <v>1634040.3044444427</v>
      </c>
      <c r="J75" s="128"/>
      <c r="K75" s="87">
        <f t="shared" si="33"/>
        <v>0</v>
      </c>
      <c r="L75" s="87">
        <f t="shared" si="33"/>
        <v>-1895486.6955555573</v>
      </c>
      <c r="M75" s="128"/>
      <c r="N75" s="87">
        <f t="shared" si="38"/>
        <v>-1895486.6955555573</v>
      </c>
      <c r="O75" s="87">
        <f t="shared" si="39"/>
        <v>663420.34344444505</v>
      </c>
      <c r="P75" s="87">
        <f t="shared" si="40"/>
        <v>11438.281944444403</v>
      </c>
      <c r="Q75" s="87">
        <f t="shared" si="34"/>
        <v>-1232066.3521111123</v>
      </c>
      <c r="R75" s="87">
        <f>(Q63+Q75+(SUM(Q64:Q67)+SUM(Q68:Q74))*2)/24</f>
        <v>-1359521.4937777787</v>
      </c>
      <c r="S75" s="87">
        <f t="shared" si="41"/>
        <v>-2091571.5288888905</v>
      </c>
      <c r="T75" s="87">
        <f t="shared" si="42"/>
        <v>732050.03511111159</v>
      </c>
    </row>
    <row r="76" spans="1:20" ht="12.95" hidden="1" customHeight="1" outlineLevel="1">
      <c r="A76" s="86">
        <v>41670</v>
      </c>
      <c r="B76" s="87">
        <f t="shared" si="35"/>
        <v>-3529527</v>
      </c>
      <c r="C76" s="87">
        <f t="shared" si="35"/>
        <v>-3529527</v>
      </c>
      <c r="D76" s="128"/>
      <c r="E76" s="87">
        <v>0</v>
      </c>
      <c r="F76" s="87">
        <f t="shared" si="36"/>
        <v>-32680.805555555555</v>
      </c>
      <c r="G76" s="128"/>
      <c r="H76" s="87">
        <f t="shared" si="37"/>
        <v>3529527</v>
      </c>
      <c r="I76" s="87">
        <f t="shared" si="37"/>
        <v>1666721.1099999982</v>
      </c>
      <c r="J76" s="128"/>
      <c r="K76" s="87">
        <f t="shared" si="33"/>
        <v>0</v>
      </c>
      <c r="L76" s="87">
        <f t="shared" si="33"/>
        <v>-1862805.8900000018</v>
      </c>
      <c r="M76" s="128"/>
      <c r="N76" s="87">
        <f t="shared" si="38"/>
        <v>-1862805.8900000018</v>
      </c>
      <c r="O76" s="87">
        <f t="shared" si="39"/>
        <v>651982.06150000053</v>
      </c>
      <c r="P76" s="87">
        <f t="shared" si="40"/>
        <v>11438.281944444519</v>
      </c>
      <c r="Q76" s="87">
        <f t="shared" si="34"/>
        <v>-1210823.8285000012</v>
      </c>
      <c r="R76" s="87">
        <f>(Q64+Q76+(SUM(Q65:Q67)+SUM(Q68:Q75))*2)/24</f>
        <v>-1338278.9701666676</v>
      </c>
      <c r="S76" s="87">
        <f t="shared" si="41"/>
        <v>-2058890.7233333346</v>
      </c>
      <c r="T76" s="87">
        <f t="shared" si="42"/>
        <v>720611.75316666719</v>
      </c>
    </row>
    <row r="77" spans="1:20" ht="12.95" hidden="1" customHeight="1" outlineLevel="1">
      <c r="A77" s="86">
        <v>41698</v>
      </c>
      <c r="B77" s="87">
        <f t="shared" si="35"/>
        <v>-3529527</v>
      </c>
      <c r="C77" s="87">
        <f t="shared" si="35"/>
        <v>-3529527</v>
      </c>
      <c r="D77" s="128"/>
      <c r="E77" s="87">
        <v>0</v>
      </c>
      <c r="F77" s="87">
        <f t="shared" si="36"/>
        <v>-32680.805555555555</v>
      </c>
      <c r="G77" s="128"/>
      <c r="H77" s="87">
        <f t="shared" si="37"/>
        <v>3529527</v>
      </c>
      <c r="I77" s="87">
        <f t="shared" si="37"/>
        <v>1699401.9155555537</v>
      </c>
      <c r="J77" s="128"/>
      <c r="K77" s="87">
        <f t="shared" si="33"/>
        <v>0</v>
      </c>
      <c r="L77" s="87">
        <f t="shared" si="33"/>
        <v>-1830125.0844444463</v>
      </c>
      <c r="M77" s="128"/>
      <c r="N77" s="87">
        <f t="shared" si="38"/>
        <v>-1830125.0844444463</v>
      </c>
      <c r="O77" s="87">
        <f t="shared" si="39"/>
        <v>640543.77955555613</v>
      </c>
      <c r="P77" s="87">
        <f t="shared" si="40"/>
        <v>11438.281944444403</v>
      </c>
      <c r="Q77" s="87">
        <f t="shared" si="34"/>
        <v>-1189581.3048888901</v>
      </c>
      <c r="R77" s="87">
        <f>(Q65+Q77+(SUM(Q66:Q67)+SUM(Q68:Q76))*2)/24</f>
        <v>-1317036.4465555565</v>
      </c>
      <c r="S77" s="87">
        <f t="shared" si="41"/>
        <v>-2026209.9177777793</v>
      </c>
      <c r="T77" s="87">
        <f t="shared" si="42"/>
        <v>709173.47122222278</v>
      </c>
    </row>
    <row r="78" spans="1:20" ht="12.6" hidden="1" customHeight="1" outlineLevel="1">
      <c r="A78" s="86">
        <v>41729</v>
      </c>
      <c r="B78" s="87">
        <f t="shared" si="35"/>
        <v>-3529527</v>
      </c>
      <c r="C78" s="87">
        <f t="shared" si="35"/>
        <v>-3529527</v>
      </c>
      <c r="D78" s="128"/>
      <c r="E78" s="87">
        <v>0</v>
      </c>
      <c r="F78" s="87">
        <f t="shared" si="36"/>
        <v>-32680.805555555555</v>
      </c>
      <c r="G78" s="128"/>
      <c r="H78" s="87">
        <f t="shared" si="37"/>
        <v>3529527</v>
      </c>
      <c r="I78" s="87">
        <f t="shared" si="37"/>
        <v>1732082.7211111092</v>
      </c>
      <c r="J78" s="128"/>
      <c r="K78" s="87">
        <f t="shared" si="33"/>
        <v>0</v>
      </c>
      <c r="L78" s="87">
        <f t="shared" si="33"/>
        <v>-1797444.2788888908</v>
      </c>
      <c r="M78" s="128"/>
      <c r="N78" s="87">
        <f t="shared" si="38"/>
        <v>-1797444.2788888908</v>
      </c>
      <c r="O78" s="87">
        <f t="shared" si="39"/>
        <v>629105.49761111173</v>
      </c>
      <c r="P78" s="87">
        <f t="shared" si="40"/>
        <v>11438.281944444403</v>
      </c>
      <c r="Q78" s="87">
        <f t="shared" si="34"/>
        <v>-1168338.781277779</v>
      </c>
      <c r="R78" s="87">
        <f>(Q66+Q78+(SUM(Q67:Q67)+SUM(Q68:Q77))*2)/24</f>
        <v>-1295793.9229444454</v>
      </c>
      <c r="S78" s="87">
        <f t="shared" si="41"/>
        <v>-1993529.1122222235</v>
      </c>
      <c r="T78" s="87">
        <f t="shared" si="42"/>
        <v>697735.18927777838</v>
      </c>
    </row>
    <row r="79" spans="1:20" ht="12.6" hidden="1" customHeight="1" outlineLevel="1">
      <c r="A79" s="86">
        <v>41759</v>
      </c>
      <c r="B79" s="87">
        <f t="shared" si="35"/>
        <v>-3529527</v>
      </c>
      <c r="C79" s="87">
        <f t="shared" si="35"/>
        <v>-3529527</v>
      </c>
      <c r="D79" s="128"/>
      <c r="E79" s="87">
        <v>0</v>
      </c>
      <c r="F79" s="87">
        <f t="shared" si="36"/>
        <v>-32680.805555555555</v>
      </c>
      <c r="G79" s="128"/>
      <c r="H79" s="87">
        <f t="shared" si="37"/>
        <v>3529527</v>
      </c>
      <c r="I79" s="87">
        <f t="shared" si="37"/>
        <v>1764763.5266666648</v>
      </c>
      <c r="J79" s="128"/>
      <c r="K79" s="87">
        <f t="shared" si="33"/>
        <v>0</v>
      </c>
      <c r="L79" s="87">
        <f t="shared" si="33"/>
        <v>-1764763.4733333352</v>
      </c>
      <c r="M79" s="128"/>
      <c r="N79" s="87">
        <f t="shared" si="38"/>
        <v>-1764763.4733333352</v>
      </c>
      <c r="O79" s="87">
        <f t="shared" si="39"/>
        <v>617667.21566666733</v>
      </c>
      <c r="P79" s="87">
        <f t="shared" si="40"/>
        <v>11438.281944444403</v>
      </c>
      <c r="Q79" s="87">
        <f t="shared" si="34"/>
        <v>-1147096.2576666679</v>
      </c>
      <c r="R79" s="87">
        <f>(Q67+Q79+(SUM(Q68:Q78))*2)/24</f>
        <v>-1274551.3993333345</v>
      </c>
      <c r="S79" s="87">
        <f t="shared" si="41"/>
        <v>-1960848.3066666683</v>
      </c>
      <c r="T79" s="87">
        <f t="shared" si="42"/>
        <v>686296.90733333398</v>
      </c>
    </row>
    <row r="80" spans="1:20" ht="12.95" hidden="1" customHeight="1" outlineLevel="1">
      <c r="A80" s="86">
        <v>41790</v>
      </c>
      <c r="B80" s="87">
        <f t="shared" si="35"/>
        <v>-3529527</v>
      </c>
      <c r="C80" s="87">
        <f t="shared" si="35"/>
        <v>-3529527</v>
      </c>
      <c r="D80" s="128"/>
      <c r="E80" s="87">
        <v>0</v>
      </c>
      <c r="F80" s="87">
        <f t="shared" si="36"/>
        <v>-32680.805555555555</v>
      </c>
      <c r="G80" s="128"/>
      <c r="H80" s="87">
        <f t="shared" si="37"/>
        <v>3529527</v>
      </c>
      <c r="I80" s="87">
        <f t="shared" si="37"/>
        <v>1797444.3322222203</v>
      </c>
      <c r="J80" s="128"/>
      <c r="K80" s="87">
        <f t="shared" si="33"/>
        <v>0</v>
      </c>
      <c r="L80" s="87">
        <f t="shared" si="33"/>
        <v>-1732082.6677777797</v>
      </c>
      <c r="M80" s="128"/>
      <c r="N80" s="87">
        <f t="shared" si="38"/>
        <v>-1732082.6677777797</v>
      </c>
      <c r="O80" s="87">
        <f t="shared" si="39"/>
        <v>606228.93372222292</v>
      </c>
      <c r="P80" s="87">
        <f t="shared" si="40"/>
        <v>11438.281944444403</v>
      </c>
      <c r="Q80" s="87">
        <f t="shared" si="34"/>
        <v>-1125853.7340555568</v>
      </c>
      <c r="R80" s="87">
        <f t="shared" ref="R80:R85" si="43">(Q68+Q80+SUM(Q69:Q79)*2)/24</f>
        <v>-1253308.8757222232</v>
      </c>
      <c r="S80" s="87">
        <f t="shared" si="41"/>
        <v>-1928167.5011111128</v>
      </c>
      <c r="T80" s="87">
        <f t="shared" si="42"/>
        <v>674858.62538888957</v>
      </c>
    </row>
    <row r="81" spans="1:20" ht="12.95" hidden="1" customHeight="1" outlineLevel="1">
      <c r="A81" s="85">
        <v>41820</v>
      </c>
      <c r="B81" s="32">
        <f t="shared" si="35"/>
        <v>-3529527</v>
      </c>
      <c r="C81" s="32">
        <f t="shared" si="35"/>
        <v>-3529527</v>
      </c>
      <c r="D81" s="89"/>
      <c r="E81" s="32">
        <v>0</v>
      </c>
      <c r="F81" s="32">
        <f t="shared" si="36"/>
        <v>-32680.805555555555</v>
      </c>
      <c r="G81" s="89"/>
      <c r="H81" s="32">
        <f t="shared" si="37"/>
        <v>3529527</v>
      </c>
      <c r="I81" s="32">
        <f t="shared" si="37"/>
        <v>1830125.1377777758</v>
      </c>
      <c r="J81" s="89"/>
      <c r="K81" s="32">
        <f t="shared" si="33"/>
        <v>0</v>
      </c>
      <c r="L81" s="32">
        <f t="shared" si="33"/>
        <v>-1699401.8622222242</v>
      </c>
      <c r="M81" s="89"/>
      <c r="N81" s="32">
        <f t="shared" si="38"/>
        <v>-1699401.8622222242</v>
      </c>
      <c r="O81" s="32">
        <f t="shared" si="39"/>
        <v>594790.6517777784</v>
      </c>
      <c r="P81" s="32">
        <f t="shared" si="40"/>
        <v>11438.281944444519</v>
      </c>
      <c r="Q81" s="32">
        <f t="shared" si="34"/>
        <v>-1104611.2104444457</v>
      </c>
      <c r="R81" s="32">
        <f t="shared" si="43"/>
        <v>-1232066.3521111121</v>
      </c>
      <c r="S81" s="87">
        <f t="shared" si="41"/>
        <v>-1895486.6955555575</v>
      </c>
      <c r="T81" s="87">
        <f t="shared" si="42"/>
        <v>663420.34344444517</v>
      </c>
    </row>
    <row r="82" spans="1:20" ht="12.95" hidden="1" customHeight="1" outlineLevel="1">
      <c r="A82" s="86">
        <v>41851</v>
      </c>
      <c r="B82" s="87">
        <f t="shared" ref="B82:C97" si="44">B81</f>
        <v>-3529527</v>
      </c>
      <c r="C82" s="87">
        <f t="shared" si="44"/>
        <v>-3529527</v>
      </c>
      <c r="D82" s="128"/>
      <c r="E82" s="87">
        <v>0</v>
      </c>
      <c r="F82" s="87">
        <f t="shared" si="36"/>
        <v>-32680.805555555555</v>
      </c>
      <c r="G82" s="128"/>
      <c r="H82" s="87">
        <f t="shared" ref="H82:I97" si="45">H81-E82</f>
        <v>3529527</v>
      </c>
      <c r="I82" s="87">
        <f t="shared" si="45"/>
        <v>1862805.9433333313</v>
      </c>
      <c r="J82" s="128"/>
      <c r="K82" s="87">
        <f t="shared" ref="K82:L103" si="46">B82+H82</f>
        <v>0</v>
      </c>
      <c r="L82" s="87">
        <f t="shared" si="46"/>
        <v>-1666721.0566666687</v>
      </c>
      <c r="M82" s="128"/>
      <c r="N82" s="87">
        <f t="shared" si="38"/>
        <v>-1666721.0566666687</v>
      </c>
      <c r="O82" s="87">
        <f t="shared" si="39"/>
        <v>583352.369833334</v>
      </c>
      <c r="P82" s="87">
        <f t="shared" si="40"/>
        <v>11438.281944444403</v>
      </c>
      <c r="Q82" s="87">
        <f t="shared" si="34"/>
        <v>-1083368.6868333346</v>
      </c>
      <c r="R82" s="87">
        <f t="shared" si="43"/>
        <v>-1210823.8285000012</v>
      </c>
      <c r="S82" s="87">
        <f t="shared" ref="S82:S88" si="47">(N70+N82+SUM(N71:N81)*2)/24</f>
        <v>-1862805.8900000018</v>
      </c>
      <c r="T82" s="87">
        <f t="shared" ref="T82:T88" si="48">(O70+O82+SUM(O71:O81)*2)/24</f>
        <v>651982.06150000065</v>
      </c>
    </row>
    <row r="83" spans="1:20" ht="12.95" hidden="1" customHeight="1" outlineLevel="1">
      <c r="A83" s="86">
        <v>41882</v>
      </c>
      <c r="B83" s="87">
        <f t="shared" si="44"/>
        <v>-3529527</v>
      </c>
      <c r="C83" s="87">
        <f t="shared" si="44"/>
        <v>-3529527</v>
      </c>
      <c r="D83" s="128"/>
      <c r="E83" s="87">
        <v>0</v>
      </c>
      <c r="F83" s="87">
        <f t="shared" si="36"/>
        <v>-32680.805555555555</v>
      </c>
      <c r="G83" s="128"/>
      <c r="H83" s="87">
        <f t="shared" si="45"/>
        <v>3529527</v>
      </c>
      <c r="I83" s="87">
        <f t="shared" si="45"/>
        <v>1895486.7488888868</v>
      </c>
      <c r="J83" s="128"/>
      <c r="K83" s="87">
        <f t="shared" si="46"/>
        <v>0</v>
      </c>
      <c r="L83" s="87">
        <f t="shared" si="46"/>
        <v>-1634040.2511111132</v>
      </c>
      <c r="M83" s="128"/>
      <c r="N83" s="87">
        <f t="shared" si="38"/>
        <v>-1634040.2511111132</v>
      </c>
      <c r="O83" s="87">
        <f t="shared" si="39"/>
        <v>571914.0878888896</v>
      </c>
      <c r="P83" s="87">
        <f t="shared" si="40"/>
        <v>11438.281944444403</v>
      </c>
      <c r="Q83" s="87">
        <f t="shared" si="34"/>
        <v>-1062126.1632222235</v>
      </c>
      <c r="R83" s="87">
        <f t="shared" si="43"/>
        <v>-1189581.3048888901</v>
      </c>
      <c r="S83" s="87">
        <f t="shared" si="47"/>
        <v>-1830125.0844444463</v>
      </c>
      <c r="T83" s="87">
        <f t="shared" si="48"/>
        <v>640543.77955555625</v>
      </c>
    </row>
    <row r="84" spans="1:20" ht="12.95" hidden="1" customHeight="1" outlineLevel="1">
      <c r="A84" s="86">
        <v>41912</v>
      </c>
      <c r="B84" s="87">
        <f t="shared" si="44"/>
        <v>-3529527</v>
      </c>
      <c r="C84" s="87">
        <f t="shared" si="44"/>
        <v>-3529527</v>
      </c>
      <c r="D84" s="128"/>
      <c r="E84" s="87">
        <v>0</v>
      </c>
      <c r="F84" s="87">
        <f t="shared" si="36"/>
        <v>-32680.805555555555</v>
      </c>
      <c r="G84" s="128"/>
      <c r="H84" s="87">
        <f t="shared" si="45"/>
        <v>3529527</v>
      </c>
      <c r="I84" s="87">
        <f t="shared" si="45"/>
        <v>1928167.5544444423</v>
      </c>
      <c r="J84" s="128"/>
      <c r="K84" s="87">
        <f t="shared" si="46"/>
        <v>0</v>
      </c>
      <c r="L84" s="87">
        <f t="shared" si="46"/>
        <v>-1601359.4455555577</v>
      </c>
      <c r="M84" s="128"/>
      <c r="N84" s="87">
        <f t="shared" si="38"/>
        <v>-1601359.4455555577</v>
      </c>
      <c r="O84" s="87">
        <f t="shared" si="39"/>
        <v>560475.80594444519</v>
      </c>
      <c r="P84" s="87">
        <f t="shared" si="40"/>
        <v>11438.281944444403</v>
      </c>
      <c r="Q84" s="87">
        <f t="shared" si="34"/>
        <v>-1040883.6396111125</v>
      </c>
      <c r="R84" s="87">
        <f t="shared" si="43"/>
        <v>-1168338.781277779</v>
      </c>
      <c r="S84" s="87">
        <f t="shared" si="47"/>
        <v>-1797444.2788888908</v>
      </c>
      <c r="T84" s="87">
        <f t="shared" si="48"/>
        <v>629105.49761111184</v>
      </c>
    </row>
    <row r="85" spans="1:20" ht="12.95" hidden="1" customHeight="1" outlineLevel="1">
      <c r="A85" s="86">
        <v>41943</v>
      </c>
      <c r="B85" s="32">
        <f t="shared" si="44"/>
        <v>-3529527</v>
      </c>
      <c r="C85" s="32">
        <f t="shared" si="44"/>
        <v>-3529527</v>
      </c>
      <c r="D85" s="89"/>
      <c r="E85" s="32">
        <v>0</v>
      </c>
      <c r="F85" s="32">
        <f t="shared" si="36"/>
        <v>-32680.805555555555</v>
      </c>
      <c r="G85" s="89"/>
      <c r="H85" s="32">
        <f t="shared" si="45"/>
        <v>3529527</v>
      </c>
      <c r="I85" s="32">
        <f t="shared" si="45"/>
        <v>1960848.3599999978</v>
      </c>
      <c r="J85" s="89"/>
      <c r="K85" s="32">
        <f t="shared" si="46"/>
        <v>0</v>
      </c>
      <c r="L85" s="87">
        <f t="shared" si="46"/>
        <v>-1568678.6400000022</v>
      </c>
      <c r="M85" s="89"/>
      <c r="N85" s="32">
        <f t="shared" si="38"/>
        <v>-1568678.6400000022</v>
      </c>
      <c r="O85" s="32">
        <f t="shared" si="39"/>
        <v>549037.52400000079</v>
      </c>
      <c r="P85" s="32">
        <f t="shared" si="40"/>
        <v>11438.281944444403</v>
      </c>
      <c r="Q85" s="32">
        <f t="shared" si="34"/>
        <v>-1019641.1160000014</v>
      </c>
      <c r="R85" s="32">
        <f t="shared" si="43"/>
        <v>-1147096.2576666677</v>
      </c>
      <c r="S85" s="87">
        <f t="shared" si="47"/>
        <v>-1764763.4733333352</v>
      </c>
      <c r="T85" s="87">
        <f t="shared" si="48"/>
        <v>617667.21566666744</v>
      </c>
    </row>
    <row r="86" spans="1:20" ht="12.95" hidden="1" customHeight="1" outlineLevel="1">
      <c r="A86" s="86">
        <v>41973</v>
      </c>
      <c r="B86" s="87">
        <f t="shared" si="44"/>
        <v>-3529527</v>
      </c>
      <c r="C86" s="87">
        <f t="shared" si="44"/>
        <v>-3529527</v>
      </c>
      <c r="D86" s="128"/>
      <c r="E86" s="87">
        <v>0</v>
      </c>
      <c r="F86" s="87">
        <f t="shared" si="36"/>
        <v>-32680.805555555555</v>
      </c>
      <c r="G86" s="128"/>
      <c r="H86" s="87">
        <f t="shared" si="45"/>
        <v>3529527</v>
      </c>
      <c r="I86" s="87">
        <f t="shared" si="45"/>
        <v>1993529.1655555533</v>
      </c>
      <c r="J86" s="128"/>
      <c r="K86" s="87">
        <f t="shared" si="46"/>
        <v>0</v>
      </c>
      <c r="L86" s="87">
        <f t="shared" si="46"/>
        <v>-1535997.8344444467</v>
      </c>
      <c r="M86" s="128"/>
      <c r="N86" s="87">
        <f t="shared" si="38"/>
        <v>-1535997.8344444467</v>
      </c>
      <c r="O86" s="87">
        <f t="shared" si="39"/>
        <v>537599.24205555627</v>
      </c>
      <c r="P86" s="87">
        <f t="shared" si="40"/>
        <v>11438.281944444519</v>
      </c>
      <c r="Q86" s="87">
        <f t="shared" si="34"/>
        <v>-998398.59238889045</v>
      </c>
      <c r="R86" s="87">
        <f t="shared" ref="R86:R149" si="49">(Q74+Q86+SUM(Q75:Q85)*2)/24</f>
        <v>-1125853.7340555568</v>
      </c>
      <c r="S86" s="87">
        <f t="shared" si="47"/>
        <v>-1732082.6677777795</v>
      </c>
      <c r="T86" s="87">
        <f t="shared" si="48"/>
        <v>606228.93372222304</v>
      </c>
    </row>
    <row r="87" spans="1:20" ht="12.95" hidden="1" customHeight="1" outlineLevel="1">
      <c r="A87" s="86">
        <v>42004</v>
      </c>
      <c r="B87" s="87">
        <f t="shared" si="44"/>
        <v>-3529527</v>
      </c>
      <c r="C87" s="87">
        <f t="shared" si="44"/>
        <v>-3529527</v>
      </c>
      <c r="D87" s="128"/>
      <c r="E87" s="87">
        <v>0</v>
      </c>
      <c r="F87" s="87">
        <f t="shared" si="36"/>
        <v>-32680.805555555555</v>
      </c>
      <c r="G87" s="128"/>
      <c r="H87" s="87">
        <f t="shared" si="45"/>
        <v>3529527</v>
      </c>
      <c r="I87" s="87">
        <f t="shared" si="45"/>
        <v>2026209.9711111088</v>
      </c>
      <c r="J87" s="128"/>
      <c r="K87" s="87">
        <f t="shared" si="46"/>
        <v>0</v>
      </c>
      <c r="L87" s="87">
        <f t="shared" si="46"/>
        <v>-1503317.0288888912</v>
      </c>
      <c r="M87" s="128"/>
      <c r="N87" s="87">
        <f t="shared" si="38"/>
        <v>-1503317.0288888912</v>
      </c>
      <c r="O87" s="87">
        <f t="shared" si="39"/>
        <v>526160.96011111187</v>
      </c>
      <c r="P87" s="87">
        <f t="shared" si="40"/>
        <v>11438.281944444403</v>
      </c>
      <c r="Q87" s="87">
        <f t="shared" si="34"/>
        <v>-977156.06877777935</v>
      </c>
      <c r="R87" s="87">
        <f t="shared" si="49"/>
        <v>-1104611.2104444457</v>
      </c>
      <c r="S87" s="87">
        <f t="shared" si="47"/>
        <v>-1699401.8622222245</v>
      </c>
      <c r="T87" s="87">
        <f t="shared" si="48"/>
        <v>594790.65177777852</v>
      </c>
    </row>
    <row r="88" spans="1:20" ht="12.95" hidden="1" customHeight="1" outlineLevel="1">
      <c r="A88" s="85">
        <v>42035</v>
      </c>
      <c r="B88" s="32">
        <f t="shared" si="44"/>
        <v>-3529527</v>
      </c>
      <c r="C88" s="32">
        <f t="shared" si="44"/>
        <v>-3529527</v>
      </c>
      <c r="D88" s="89"/>
      <c r="E88" s="32">
        <v>0</v>
      </c>
      <c r="F88" s="32">
        <f t="shared" si="36"/>
        <v>-32680.805555555555</v>
      </c>
      <c r="G88" s="89"/>
      <c r="H88" s="32">
        <f t="shared" si="45"/>
        <v>3529527</v>
      </c>
      <c r="I88" s="32">
        <f t="shared" si="45"/>
        <v>2058890.7766666643</v>
      </c>
      <c r="J88" s="89"/>
      <c r="K88" s="32">
        <f t="shared" si="46"/>
        <v>0</v>
      </c>
      <c r="L88" s="32">
        <f t="shared" si="46"/>
        <v>-1470636.2233333357</v>
      </c>
      <c r="M88" s="89"/>
      <c r="N88" s="32">
        <f t="shared" si="38"/>
        <v>-1470636.2233333357</v>
      </c>
      <c r="O88" s="32">
        <f t="shared" si="39"/>
        <v>514722.67816666747</v>
      </c>
      <c r="P88" s="32">
        <f t="shared" si="40"/>
        <v>11438.281944444403</v>
      </c>
      <c r="Q88" s="32">
        <f t="shared" si="34"/>
        <v>-955913.54516666825</v>
      </c>
      <c r="R88" s="32">
        <f t="shared" si="49"/>
        <v>-1083368.6868333349</v>
      </c>
      <c r="S88" s="87">
        <f t="shared" si="47"/>
        <v>-1666721.0566666687</v>
      </c>
      <c r="T88" s="87">
        <f t="shared" si="48"/>
        <v>583352.36983333412</v>
      </c>
    </row>
    <row r="89" spans="1:20" ht="12.95" hidden="1" customHeight="1" outlineLevel="1">
      <c r="A89" s="86">
        <v>42063</v>
      </c>
      <c r="B89" s="87">
        <f t="shared" si="44"/>
        <v>-3529527</v>
      </c>
      <c r="C89" s="87">
        <f t="shared" si="44"/>
        <v>-3529527</v>
      </c>
      <c r="D89" s="128"/>
      <c r="E89" s="87">
        <v>0</v>
      </c>
      <c r="F89" s="87">
        <f t="shared" si="36"/>
        <v>-32680.805555555555</v>
      </c>
      <c r="G89" s="128"/>
      <c r="H89" s="87">
        <f t="shared" si="45"/>
        <v>3529527</v>
      </c>
      <c r="I89" s="87">
        <f t="shared" si="45"/>
        <v>2091571.5822222198</v>
      </c>
      <c r="J89" s="128"/>
      <c r="K89" s="87">
        <f t="shared" si="46"/>
        <v>0</v>
      </c>
      <c r="L89" s="87">
        <f t="shared" si="46"/>
        <v>-1437955.4177777802</v>
      </c>
      <c r="M89" s="128"/>
      <c r="N89" s="87">
        <f t="shared" si="38"/>
        <v>-1437955.4177777802</v>
      </c>
      <c r="O89" s="87">
        <f t="shared" si="39"/>
        <v>503284.39622222306</v>
      </c>
      <c r="P89" s="87">
        <f t="shared" si="40"/>
        <v>11438.281944444403</v>
      </c>
      <c r="Q89" s="87">
        <f t="shared" si="34"/>
        <v>-934671.02155555715</v>
      </c>
      <c r="R89" s="87">
        <f t="shared" si="49"/>
        <v>-1062126.1632222235</v>
      </c>
      <c r="S89" s="87">
        <f t="shared" ref="S89:S137" si="50">(N77+N89+SUM(N78:N88)*2)/24</f>
        <v>-1634040.2511111132</v>
      </c>
      <c r="T89" s="87">
        <f t="shared" ref="T89:T137" si="51">(O77+O89+SUM(O78:O88)*2)/24</f>
        <v>571914.0878888896</v>
      </c>
    </row>
    <row r="90" spans="1:20" ht="12.95" hidden="1" customHeight="1" outlineLevel="1">
      <c r="A90" s="85">
        <v>42094</v>
      </c>
      <c r="B90" s="32">
        <f t="shared" si="44"/>
        <v>-3529527</v>
      </c>
      <c r="C90" s="32">
        <f t="shared" si="44"/>
        <v>-3529527</v>
      </c>
      <c r="D90" s="89"/>
      <c r="E90" s="32">
        <v>0</v>
      </c>
      <c r="F90" s="32">
        <f t="shared" si="36"/>
        <v>-32680.805555555555</v>
      </c>
      <c r="G90" s="89"/>
      <c r="H90" s="32">
        <f t="shared" si="45"/>
        <v>3529527</v>
      </c>
      <c r="I90" s="32">
        <f t="shared" si="45"/>
        <v>2124252.3877777755</v>
      </c>
      <c r="J90" s="89"/>
      <c r="K90" s="32">
        <f t="shared" si="46"/>
        <v>0</v>
      </c>
      <c r="L90" s="32">
        <f t="shared" si="46"/>
        <v>-1405274.6122222245</v>
      </c>
      <c r="M90" s="89"/>
      <c r="N90" s="32">
        <f t="shared" si="38"/>
        <v>-1405274.6122222245</v>
      </c>
      <c r="O90" s="32">
        <f t="shared" si="39"/>
        <v>491846.11427777854</v>
      </c>
      <c r="P90" s="32">
        <f t="shared" si="40"/>
        <v>11438.281944444519</v>
      </c>
      <c r="Q90" s="32">
        <f t="shared" si="34"/>
        <v>-913428.49794444593</v>
      </c>
      <c r="R90" s="32">
        <f t="shared" si="49"/>
        <v>-1040883.6396111124</v>
      </c>
      <c r="S90" s="87">
        <f t="shared" si="50"/>
        <v>-1601359.4455555575</v>
      </c>
      <c r="T90" s="87">
        <f t="shared" si="51"/>
        <v>560475.80594444496</v>
      </c>
    </row>
    <row r="91" spans="1:20" ht="12.95" hidden="1" customHeight="1" outlineLevel="1">
      <c r="A91" s="86">
        <v>42124</v>
      </c>
      <c r="B91" s="87">
        <f t="shared" si="44"/>
        <v>-3529527</v>
      </c>
      <c r="C91" s="87">
        <f t="shared" si="44"/>
        <v>-3529527</v>
      </c>
      <c r="D91" s="128"/>
      <c r="E91" s="87">
        <v>0</v>
      </c>
      <c r="F91" s="87">
        <f t="shared" si="36"/>
        <v>-32680.805555555555</v>
      </c>
      <c r="G91" s="128"/>
      <c r="H91" s="87">
        <f t="shared" si="45"/>
        <v>3529527</v>
      </c>
      <c r="I91" s="87">
        <f t="shared" si="45"/>
        <v>2156933.193333331</v>
      </c>
      <c r="J91" s="128"/>
      <c r="K91" s="87">
        <f t="shared" si="46"/>
        <v>0</v>
      </c>
      <c r="L91" s="87">
        <f>C91+I91</f>
        <v>-1372593.806666669</v>
      </c>
      <c r="M91" s="128"/>
      <c r="N91" s="87">
        <f t="shared" si="38"/>
        <v>-1372593.806666669</v>
      </c>
      <c r="O91" s="87">
        <f t="shared" si="39"/>
        <v>480407.83233333408</v>
      </c>
      <c r="P91" s="87">
        <f t="shared" si="40"/>
        <v>11438.281944444461</v>
      </c>
      <c r="Q91" s="87">
        <f t="shared" si="34"/>
        <v>-892185.97433333495</v>
      </c>
      <c r="R91" s="87">
        <f t="shared" si="49"/>
        <v>-1019641.1160000017</v>
      </c>
      <c r="S91" s="87">
        <f t="shared" si="50"/>
        <v>-1568678.6400000018</v>
      </c>
      <c r="T91" s="87">
        <f t="shared" si="51"/>
        <v>549037.52400000056</v>
      </c>
    </row>
    <row r="92" spans="1:20" ht="12.95" hidden="1" customHeight="1" outlineLevel="1">
      <c r="A92" s="86">
        <v>42155</v>
      </c>
      <c r="B92" s="87">
        <f t="shared" si="44"/>
        <v>-3529527</v>
      </c>
      <c r="C92" s="87">
        <f t="shared" si="44"/>
        <v>-3529527</v>
      </c>
      <c r="D92" s="128"/>
      <c r="E92" s="87">
        <v>0</v>
      </c>
      <c r="F92" s="87">
        <f t="shared" si="36"/>
        <v>-32680.805555555555</v>
      </c>
      <c r="G92" s="128"/>
      <c r="H92" s="87">
        <f t="shared" si="45"/>
        <v>3529527</v>
      </c>
      <c r="I92" s="87">
        <f t="shared" si="45"/>
        <v>2189613.9988888865</v>
      </c>
      <c r="J92" s="128"/>
      <c r="K92" s="87">
        <f t="shared" si="46"/>
        <v>0</v>
      </c>
      <c r="L92" s="87">
        <f t="shared" si="46"/>
        <v>-1339913.0011111135</v>
      </c>
      <c r="M92" s="128"/>
      <c r="N92" s="87">
        <f t="shared" si="38"/>
        <v>-1339913.0011111135</v>
      </c>
      <c r="O92" s="87">
        <f t="shared" si="39"/>
        <v>468969.55038888968</v>
      </c>
      <c r="P92" s="87">
        <f t="shared" si="40"/>
        <v>11438.281944444403</v>
      </c>
      <c r="Q92" s="87">
        <f t="shared" si="34"/>
        <v>-870943.45072222385</v>
      </c>
      <c r="R92" s="87">
        <f t="shared" si="49"/>
        <v>-998398.59238889033</v>
      </c>
      <c r="S92" s="87">
        <f t="shared" si="50"/>
        <v>-1535997.8344444465</v>
      </c>
      <c r="T92" s="87">
        <f t="shared" si="51"/>
        <v>537599.24205555615</v>
      </c>
    </row>
    <row r="93" spans="1:20" ht="12.95" hidden="1" customHeight="1" outlineLevel="1">
      <c r="A93" s="86">
        <v>42185</v>
      </c>
      <c r="B93" s="87">
        <f t="shared" si="44"/>
        <v>-3529527</v>
      </c>
      <c r="C93" s="87">
        <f t="shared" si="44"/>
        <v>-3529527</v>
      </c>
      <c r="D93" s="128"/>
      <c r="E93" s="87">
        <v>0</v>
      </c>
      <c r="F93" s="87">
        <f t="shared" si="36"/>
        <v>-32680.805555555555</v>
      </c>
      <c r="G93" s="128"/>
      <c r="H93" s="87">
        <f t="shared" si="45"/>
        <v>3529527</v>
      </c>
      <c r="I93" s="87">
        <f t="shared" si="45"/>
        <v>2222294.804444442</v>
      </c>
      <c r="J93" s="128"/>
      <c r="K93" s="87">
        <f t="shared" si="46"/>
        <v>0</v>
      </c>
      <c r="L93" s="87">
        <f t="shared" si="46"/>
        <v>-1307232.195555558</v>
      </c>
      <c r="M93" s="128"/>
      <c r="N93" s="87">
        <f t="shared" si="38"/>
        <v>-1307232.195555558</v>
      </c>
      <c r="O93" s="87">
        <f t="shared" si="39"/>
        <v>457531.26844444528</v>
      </c>
      <c r="P93" s="87">
        <f t="shared" si="40"/>
        <v>11438.281944444403</v>
      </c>
      <c r="Q93" s="87">
        <f t="shared" si="34"/>
        <v>-849700.92711111275</v>
      </c>
      <c r="R93" s="87">
        <f t="shared" si="49"/>
        <v>-977156.06877777912</v>
      </c>
      <c r="S93" s="87">
        <f t="shared" si="50"/>
        <v>-1503317.0288888912</v>
      </c>
      <c r="T93" s="87">
        <f t="shared" si="51"/>
        <v>526160.96011111175</v>
      </c>
    </row>
    <row r="94" spans="1:20" ht="12.95" hidden="1" customHeight="1" outlineLevel="1">
      <c r="A94" s="86">
        <v>42216</v>
      </c>
      <c r="B94" s="87">
        <f t="shared" si="44"/>
        <v>-3529527</v>
      </c>
      <c r="C94" s="87">
        <f t="shared" si="44"/>
        <v>-3529527</v>
      </c>
      <c r="D94" s="128"/>
      <c r="E94" s="87">
        <v>0</v>
      </c>
      <c r="F94" s="87">
        <f t="shared" si="36"/>
        <v>-32680.805555555555</v>
      </c>
      <c r="G94" s="128"/>
      <c r="H94" s="87">
        <f t="shared" si="45"/>
        <v>3529527</v>
      </c>
      <c r="I94" s="87">
        <f t="shared" si="45"/>
        <v>2254975.6099999975</v>
      </c>
      <c r="J94" s="128"/>
      <c r="K94" s="87">
        <f t="shared" si="46"/>
        <v>0</v>
      </c>
      <c r="L94" s="87">
        <f t="shared" si="46"/>
        <v>-1274551.3900000025</v>
      </c>
      <c r="M94" s="128"/>
      <c r="N94" s="87">
        <f t="shared" si="38"/>
        <v>-1274551.3900000025</v>
      </c>
      <c r="O94" s="87">
        <f t="shared" si="39"/>
        <v>446092.98650000081</v>
      </c>
      <c r="P94" s="87">
        <f t="shared" si="40"/>
        <v>11438.281944444461</v>
      </c>
      <c r="Q94" s="87">
        <f t="shared" si="34"/>
        <v>-828458.40350000164</v>
      </c>
      <c r="R94" s="87">
        <f t="shared" si="49"/>
        <v>-955913.54516666813</v>
      </c>
      <c r="S94" s="87">
        <f t="shared" si="50"/>
        <v>-1470636.2233333355</v>
      </c>
      <c r="T94" s="87">
        <f t="shared" si="51"/>
        <v>514722.67816666729</v>
      </c>
    </row>
    <row r="95" spans="1:20" ht="12.95" hidden="1" customHeight="1" outlineLevel="1">
      <c r="A95" s="86">
        <v>42247</v>
      </c>
      <c r="B95" s="87">
        <f t="shared" si="44"/>
        <v>-3529527</v>
      </c>
      <c r="C95" s="87">
        <f t="shared" si="44"/>
        <v>-3529527</v>
      </c>
      <c r="D95" s="128"/>
      <c r="E95" s="87">
        <v>0</v>
      </c>
      <c r="F95" s="87">
        <f t="shared" si="36"/>
        <v>-32680.805555555555</v>
      </c>
      <c r="G95" s="128"/>
      <c r="H95" s="87">
        <f t="shared" si="45"/>
        <v>3529527</v>
      </c>
      <c r="I95" s="87">
        <f t="shared" si="45"/>
        <v>2287656.415555553</v>
      </c>
      <c r="J95" s="128"/>
      <c r="K95" s="87">
        <f t="shared" si="46"/>
        <v>0</v>
      </c>
      <c r="L95" s="87">
        <f t="shared" si="46"/>
        <v>-1241870.584444447</v>
      </c>
      <c r="M95" s="128"/>
      <c r="N95" s="87">
        <f t="shared" si="38"/>
        <v>-1241870.584444447</v>
      </c>
      <c r="O95" s="87">
        <f t="shared" si="39"/>
        <v>434654.70455555641</v>
      </c>
      <c r="P95" s="87">
        <f t="shared" si="40"/>
        <v>11438.281944444403</v>
      </c>
      <c r="Q95" s="87">
        <f t="shared" si="34"/>
        <v>-807215.87988889054</v>
      </c>
      <c r="R95" s="87">
        <f t="shared" si="49"/>
        <v>-934671.02155555726</v>
      </c>
      <c r="S95" s="87">
        <f t="shared" si="50"/>
        <v>-1437955.4177777802</v>
      </c>
      <c r="T95" s="87">
        <f t="shared" si="51"/>
        <v>503284.39622222289</v>
      </c>
    </row>
    <row r="96" spans="1:20" ht="12.95" hidden="1" customHeight="1" outlineLevel="1">
      <c r="A96" s="86">
        <v>42277</v>
      </c>
      <c r="B96" s="87">
        <f t="shared" si="44"/>
        <v>-3529527</v>
      </c>
      <c r="C96" s="87">
        <f t="shared" si="44"/>
        <v>-3529527</v>
      </c>
      <c r="D96" s="128"/>
      <c r="E96" s="87">
        <v>0</v>
      </c>
      <c r="F96" s="87">
        <f t="shared" ref="F96:F127" si="52">$C$27/$E$5</f>
        <v>-32680.805555555555</v>
      </c>
      <c r="G96" s="128"/>
      <c r="H96" s="87">
        <f t="shared" si="45"/>
        <v>3529527</v>
      </c>
      <c r="I96" s="87">
        <f t="shared" si="45"/>
        <v>2320337.2211111085</v>
      </c>
      <c r="J96" s="128"/>
      <c r="K96" s="87">
        <f t="shared" si="46"/>
        <v>0</v>
      </c>
      <c r="L96" s="87">
        <f t="shared" si="46"/>
        <v>-1209189.7788888915</v>
      </c>
      <c r="M96" s="128"/>
      <c r="N96" s="87">
        <f t="shared" si="38"/>
        <v>-1209189.7788888915</v>
      </c>
      <c r="O96" s="87">
        <f t="shared" si="39"/>
        <v>423216.42261111201</v>
      </c>
      <c r="P96" s="87">
        <f t="shared" si="40"/>
        <v>11438.281944444403</v>
      </c>
      <c r="Q96" s="87">
        <f t="shared" si="34"/>
        <v>-785973.35627777944</v>
      </c>
      <c r="R96" s="87">
        <f t="shared" si="49"/>
        <v>-913428.49794444616</v>
      </c>
      <c r="S96" s="87">
        <f t="shared" si="50"/>
        <v>-1405274.6122222245</v>
      </c>
      <c r="T96" s="87">
        <f t="shared" si="51"/>
        <v>491846.11427777848</v>
      </c>
    </row>
    <row r="97" spans="1:20" ht="12.95" hidden="1" customHeight="1" outlineLevel="1">
      <c r="A97" s="86">
        <v>42308</v>
      </c>
      <c r="B97" s="87">
        <f t="shared" si="44"/>
        <v>-3529527</v>
      </c>
      <c r="C97" s="87">
        <f t="shared" si="44"/>
        <v>-3529527</v>
      </c>
      <c r="D97" s="128"/>
      <c r="E97" s="87">
        <v>0</v>
      </c>
      <c r="F97" s="87">
        <f t="shared" si="52"/>
        <v>-32680.805555555555</v>
      </c>
      <c r="G97" s="128"/>
      <c r="H97" s="87">
        <f t="shared" si="45"/>
        <v>3529527</v>
      </c>
      <c r="I97" s="87">
        <f t="shared" si="45"/>
        <v>2353018.0266666641</v>
      </c>
      <c r="J97" s="128"/>
      <c r="K97" s="87">
        <f t="shared" si="46"/>
        <v>0</v>
      </c>
      <c r="L97" s="87">
        <f t="shared" si="46"/>
        <v>-1176508.9733333359</v>
      </c>
      <c r="M97" s="128"/>
      <c r="N97" s="87">
        <f t="shared" si="38"/>
        <v>-1176508.9733333359</v>
      </c>
      <c r="O97" s="87">
        <f t="shared" si="39"/>
        <v>411778.14066666755</v>
      </c>
      <c r="P97" s="87">
        <f t="shared" si="40"/>
        <v>11438.281944444461</v>
      </c>
      <c r="Q97" s="87">
        <f t="shared" si="34"/>
        <v>-764730.83266666834</v>
      </c>
      <c r="R97" s="87">
        <f t="shared" si="49"/>
        <v>-892185.97433333483</v>
      </c>
      <c r="S97" s="87">
        <f t="shared" si="50"/>
        <v>-1372593.8066666687</v>
      </c>
      <c r="T97" s="87">
        <f t="shared" si="51"/>
        <v>480407.83233333408</v>
      </c>
    </row>
    <row r="98" spans="1:20" ht="12.95" hidden="1" customHeight="1" outlineLevel="1">
      <c r="A98" s="86">
        <v>42338</v>
      </c>
      <c r="B98" s="87">
        <f t="shared" ref="B98:C113" si="53">B97</f>
        <v>-3529527</v>
      </c>
      <c r="C98" s="87">
        <f t="shared" si="53"/>
        <v>-3529527</v>
      </c>
      <c r="D98" s="128"/>
      <c r="E98" s="87">
        <v>0</v>
      </c>
      <c r="F98" s="87">
        <f t="shared" si="52"/>
        <v>-32680.805555555555</v>
      </c>
      <c r="G98" s="128"/>
      <c r="H98" s="87">
        <f t="shared" ref="H98:I113" si="54">H97-E98</f>
        <v>3529527</v>
      </c>
      <c r="I98" s="87">
        <f t="shared" si="54"/>
        <v>2385698.8322222196</v>
      </c>
      <c r="J98" s="128"/>
      <c r="K98" s="87">
        <f t="shared" si="46"/>
        <v>0</v>
      </c>
      <c r="L98" s="87">
        <f t="shared" si="46"/>
        <v>-1143828.1677777804</v>
      </c>
      <c r="M98" s="128"/>
      <c r="N98" s="87">
        <f t="shared" si="38"/>
        <v>-1143828.1677777804</v>
      </c>
      <c r="O98" s="87">
        <f t="shared" si="39"/>
        <v>400339.85872222314</v>
      </c>
      <c r="P98" s="87">
        <f t="shared" si="40"/>
        <v>11438.281944444403</v>
      </c>
      <c r="Q98" s="87">
        <f t="shared" si="34"/>
        <v>-743488.30905555724</v>
      </c>
      <c r="R98" s="87">
        <f t="shared" si="49"/>
        <v>-870943.45072222373</v>
      </c>
      <c r="S98" s="87">
        <f t="shared" si="50"/>
        <v>-1339913.0011111135</v>
      </c>
      <c r="T98" s="87">
        <f t="shared" si="51"/>
        <v>468969.55038888968</v>
      </c>
    </row>
    <row r="99" spans="1:20" ht="12.95" hidden="1" customHeight="1" outlineLevel="1">
      <c r="A99" s="86">
        <v>42369</v>
      </c>
      <c r="B99" s="87">
        <f t="shared" si="53"/>
        <v>-3529527</v>
      </c>
      <c r="C99" s="87">
        <f t="shared" si="53"/>
        <v>-3529527</v>
      </c>
      <c r="D99" s="128"/>
      <c r="E99" s="87">
        <v>0</v>
      </c>
      <c r="F99" s="87">
        <f t="shared" si="52"/>
        <v>-32680.805555555555</v>
      </c>
      <c r="G99" s="128"/>
      <c r="H99" s="87">
        <f t="shared" si="54"/>
        <v>3529527</v>
      </c>
      <c r="I99" s="87">
        <f t="shared" si="54"/>
        <v>2418379.6377777751</v>
      </c>
      <c r="J99" s="128"/>
      <c r="K99" s="87">
        <f t="shared" si="46"/>
        <v>0</v>
      </c>
      <c r="L99" s="87">
        <f t="shared" si="46"/>
        <v>-1111147.3622222249</v>
      </c>
      <c r="M99" s="128"/>
      <c r="N99" s="87">
        <f>L99-K99</f>
        <v>-1111147.3622222249</v>
      </c>
      <c r="O99" s="87">
        <f t="shared" si="39"/>
        <v>388901.57677777868</v>
      </c>
      <c r="P99" s="87">
        <f>-O99+O98</f>
        <v>11438.281944444461</v>
      </c>
      <c r="Q99" s="87">
        <f>L99+O99</f>
        <v>-722245.78544444626</v>
      </c>
      <c r="R99" s="87">
        <f t="shared" si="49"/>
        <v>-849700.92711111286</v>
      </c>
      <c r="S99" s="87">
        <f t="shared" si="50"/>
        <v>-1307232.195555558</v>
      </c>
      <c r="T99" s="87">
        <f t="shared" si="51"/>
        <v>457531.26844444522</v>
      </c>
    </row>
    <row r="100" spans="1:20" ht="12.95" hidden="1" customHeight="1" outlineLevel="1">
      <c r="A100" s="86">
        <v>42400</v>
      </c>
      <c r="B100" s="87">
        <f t="shared" si="53"/>
        <v>-3529527</v>
      </c>
      <c r="C100" s="87">
        <f t="shared" si="53"/>
        <v>-3529527</v>
      </c>
      <c r="D100" s="128"/>
      <c r="E100" s="87">
        <v>0</v>
      </c>
      <c r="F100" s="87">
        <f t="shared" si="52"/>
        <v>-32680.805555555555</v>
      </c>
      <c r="G100" s="128"/>
      <c r="H100" s="87">
        <f t="shared" si="54"/>
        <v>3529527</v>
      </c>
      <c r="I100" s="87">
        <f t="shared" si="54"/>
        <v>2451060.4433333306</v>
      </c>
      <c r="J100" s="128"/>
      <c r="K100" s="87">
        <f t="shared" si="46"/>
        <v>0</v>
      </c>
      <c r="L100" s="87">
        <f t="shared" si="46"/>
        <v>-1078466.5566666694</v>
      </c>
      <c r="M100" s="128"/>
      <c r="N100" s="87">
        <f>L100-K100</f>
        <v>-1078466.5566666694</v>
      </c>
      <c r="O100" s="87">
        <f t="shared" si="39"/>
        <v>377463.29483333428</v>
      </c>
      <c r="P100" s="87">
        <f>-O100+O99</f>
        <v>11438.281944444403</v>
      </c>
      <c r="Q100" s="87">
        <f>L100+O100</f>
        <v>-701003.26183333516</v>
      </c>
      <c r="R100" s="87">
        <f t="shared" si="49"/>
        <v>-828458.40350000153</v>
      </c>
      <c r="S100" s="87">
        <f t="shared" si="50"/>
        <v>-1274551.3900000022</v>
      </c>
      <c r="T100" s="87">
        <f t="shared" si="51"/>
        <v>446092.98650000076</v>
      </c>
    </row>
    <row r="101" spans="1:20" ht="12.95" hidden="1" customHeight="1" outlineLevel="1">
      <c r="A101" s="86">
        <v>42429</v>
      </c>
      <c r="B101" s="87">
        <f t="shared" si="53"/>
        <v>-3529527</v>
      </c>
      <c r="C101" s="87">
        <f t="shared" si="53"/>
        <v>-3529527</v>
      </c>
      <c r="D101" s="128"/>
      <c r="E101" s="87">
        <v>0</v>
      </c>
      <c r="F101" s="87">
        <f t="shared" si="52"/>
        <v>-32680.805555555555</v>
      </c>
      <c r="G101" s="128"/>
      <c r="H101" s="87">
        <f t="shared" si="54"/>
        <v>3529527</v>
      </c>
      <c r="I101" s="87">
        <f t="shared" si="54"/>
        <v>2483741.2488888861</v>
      </c>
      <c r="J101" s="128"/>
      <c r="K101" s="87">
        <f t="shared" si="46"/>
        <v>0</v>
      </c>
      <c r="L101" s="87">
        <f t="shared" si="46"/>
        <v>-1045785.7511111139</v>
      </c>
      <c r="M101" s="128"/>
      <c r="N101" s="87">
        <f>L101-K101</f>
        <v>-1045785.7511111139</v>
      </c>
      <c r="O101" s="87">
        <f t="shared" si="39"/>
        <v>366025.01288888988</v>
      </c>
      <c r="P101" s="87">
        <f>-O101+O100</f>
        <v>11438.281944444403</v>
      </c>
      <c r="Q101" s="87">
        <f>L101+O101</f>
        <v>-679760.73822222406</v>
      </c>
      <c r="R101" s="87">
        <f t="shared" si="49"/>
        <v>-807215.87988889043</v>
      </c>
      <c r="S101" s="87">
        <f t="shared" si="50"/>
        <v>-1241870.584444447</v>
      </c>
      <c r="T101" s="87">
        <f t="shared" si="51"/>
        <v>434654.70455555635</v>
      </c>
    </row>
    <row r="102" spans="1:20" ht="12.95" hidden="1" customHeight="1" outlineLevel="1">
      <c r="A102" s="86">
        <v>42460</v>
      </c>
      <c r="B102" s="87">
        <f t="shared" si="53"/>
        <v>-3529527</v>
      </c>
      <c r="C102" s="87">
        <f t="shared" si="53"/>
        <v>-3529527</v>
      </c>
      <c r="D102" s="128"/>
      <c r="E102" s="87">
        <v>0</v>
      </c>
      <c r="F102" s="87">
        <f t="shared" si="52"/>
        <v>-32680.805555555555</v>
      </c>
      <c r="G102" s="128"/>
      <c r="H102" s="87">
        <f t="shared" si="54"/>
        <v>3529527</v>
      </c>
      <c r="I102" s="87">
        <f t="shared" si="54"/>
        <v>2516422.0544444416</v>
      </c>
      <c r="J102" s="128"/>
      <c r="K102" s="87">
        <f t="shared" si="46"/>
        <v>0</v>
      </c>
      <c r="L102" s="87">
        <f t="shared" si="46"/>
        <v>-1013104.9455555584</v>
      </c>
      <c r="M102" s="128"/>
      <c r="N102" s="87">
        <f t="shared" ref="N102:N129" si="55">L102-K102</f>
        <v>-1013104.9455555584</v>
      </c>
      <c r="O102" s="87">
        <f t="shared" si="39"/>
        <v>354586.73094444541</v>
      </c>
      <c r="P102" s="87">
        <f t="shared" ref="P102:P129" si="56">-O102+O101</f>
        <v>11438.281944444461</v>
      </c>
      <c r="Q102" s="87">
        <f t="shared" ref="Q102:Q129" si="57">L102+O102</f>
        <v>-658518.21461111307</v>
      </c>
      <c r="R102" s="87">
        <f t="shared" si="49"/>
        <v>-785973.35627777933</v>
      </c>
      <c r="S102" s="87">
        <f t="shared" si="50"/>
        <v>-1209189.7788888915</v>
      </c>
      <c r="T102" s="87">
        <f t="shared" si="51"/>
        <v>423216.42261111195</v>
      </c>
    </row>
    <row r="103" spans="1:20" ht="12.95" hidden="1" customHeight="1" outlineLevel="1">
      <c r="A103" s="86">
        <v>42490</v>
      </c>
      <c r="B103" s="87">
        <f t="shared" si="53"/>
        <v>-3529527</v>
      </c>
      <c r="C103" s="87">
        <f t="shared" si="53"/>
        <v>-3529527</v>
      </c>
      <c r="D103" s="128"/>
      <c r="E103" s="87">
        <v>0</v>
      </c>
      <c r="F103" s="87">
        <f t="shared" si="52"/>
        <v>-32680.805555555555</v>
      </c>
      <c r="G103" s="128"/>
      <c r="H103" s="87">
        <f t="shared" si="54"/>
        <v>3529527</v>
      </c>
      <c r="I103" s="87">
        <f t="shared" si="54"/>
        <v>2549102.8599999971</v>
      </c>
      <c r="J103" s="128"/>
      <c r="K103" s="87">
        <f t="shared" si="46"/>
        <v>0</v>
      </c>
      <c r="L103" s="87">
        <f t="shared" si="46"/>
        <v>-980424.14000000292</v>
      </c>
      <c r="M103" s="128"/>
      <c r="N103" s="87">
        <f t="shared" si="55"/>
        <v>-980424.14000000292</v>
      </c>
      <c r="O103" s="87">
        <f t="shared" si="39"/>
        <v>343148.44900000101</v>
      </c>
      <c r="P103" s="87">
        <f t="shared" si="56"/>
        <v>11438.281944444403</v>
      </c>
      <c r="Q103" s="87">
        <f t="shared" si="57"/>
        <v>-637275.69100000197</v>
      </c>
      <c r="R103" s="87">
        <f t="shared" si="49"/>
        <v>-764730.83266666846</v>
      </c>
      <c r="S103" s="87">
        <f t="shared" si="50"/>
        <v>-1176508.9733333362</v>
      </c>
      <c r="T103" s="87">
        <f t="shared" si="51"/>
        <v>411778.14066666755</v>
      </c>
    </row>
    <row r="104" spans="1:20" ht="12.95" hidden="1" customHeight="1" outlineLevel="1">
      <c r="A104" s="86">
        <v>42521</v>
      </c>
      <c r="B104" s="87">
        <f t="shared" si="53"/>
        <v>-3529527</v>
      </c>
      <c r="C104" s="87">
        <f t="shared" si="53"/>
        <v>-3529527</v>
      </c>
      <c r="D104" s="128"/>
      <c r="E104" s="87">
        <v>0</v>
      </c>
      <c r="F104" s="87">
        <f t="shared" si="52"/>
        <v>-32680.805555555555</v>
      </c>
      <c r="G104" s="128"/>
      <c r="H104" s="87">
        <f t="shared" si="54"/>
        <v>3529527</v>
      </c>
      <c r="I104" s="87">
        <f t="shared" si="54"/>
        <v>2581783.6655555526</v>
      </c>
      <c r="J104" s="128"/>
      <c r="K104" s="87">
        <f t="shared" ref="K104:L131" si="58">B104+H104</f>
        <v>0</v>
      </c>
      <c r="L104" s="87">
        <f t="shared" si="58"/>
        <v>-947743.33444444742</v>
      </c>
      <c r="M104" s="128"/>
      <c r="N104" s="87">
        <f t="shared" si="55"/>
        <v>-947743.33444444742</v>
      </c>
      <c r="O104" s="87">
        <f t="shared" si="39"/>
        <v>331710.16705555655</v>
      </c>
      <c r="P104" s="87">
        <f t="shared" si="56"/>
        <v>11438.281944444461</v>
      </c>
      <c r="Q104" s="87">
        <f t="shared" si="57"/>
        <v>-616033.16738889087</v>
      </c>
      <c r="R104" s="87">
        <f t="shared" si="49"/>
        <v>-743488.30905555736</v>
      </c>
      <c r="S104" s="87">
        <f t="shared" si="50"/>
        <v>-1143828.1677777802</v>
      </c>
      <c r="T104" s="87">
        <f t="shared" si="51"/>
        <v>400339.85872222303</v>
      </c>
    </row>
    <row r="105" spans="1:20" ht="12.95" hidden="1" customHeight="1" outlineLevel="1">
      <c r="A105" s="86">
        <v>42551</v>
      </c>
      <c r="B105" s="87">
        <f t="shared" si="53"/>
        <v>-3529527</v>
      </c>
      <c r="C105" s="87">
        <f t="shared" si="53"/>
        <v>-3529527</v>
      </c>
      <c r="D105" s="128"/>
      <c r="E105" s="87">
        <v>0</v>
      </c>
      <c r="F105" s="87">
        <f t="shared" si="52"/>
        <v>-32680.805555555555</v>
      </c>
      <c r="G105" s="128"/>
      <c r="H105" s="87">
        <f t="shared" si="54"/>
        <v>3529527</v>
      </c>
      <c r="I105" s="87">
        <f t="shared" si="54"/>
        <v>2614464.4711111081</v>
      </c>
      <c r="J105" s="128"/>
      <c r="K105" s="87">
        <f t="shared" si="58"/>
        <v>0</v>
      </c>
      <c r="L105" s="87">
        <f t="shared" si="58"/>
        <v>-915062.52888889192</v>
      </c>
      <c r="M105" s="128"/>
      <c r="N105" s="87">
        <f t="shared" si="55"/>
        <v>-915062.52888889192</v>
      </c>
      <c r="O105" s="87">
        <f t="shared" si="39"/>
        <v>320271.88511111215</v>
      </c>
      <c r="P105" s="87">
        <f t="shared" si="56"/>
        <v>11438.281944444403</v>
      </c>
      <c r="Q105" s="87">
        <f t="shared" si="57"/>
        <v>-594790.64377777977</v>
      </c>
      <c r="R105" s="87">
        <f t="shared" si="49"/>
        <v>-722245.78544444626</v>
      </c>
      <c r="S105" s="87">
        <f t="shared" si="50"/>
        <v>-1111147.3622222247</v>
      </c>
      <c r="T105" s="87">
        <f t="shared" si="51"/>
        <v>388901.57677777862</v>
      </c>
    </row>
    <row r="106" spans="1:20" ht="12.95" hidden="1" customHeight="1" outlineLevel="1">
      <c r="A106" s="86">
        <v>42582</v>
      </c>
      <c r="B106" s="87">
        <f t="shared" si="53"/>
        <v>-3529527</v>
      </c>
      <c r="C106" s="87">
        <f t="shared" si="53"/>
        <v>-3529527</v>
      </c>
      <c r="D106" s="128"/>
      <c r="E106" s="87">
        <v>0</v>
      </c>
      <c r="F106" s="87">
        <f t="shared" si="52"/>
        <v>-32680.805555555555</v>
      </c>
      <c r="G106" s="128"/>
      <c r="H106" s="87">
        <f t="shared" si="54"/>
        <v>3529527</v>
      </c>
      <c r="I106" s="87">
        <f t="shared" si="54"/>
        <v>2647145.2766666636</v>
      </c>
      <c r="J106" s="128"/>
      <c r="K106" s="87">
        <f t="shared" si="58"/>
        <v>0</v>
      </c>
      <c r="L106" s="87">
        <f t="shared" si="58"/>
        <v>-882381.72333333641</v>
      </c>
      <c r="M106" s="128"/>
      <c r="N106" s="87">
        <f t="shared" si="55"/>
        <v>-882381.72333333641</v>
      </c>
      <c r="O106" s="87">
        <f t="shared" si="39"/>
        <v>308833.60316666774</v>
      </c>
      <c r="P106" s="87">
        <f t="shared" si="56"/>
        <v>11438.281944444403</v>
      </c>
      <c r="Q106" s="87">
        <f t="shared" si="57"/>
        <v>-573548.12016666867</v>
      </c>
      <c r="R106" s="87">
        <f t="shared" si="49"/>
        <v>-701003.26183333492</v>
      </c>
      <c r="S106" s="87">
        <f t="shared" si="50"/>
        <v>-1078466.5566666694</v>
      </c>
      <c r="T106" s="87">
        <f t="shared" si="51"/>
        <v>377463.29483333422</v>
      </c>
    </row>
    <row r="107" spans="1:20" ht="12.95" hidden="1" customHeight="1" outlineLevel="1">
      <c r="A107" s="86">
        <v>42613</v>
      </c>
      <c r="B107" s="87">
        <f t="shared" si="53"/>
        <v>-3529527</v>
      </c>
      <c r="C107" s="87">
        <f t="shared" si="53"/>
        <v>-3529527</v>
      </c>
      <c r="D107" s="128"/>
      <c r="E107" s="87">
        <v>0</v>
      </c>
      <c r="F107" s="87">
        <f t="shared" si="52"/>
        <v>-32680.805555555555</v>
      </c>
      <c r="G107" s="128"/>
      <c r="H107" s="87">
        <f t="shared" si="54"/>
        <v>3529527</v>
      </c>
      <c r="I107" s="87">
        <f t="shared" si="54"/>
        <v>2679826.0822222191</v>
      </c>
      <c r="J107" s="128"/>
      <c r="K107" s="87">
        <f t="shared" si="58"/>
        <v>0</v>
      </c>
      <c r="L107" s="87">
        <f t="shared" si="58"/>
        <v>-849700.91777778091</v>
      </c>
      <c r="M107" s="128"/>
      <c r="N107" s="87">
        <f t="shared" si="55"/>
        <v>-849700.91777778091</v>
      </c>
      <c r="O107" s="87">
        <f t="shared" si="39"/>
        <v>297395.32122222328</v>
      </c>
      <c r="P107" s="87">
        <f t="shared" si="56"/>
        <v>11438.281944444461</v>
      </c>
      <c r="Q107" s="87">
        <f t="shared" si="57"/>
        <v>-552305.59655555757</v>
      </c>
      <c r="R107" s="87">
        <f t="shared" si="49"/>
        <v>-679760.73822222406</v>
      </c>
      <c r="S107" s="87">
        <f t="shared" si="50"/>
        <v>-1045785.7511111139</v>
      </c>
      <c r="T107" s="87">
        <f t="shared" si="51"/>
        <v>366025.01288888982</v>
      </c>
    </row>
    <row r="108" spans="1:20" ht="12.95" hidden="1" customHeight="1" outlineLevel="1">
      <c r="A108" s="86">
        <v>42643</v>
      </c>
      <c r="B108" s="87">
        <f t="shared" si="53"/>
        <v>-3529527</v>
      </c>
      <c r="C108" s="87">
        <f t="shared" si="53"/>
        <v>-3529527</v>
      </c>
      <c r="D108" s="128"/>
      <c r="E108" s="87">
        <v>0</v>
      </c>
      <c r="F108" s="87">
        <f t="shared" si="52"/>
        <v>-32680.805555555555</v>
      </c>
      <c r="G108" s="128"/>
      <c r="H108" s="87">
        <f t="shared" si="54"/>
        <v>3529527</v>
      </c>
      <c r="I108" s="87">
        <f t="shared" si="54"/>
        <v>2712506.8877777746</v>
      </c>
      <c r="J108" s="128"/>
      <c r="K108" s="87">
        <f t="shared" si="58"/>
        <v>0</v>
      </c>
      <c r="L108" s="87">
        <f t="shared" si="58"/>
        <v>-817020.11222222541</v>
      </c>
      <c r="M108" s="128"/>
      <c r="N108" s="87">
        <f t="shared" si="55"/>
        <v>-817020.11222222541</v>
      </c>
      <c r="O108" s="87">
        <f t="shared" si="39"/>
        <v>285957.03927777888</v>
      </c>
      <c r="P108" s="87">
        <f t="shared" si="56"/>
        <v>11438.281944444403</v>
      </c>
      <c r="Q108" s="87">
        <f t="shared" si="57"/>
        <v>-531063.07294444647</v>
      </c>
      <c r="R108" s="87">
        <f t="shared" si="49"/>
        <v>-658518.21461111296</v>
      </c>
      <c r="S108" s="87">
        <f t="shared" si="50"/>
        <v>-1013104.9455555583</v>
      </c>
      <c r="T108" s="87">
        <f t="shared" si="51"/>
        <v>354586.73094444541</v>
      </c>
    </row>
    <row r="109" spans="1:20" ht="12.95" hidden="1" customHeight="1" outlineLevel="1">
      <c r="A109" s="85">
        <v>42674</v>
      </c>
      <c r="B109" s="32">
        <f t="shared" si="53"/>
        <v>-3529527</v>
      </c>
      <c r="C109" s="32">
        <f t="shared" si="53"/>
        <v>-3529527</v>
      </c>
      <c r="D109" s="89"/>
      <c r="E109" s="32">
        <v>0</v>
      </c>
      <c r="F109" s="32">
        <f t="shared" si="52"/>
        <v>-32680.805555555555</v>
      </c>
      <c r="G109" s="89"/>
      <c r="H109" s="32">
        <f t="shared" si="54"/>
        <v>3529527</v>
      </c>
      <c r="I109" s="32">
        <f t="shared" si="54"/>
        <v>2745187.6933333301</v>
      </c>
      <c r="J109" s="89"/>
      <c r="K109" s="32">
        <f t="shared" si="58"/>
        <v>0</v>
      </c>
      <c r="L109" s="32">
        <f t="shared" si="58"/>
        <v>-784339.3066666699</v>
      </c>
      <c r="M109" s="89"/>
      <c r="N109" s="32">
        <f t="shared" si="55"/>
        <v>-784339.3066666699</v>
      </c>
      <c r="O109" s="32">
        <f t="shared" si="39"/>
        <v>274518.75733333448</v>
      </c>
      <c r="P109" s="32">
        <f t="shared" si="56"/>
        <v>11438.281944444403</v>
      </c>
      <c r="Q109" s="32">
        <f t="shared" si="57"/>
        <v>-509820.54933333542</v>
      </c>
      <c r="R109" s="32">
        <f t="shared" si="49"/>
        <v>-637275.69100000185</v>
      </c>
      <c r="S109" s="87">
        <f t="shared" si="50"/>
        <v>-980424.14000000292</v>
      </c>
      <c r="T109" s="87">
        <f t="shared" si="51"/>
        <v>343148.44900000101</v>
      </c>
    </row>
    <row r="110" spans="1:20" ht="12.95" hidden="1" customHeight="1" outlineLevel="1">
      <c r="A110" s="85">
        <v>42704</v>
      </c>
      <c r="B110" s="32">
        <f t="shared" si="53"/>
        <v>-3529527</v>
      </c>
      <c r="C110" s="32">
        <f t="shared" si="53"/>
        <v>-3529527</v>
      </c>
      <c r="D110" s="89"/>
      <c r="E110" s="32">
        <v>0</v>
      </c>
      <c r="F110" s="32">
        <f t="shared" si="52"/>
        <v>-32680.805555555555</v>
      </c>
      <c r="G110" s="89"/>
      <c r="H110" s="32">
        <f t="shared" si="54"/>
        <v>3529527</v>
      </c>
      <c r="I110" s="32">
        <f t="shared" si="54"/>
        <v>2777868.4988888856</v>
      </c>
      <c r="J110" s="89"/>
      <c r="K110" s="32">
        <f t="shared" si="58"/>
        <v>0</v>
      </c>
      <c r="L110" s="32">
        <f t="shared" si="58"/>
        <v>-751658.5011111144</v>
      </c>
      <c r="M110" s="89"/>
      <c r="N110" s="32">
        <f t="shared" si="55"/>
        <v>-751658.5011111144</v>
      </c>
      <c r="O110" s="32">
        <f t="shared" si="39"/>
        <v>263080.47538889002</v>
      </c>
      <c r="P110" s="32">
        <f t="shared" si="56"/>
        <v>11438.281944444461</v>
      </c>
      <c r="Q110" s="32">
        <f t="shared" si="57"/>
        <v>-488578.02572222438</v>
      </c>
      <c r="R110" s="32">
        <f t="shared" si="49"/>
        <v>-616033.16738889087</v>
      </c>
      <c r="S110" s="87">
        <f t="shared" si="50"/>
        <v>-947743.33444444742</v>
      </c>
      <c r="T110" s="87">
        <f t="shared" si="51"/>
        <v>331710.16705555661</v>
      </c>
    </row>
    <row r="111" spans="1:20" ht="12.75" hidden="1" customHeight="1" outlineLevel="1">
      <c r="A111" s="85">
        <v>42735</v>
      </c>
      <c r="B111" s="32">
        <f t="shared" si="53"/>
        <v>-3529527</v>
      </c>
      <c r="C111" s="32">
        <f t="shared" si="53"/>
        <v>-3529527</v>
      </c>
      <c r="D111" s="89"/>
      <c r="E111" s="32">
        <v>0</v>
      </c>
      <c r="F111" s="32">
        <f t="shared" si="52"/>
        <v>-32680.805555555555</v>
      </c>
      <c r="G111" s="89"/>
      <c r="H111" s="32">
        <f t="shared" si="54"/>
        <v>3529527</v>
      </c>
      <c r="I111" s="32">
        <f t="shared" si="54"/>
        <v>2810549.3044444411</v>
      </c>
      <c r="J111" s="89"/>
      <c r="K111" s="32">
        <f t="shared" si="58"/>
        <v>0</v>
      </c>
      <c r="L111" s="32">
        <f t="shared" si="58"/>
        <v>-718977.69555555889</v>
      </c>
      <c r="M111" s="89"/>
      <c r="N111" s="32">
        <f t="shared" si="55"/>
        <v>-718977.69555555889</v>
      </c>
      <c r="O111" s="32">
        <f t="shared" si="39"/>
        <v>251642.19344444558</v>
      </c>
      <c r="P111" s="32">
        <f t="shared" si="56"/>
        <v>11438.281944444432</v>
      </c>
      <c r="Q111" s="32">
        <f t="shared" si="57"/>
        <v>-467335.50211111328</v>
      </c>
      <c r="R111" s="32">
        <f t="shared" si="49"/>
        <v>-594790.64377777977</v>
      </c>
      <c r="S111" s="87">
        <f t="shared" si="50"/>
        <v>-915062.52888889203</v>
      </c>
      <c r="T111" s="87">
        <f t="shared" si="51"/>
        <v>320271.88511111215</v>
      </c>
    </row>
    <row r="112" spans="1:20" ht="12.75" hidden="1" customHeight="1" outlineLevel="1">
      <c r="A112" s="85">
        <v>42766</v>
      </c>
      <c r="B112" s="32">
        <f t="shared" si="53"/>
        <v>-3529527</v>
      </c>
      <c r="C112" s="32">
        <f t="shared" si="53"/>
        <v>-3529527</v>
      </c>
      <c r="D112" s="89"/>
      <c r="E112" s="32">
        <v>0</v>
      </c>
      <c r="F112" s="87">
        <f t="shared" si="52"/>
        <v>-32680.805555555555</v>
      </c>
      <c r="G112" s="89"/>
      <c r="H112" s="32">
        <f t="shared" si="54"/>
        <v>3529527</v>
      </c>
      <c r="I112" s="32">
        <f t="shared" si="54"/>
        <v>2843230.1099999966</v>
      </c>
      <c r="J112" s="89"/>
      <c r="K112" s="32">
        <f t="shared" si="58"/>
        <v>0</v>
      </c>
      <c r="L112" s="32">
        <f t="shared" si="58"/>
        <v>-686296.89000000339</v>
      </c>
      <c r="M112" s="89"/>
      <c r="N112" s="32">
        <f t="shared" si="55"/>
        <v>-686296.89000000339</v>
      </c>
      <c r="O112" s="32">
        <f t="shared" si="39"/>
        <v>240203.91150000118</v>
      </c>
      <c r="P112" s="32">
        <f t="shared" si="56"/>
        <v>11438.281944444403</v>
      </c>
      <c r="Q112" s="32">
        <f t="shared" si="57"/>
        <v>-446092.97850000218</v>
      </c>
      <c r="R112" s="32">
        <f t="shared" si="49"/>
        <v>-573548.12016666878</v>
      </c>
      <c r="S112" s="87">
        <f t="shared" si="50"/>
        <v>-882381.7233333363</v>
      </c>
      <c r="T112" s="87">
        <f t="shared" si="51"/>
        <v>308833.60316666774</v>
      </c>
    </row>
    <row r="113" spans="1:20" ht="12.75" hidden="1" customHeight="1" outlineLevel="1" collapsed="1">
      <c r="A113" s="85">
        <v>42794</v>
      </c>
      <c r="B113" s="32">
        <f t="shared" si="53"/>
        <v>-3529527</v>
      </c>
      <c r="C113" s="32">
        <f t="shared" si="53"/>
        <v>-3529527</v>
      </c>
      <c r="D113" s="89"/>
      <c r="E113" s="32">
        <v>0</v>
      </c>
      <c r="F113" s="87">
        <f t="shared" si="52"/>
        <v>-32680.805555555555</v>
      </c>
      <c r="G113" s="89"/>
      <c r="H113" s="32">
        <f t="shared" si="54"/>
        <v>3529527</v>
      </c>
      <c r="I113" s="32">
        <f t="shared" si="54"/>
        <v>2875910.9155555521</v>
      </c>
      <c r="J113" s="89"/>
      <c r="K113" s="32">
        <f t="shared" si="58"/>
        <v>0</v>
      </c>
      <c r="L113" s="32">
        <f t="shared" si="58"/>
        <v>-653616.08444444789</v>
      </c>
      <c r="M113" s="89"/>
      <c r="N113" s="32">
        <f t="shared" si="55"/>
        <v>-653616.08444444789</v>
      </c>
      <c r="O113" s="32">
        <f t="shared" si="39"/>
        <v>228765.62955555675</v>
      </c>
      <c r="P113" s="32">
        <f t="shared" si="56"/>
        <v>11438.281944444432</v>
      </c>
      <c r="Q113" s="32">
        <f t="shared" si="57"/>
        <v>-424850.45488889114</v>
      </c>
      <c r="R113" s="32">
        <f t="shared" si="49"/>
        <v>-552305.59655555757</v>
      </c>
      <c r="S113" s="87">
        <f t="shared" si="50"/>
        <v>-849700.91777778079</v>
      </c>
      <c r="T113" s="87">
        <f t="shared" si="51"/>
        <v>297395.32122222334</v>
      </c>
    </row>
    <row r="114" spans="1:20" ht="12.75" hidden="1" customHeight="1" outlineLevel="1">
      <c r="A114" s="85">
        <v>42825</v>
      </c>
      <c r="B114" s="32">
        <f t="shared" ref="B114:C129" si="59">B113</f>
        <v>-3529527</v>
      </c>
      <c r="C114" s="32">
        <f t="shared" si="59"/>
        <v>-3529527</v>
      </c>
      <c r="D114" s="89"/>
      <c r="E114" s="32">
        <v>0</v>
      </c>
      <c r="F114" s="87">
        <f t="shared" si="52"/>
        <v>-32680.805555555555</v>
      </c>
      <c r="G114" s="89"/>
      <c r="H114" s="32">
        <f t="shared" ref="H114:I129" si="60">H113-E114</f>
        <v>3529527</v>
      </c>
      <c r="I114" s="32">
        <f t="shared" si="60"/>
        <v>2908591.7211111076</v>
      </c>
      <c r="J114" s="89"/>
      <c r="K114" s="32">
        <f t="shared" si="58"/>
        <v>0</v>
      </c>
      <c r="L114" s="32">
        <f t="shared" si="58"/>
        <v>-620935.27888889238</v>
      </c>
      <c r="M114" s="89"/>
      <c r="N114" s="32">
        <f t="shared" si="55"/>
        <v>-620935.27888889238</v>
      </c>
      <c r="O114" s="32">
        <f t="shared" si="39"/>
        <v>217327.34761111232</v>
      </c>
      <c r="P114" s="32">
        <f t="shared" si="56"/>
        <v>11438.281944444432</v>
      </c>
      <c r="Q114" s="32">
        <f t="shared" si="57"/>
        <v>-403607.9312777801</v>
      </c>
      <c r="R114" s="32">
        <f t="shared" si="49"/>
        <v>-531063.07294444658</v>
      </c>
      <c r="S114" s="87">
        <f t="shared" si="50"/>
        <v>-817020.11222222541</v>
      </c>
      <c r="T114" s="87">
        <f t="shared" si="51"/>
        <v>285957.03927777894</v>
      </c>
    </row>
    <row r="115" spans="1:20" s="81" customFormat="1" ht="12.75" hidden="1" customHeight="1" outlineLevel="1">
      <c r="A115" s="86">
        <v>42855</v>
      </c>
      <c r="B115" s="87">
        <f t="shared" si="59"/>
        <v>-3529527</v>
      </c>
      <c r="C115" s="87">
        <f t="shared" si="59"/>
        <v>-3529527</v>
      </c>
      <c r="D115" s="128"/>
      <c r="E115" s="87">
        <v>0</v>
      </c>
      <c r="F115" s="87">
        <f t="shared" si="52"/>
        <v>-32680.805555555555</v>
      </c>
      <c r="G115" s="128"/>
      <c r="H115" s="87">
        <f t="shared" si="60"/>
        <v>3529527</v>
      </c>
      <c r="I115" s="87">
        <f t="shared" si="60"/>
        <v>2941272.5266666631</v>
      </c>
      <c r="J115" s="128"/>
      <c r="K115" s="87">
        <f t="shared" si="58"/>
        <v>0</v>
      </c>
      <c r="L115" s="87">
        <f t="shared" si="58"/>
        <v>-588254.47333333688</v>
      </c>
      <c r="M115" s="128"/>
      <c r="N115" s="87">
        <f t="shared" si="55"/>
        <v>-588254.47333333688</v>
      </c>
      <c r="O115" s="87">
        <f t="shared" si="39"/>
        <v>205889.06566666788</v>
      </c>
      <c r="P115" s="87">
        <f t="shared" si="56"/>
        <v>11438.281944444432</v>
      </c>
      <c r="Q115" s="87">
        <f t="shared" si="57"/>
        <v>-382365.40766666899</v>
      </c>
      <c r="R115" s="87">
        <f t="shared" si="49"/>
        <v>-509820.54933333542</v>
      </c>
      <c r="S115" s="87">
        <f t="shared" si="50"/>
        <v>-784339.3066666699</v>
      </c>
      <c r="T115" s="87">
        <f t="shared" si="51"/>
        <v>274518.75733333454</v>
      </c>
    </row>
    <row r="116" spans="1:20" s="81" customFormat="1" ht="12.75" hidden="1" customHeight="1" outlineLevel="1">
      <c r="A116" s="86">
        <v>42886</v>
      </c>
      <c r="B116" s="87">
        <f t="shared" si="59"/>
        <v>-3529527</v>
      </c>
      <c r="C116" s="87">
        <f t="shared" si="59"/>
        <v>-3529527</v>
      </c>
      <c r="D116" s="128"/>
      <c r="E116" s="87">
        <v>0</v>
      </c>
      <c r="F116" s="87">
        <f t="shared" si="52"/>
        <v>-32680.805555555555</v>
      </c>
      <c r="G116" s="128"/>
      <c r="H116" s="87">
        <f t="shared" si="60"/>
        <v>3529527</v>
      </c>
      <c r="I116" s="87">
        <f t="shared" si="60"/>
        <v>2973953.3322222186</v>
      </c>
      <c r="J116" s="128"/>
      <c r="K116" s="87">
        <f t="shared" si="58"/>
        <v>0</v>
      </c>
      <c r="L116" s="87">
        <f t="shared" si="58"/>
        <v>-555573.66777778137</v>
      </c>
      <c r="M116" s="128"/>
      <c r="N116" s="87">
        <f t="shared" si="55"/>
        <v>-555573.66777778137</v>
      </c>
      <c r="O116" s="87">
        <f t="shared" si="39"/>
        <v>194450.78372222348</v>
      </c>
      <c r="P116" s="87">
        <f t="shared" si="56"/>
        <v>11438.281944444403</v>
      </c>
      <c r="Q116" s="87">
        <f t="shared" si="57"/>
        <v>-361122.88405555789</v>
      </c>
      <c r="R116" s="87">
        <f t="shared" si="49"/>
        <v>-488578.02572222432</v>
      </c>
      <c r="S116" s="87">
        <f t="shared" si="50"/>
        <v>-751658.50111111428</v>
      </c>
      <c r="T116" s="87">
        <f t="shared" si="51"/>
        <v>263080.47538889007</v>
      </c>
    </row>
    <row r="117" spans="1:20" s="81" customFormat="1" ht="12.75" hidden="1" customHeight="1" outlineLevel="1">
      <c r="A117" s="86">
        <v>42916</v>
      </c>
      <c r="B117" s="87">
        <f t="shared" si="59"/>
        <v>-3529527</v>
      </c>
      <c r="C117" s="87">
        <f t="shared" si="59"/>
        <v>-3529527</v>
      </c>
      <c r="D117" s="128"/>
      <c r="E117" s="87">
        <v>0</v>
      </c>
      <c r="F117" s="87">
        <f t="shared" si="52"/>
        <v>-32680.805555555555</v>
      </c>
      <c r="G117" s="128"/>
      <c r="H117" s="87">
        <f t="shared" si="60"/>
        <v>3529527</v>
      </c>
      <c r="I117" s="87">
        <f t="shared" si="60"/>
        <v>3006634.1377777741</v>
      </c>
      <c r="J117" s="128"/>
      <c r="K117" s="87">
        <f t="shared" si="58"/>
        <v>0</v>
      </c>
      <c r="L117" s="87">
        <f t="shared" si="58"/>
        <v>-522892.86222222587</v>
      </c>
      <c r="M117" s="128"/>
      <c r="N117" s="87">
        <f t="shared" si="55"/>
        <v>-522892.86222222587</v>
      </c>
      <c r="O117" s="87">
        <f t="shared" si="39"/>
        <v>183012.50177777905</v>
      </c>
      <c r="P117" s="87">
        <f t="shared" si="56"/>
        <v>11438.281944444432</v>
      </c>
      <c r="Q117" s="87">
        <f t="shared" si="57"/>
        <v>-339880.36044444679</v>
      </c>
      <c r="R117" s="87">
        <f t="shared" si="49"/>
        <v>-467335.50211111322</v>
      </c>
      <c r="S117" s="87">
        <f t="shared" si="50"/>
        <v>-718977.69555555889</v>
      </c>
      <c r="T117" s="87">
        <f t="shared" si="51"/>
        <v>251642.19344444564</v>
      </c>
    </row>
    <row r="118" spans="1:20" s="81" customFormat="1" ht="12.75" hidden="1" customHeight="1" outlineLevel="1">
      <c r="A118" s="86">
        <v>42947</v>
      </c>
      <c r="B118" s="87">
        <f t="shared" si="59"/>
        <v>-3529527</v>
      </c>
      <c r="C118" s="87">
        <f t="shared" si="59"/>
        <v>-3529527</v>
      </c>
      <c r="D118" s="128"/>
      <c r="E118" s="87">
        <v>0</v>
      </c>
      <c r="F118" s="87">
        <f t="shared" si="52"/>
        <v>-32680.805555555555</v>
      </c>
      <c r="G118" s="128"/>
      <c r="H118" s="87">
        <f t="shared" si="60"/>
        <v>3529527</v>
      </c>
      <c r="I118" s="87">
        <f t="shared" si="60"/>
        <v>3039314.9433333296</v>
      </c>
      <c r="J118" s="128"/>
      <c r="K118" s="87">
        <f t="shared" si="58"/>
        <v>0</v>
      </c>
      <c r="L118" s="87">
        <f t="shared" si="58"/>
        <v>-490212.05666667037</v>
      </c>
      <c r="M118" s="128"/>
      <c r="N118" s="87">
        <f t="shared" si="55"/>
        <v>-490212.05666667037</v>
      </c>
      <c r="O118" s="87">
        <f t="shared" si="39"/>
        <v>171574.21983333462</v>
      </c>
      <c r="P118" s="87">
        <f t="shared" si="56"/>
        <v>11438.281944444432</v>
      </c>
      <c r="Q118" s="87">
        <f t="shared" si="57"/>
        <v>-318637.83683333575</v>
      </c>
      <c r="R118" s="87">
        <f t="shared" si="49"/>
        <v>-446092.97850000212</v>
      </c>
      <c r="S118" s="87">
        <f t="shared" si="50"/>
        <v>-686296.89000000327</v>
      </c>
      <c r="T118" s="87">
        <f t="shared" si="51"/>
        <v>240203.91150000112</v>
      </c>
    </row>
    <row r="119" spans="1:20" s="81" customFormat="1" ht="12.75" hidden="1" customHeight="1" outlineLevel="1">
      <c r="A119" s="86">
        <v>42978</v>
      </c>
      <c r="B119" s="87">
        <f t="shared" si="59"/>
        <v>-3529527</v>
      </c>
      <c r="C119" s="87">
        <f t="shared" si="59"/>
        <v>-3529527</v>
      </c>
      <c r="D119" s="128"/>
      <c r="E119" s="87">
        <v>0</v>
      </c>
      <c r="F119" s="87">
        <f t="shared" si="52"/>
        <v>-32680.805555555555</v>
      </c>
      <c r="G119" s="128"/>
      <c r="H119" s="87">
        <f t="shared" si="60"/>
        <v>3529527</v>
      </c>
      <c r="I119" s="87">
        <f t="shared" si="60"/>
        <v>3071995.7488888851</v>
      </c>
      <c r="J119" s="128"/>
      <c r="K119" s="87">
        <f t="shared" si="58"/>
        <v>0</v>
      </c>
      <c r="L119" s="87">
        <f t="shared" si="58"/>
        <v>-457531.25111111486</v>
      </c>
      <c r="M119" s="128"/>
      <c r="N119" s="87">
        <f t="shared" si="55"/>
        <v>-457531.25111111486</v>
      </c>
      <c r="O119" s="87">
        <f t="shared" si="39"/>
        <v>160135.93788889018</v>
      </c>
      <c r="P119" s="87">
        <f t="shared" si="56"/>
        <v>11438.281944444432</v>
      </c>
      <c r="Q119" s="87">
        <f t="shared" si="57"/>
        <v>-297395.31322222471</v>
      </c>
      <c r="R119" s="87">
        <f t="shared" si="49"/>
        <v>-424850.45488889114</v>
      </c>
      <c r="S119" s="87">
        <f t="shared" si="50"/>
        <v>-653616.08444444789</v>
      </c>
      <c r="T119" s="87">
        <f t="shared" si="51"/>
        <v>228765.62955555669</v>
      </c>
    </row>
    <row r="120" spans="1:20" s="81" customFormat="1" ht="12.75" hidden="1" customHeight="1" outlineLevel="1">
      <c r="A120" s="86">
        <v>43008</v>
      </c>
      <c r="B120" s="87">
        <f t="shared" si="59"/>
        <v>-3529527</v>
      </c>
      <c r="C120" s="87">
        <f t="shared" si="59"/>
        <v>-3529527</v>
      </c>
      <c r="D120" s="128"/>
      <c r="E120" s="87">
        <v>0</v>
      </c>
      <c r="F120" s="87">
        <f t="shared" si="52"/>
        <v>-32680.805555555555</v>
      </c>
      <c r="G120" s="128"/>
      <c r="H120" s="87">
        <f t="shared" si="60"/>
        <v>3529527</v>
      </c>
      <c r="I120" s="87">
        <f t="shared" si="60"/>
        <v>3104676.5544444406</v>
      </c>
      <c r="J120" s="128"/>
      <c r="K120" s="87">
        <f t="shared" si="58"/>
        <v>0</v>
      </c>
      <c r="L120" s="87">
        <f t="shared" si="58"/>
        <v>-424850.44555555936</v>
      </c>
      <c r="M120" s="128"/>
      <c r="N120" s="87">
        <f t="shared" si="55"/>
        <v>-424850.44555555936</v>
      </c>
      <c r="O120" s="87">
        <f t="shared" si="39"/>
        <v>148697.65594444575</v>
      </c>
      <c r="P120" s="87">
        <f t="shared" si="56"/>
        <v>11438.281944444432</v>
      </c>
      <c r="Q120" s="87">
        <f t="shared" si="57"/>
        <v>-276152.78961111361</v>
      </c>
      <c r="R120" s="87">
        <f t="shared" si="49"/>
        <v>-403607.93127778004</v>
      </c>
      <c r="S120" s="87">
        <f t="shared" si="50"/>
        <v>-620935.27888889227</v>
      </c>
      <c r="T120" s="87">
        <f t="shared" si="51"/>
        <v>217327.34761111232</v>
      </c>
    </row>
    <row r="121" spans="1:20" s="81" customFormat="1" ht="12.75" hidden="1" customHeight="1" outlineLevel="1">
      <c r="A121" s="86">
        <v>43039</v>
      </c>
      <c r="B121" s="87">
        <f t="shared" si="59"/>
        <v>-3529527</v>
      </c>
      <c r="C121" s="87">
        <f t="shared" si="59"/>
        <v>-3529527</v>
      </c>
      <c r="D121" s="128"/>
      <c r="E121" s="87">
        <v>0</v>
      </c>
      <c r="F121" s="87">
        <f t="shared" si="52"/>
        <v>-32680.805555555555</v>
      </c>
      <c r="G121" s="128"/>
      <c r="H121" s="87">
        <f t="shared" si="60"/>
        <v>3529527</v>
      </c>
      <c r="I121" s="87">
        <f t="shared" si="60"/>
        <v>3137357.3599999961</v>
      </c>
      <c r="J121" s="128"/>
      <c r="K121" s="87">
        <f t="shared" si="58"/>
        <v>0</v>
      </c>
      <c r="L121" s="87">
        <f t="shared" si="58"/>
        <v>-392169.64000000386</v>
      </c>
      <c r="M121" s="128"/>
      <c r="N121" s="87">
        <f t="shared" si="55"/>
        <v>-392169.64000000386</v>
      </c>
      <c r="O121" s="87">
        <f t="shared" si="39"/>
        <v>137259.37400000135</v>
      </c>
      <c r="P121" s="87">
        <f t="shared" si="56"/>
        <v>11438.281944444403</v>
      </c>
      <c r="Q121" s="87">
        <f>L121+O121</f>
        <v>-254910.26600000251</v>
      </c>
      <c r="R121" s="87">
        <f t="shared" si="49"/>
        <v>-382365.40766666905</v>
      </c>
      <c r="S121" s="87">
        <f t="shared" si="50"/>
        <v>-588254.47333333688</v>
      </c>
      <c r="T121" s="87">
        <f t="shared" si="51"/>
        <v>205889.06566666791</v>
      </c>
    </row>
    <row r="122" spans="1:20" s="81" customFormat="1" ht="12.75" hidden="1" customHeight="1" outlineLevel="1">
      <c r="A122" s="86">
        <v>43069</v>
      </c>
      <c r="B122" s="87">
        <f t="shared" si="59"/>
        <v>-3529527</v>
      </c>
      <c r="C122" s="87">
        <f t="shared" si="59"/>
        <v>-3529527</v>
      </c>
      <c r="D122" s="128"/>
      <c r="E122" s="87">
        <v>0</v>
      </c>
      <c r="F122" s="87">
        <f t="shared" si="52"/>
        <v>-32680.805555555555</v>
      </c>
      <c r="G122" s="128"/>
      <c r="H122" s="87">
        <f t="shared" si="60"/>
        <v>3529527</v>
      </c>
      <c r="I122" s="87">
        <f t="shared" si="60"/>
        <v>3170038.1655555516</v>
      </c>
      <c r="J122" s="128"/>
      <c r="K122" s="87">
        <f t="shared" si="58"/>
        <v>0</v>
      </c>
      <c r="L122" s="87">
        <f t="shared" si="58"/>
        <v>-359488.83444444835</v>
      </c>
      <c r="M122" s="128"/>
      <c r="N122" s="87">
        <f t="shared" si="55"/>
        <v>-359488.83444444835</v>
      </c>
      <c r="O122" s="87">
        <f t="shared" si="39"/>
        <v>125821.09205555692</v>
      </c>
      <c r="P122" s="87">
        <f t="shared" si="56"/>
        <v>11438.281944444432</v>
      </c>
      <c r="Q122" s="87">
        <f t="shared" si="57"/>
        <v>-233667.74238889143</v>
      </c>
      <c r="R122" s="87">
        <f t="shared" si="49"/>
        <v>-361122.88405555795</v>
      </c>
      <c r="S122" s="87">
        <f t="shared" si="50"/>
        <v>-555573.66777778126</v>
      </c>
      <c r="T122" s="87">
        <f t="shared" si="51"/>
        <v>194450.78372222348</v>
      </c>
    </row>
    <row r="123" spans="1:20" s="81" customFormat="1" ht="12.75" hidden="1" customHeight="1" outlineLevel="1">
      <c r="A123" s="86">
        <v>43100</v>
      </c>
      <c r="B123" s="87">
        <f t="shared" si="59"/>
        <v>-3529527</v>
      </c>
      <c r="C123" s="87">
        <f t="shared" si="59"/>
        <v>-3529527</v>
      </c>
      <c r="D123" s="128"/>
      <c r="E123" s="87">
        <v>0</v>
      </c>
      <c r="F123" s="87">
        <f t="shared" si="52"/>
        <v>-32680.805555555555</v>
      </c>
      <c r="G123" s="128"/>
      <c r="H123" s="87">
        <f t="shared" si="60"/>
        <v>3529527</v>
      </c>
      <c r="I123" s="87">
        <f t="shared" si="60"/>
        <v>3202718.9711111072</v>
      </c>
      <c r="J123" s="128"/>
      <c r="K123" s="87">
        <f t="shared" si="58"/>
        <v>0</v>
      </c>
      <c r="L123" s="87">
        <f t="shared" si="58"/>
        <v>-326808.02888889285</v>
      </c>
      <c r="M123" s="128"/>
      <c r="N123" s="87">
        <f t="shared" si="55"/>
        <v>-326808.02888889285</v>
      </c>
      <c r="O123" s="87">
        <f t="shared" si="39"/>
        <v>114382.81011111249</v>
      </c>
      <c r="P123" s="87">
        <f t="shared" si="56"/>
        <v>11438.281944444432</v>
      </c>
      <c r="Q123" s="87">
        <f t="shared" si="57"/>
        <v>-212425.21877778036</v>
      </c>
      <c r="R123" s="87">
        <f t="shared" si="49"/>
        <v>-339880.36044444685</v>
      </c>
      <c r="S123" s="87">
        <f t="shared" si="50"/>
        <v>-522892.86222222587</v>
      </c>
      <c r="T123" s="87">
        <f t="shared" si="51"/>
        <v>183012.50177777905</v>
      </c>
    </row>
    <row r="124" spans="1:20" s="81" customFormat="1" ht="12.75" customHeight="1" collapsed="1">
      <c r="A124" s="86">
        <v>43131</v>
      </c>
      <c r="B124" s="87">
        <f t="shared" si="59"/>
        <v>-3529527</v>
      </c>
      <c r="C124" s="87">
        <f t="shared" si="59"/>
        <v>-3529527</v>
      </c>
      <c r="D124" s="128"/>
      <c r="E124" s="87">
        <v>0</v>
      </c>
      <c r="F124" s="87">
        <f t="shared" si="52"/>
        <v>-32680.805555555555</v>
      </c>
      <c r="G124" s="128"/>
      <c r="H124" s="87">
        <f t="shared" si="60"/>
        <v>3529527</v>
      </c>
      <c r="I124" s="87">
        <f t="shared" si="60"/>
        <v>3235399.7766666627</v>
      </c>
      <c r="J124" s="128"/>
      <c r="K124" s="87">
        <f t="shared" si="58"/>
        <v>0</v>
      </c>
      <c r="L124" s="87">
        <f t="shared" si="58"/>
        <v>-294127.22333333734</v>
      </c>
      <c r="M124" s="128"/>
      <c r="N124" s="87">
        <f t="shared" si="55"/>
        <v>-294127.22333333734</v>
      </c>
      <c r="O124" s="87">
        <f>F124*O10+O123</f>
        <v>107519.84094444582</v>
      </c>
      <c r="P124" s="87">
        <f t="shared" si="56"/>
        <v>6862.9691666666622</v>
      </c>
      <c r="Q124" s="87">
        <f t="shared" si="57"/>
        <v>-186607.38238889154</v>
      </c>
      <c r="R124" s="87">
        <f t="shared" si="49"/>
        <v>-318447.19880092837</v>
      </c>
      <c r="S124" s="87">
        <f t="shared" si="50"/>
        <v>-490212.05666667037</v>
      </c>
      <c r="T124" s="87">
        <f t="shared" si="51"/>
        <v>171764.85786574203</v>
      </c>
    </row>
    <row r="125" spans="1:20" s="81" customFormat="1" ht="12.75" customHeight="1">
      <c r="A125" s="86">
        <v>43159</v>
      </c>
      <c r="B125" s="87">
        <f t="shared" si="59"/>
        <v>-3529527</v>
      </c>
      <c r="C125" s="87">
        <f t="shared" si="59"/>
        <v>-3529527</v>
      </c>
      <c r="D125" s="128"/>
      <c r="E125" s="87">
        <v>0</v>
      </c>
      <c r="F125" s="87">
        <f t="shared" si="52"/>
        <v>-32680.805555555555</v>
      </c>
      <c r="G125" s="128"/>
      <c r="H125" s="87">
        <f t="shared" si="60"/>
        <v>3529527</v>
      </c>
      <c r="I125" s="87">
        <f t="shared" si="60"/>
        <v>3268080.5822222182</v>
      </c>
      <c r="J125" s="128"/>
      <c r="K125" s="87">
        <f t="shared" si="58"/>
        <v>0</v>
      </c>
      <c r="L125" s="87">
        <f t="shared" si="58"/>
        <v>-261446.41777778184</v>
      </c>
      <c r="M125" s="128"/>
      <c r="N125" s="87">
        <f t="shared" si="55"/>
        <v>-261446.41777778184</v>
      </c>
      <c r="O125" s="87">
        <f t="shared" ref="O125:O151" si="61">F125*$O$10+O124</f>
        <v>100656.87177777916</v>
      </c>
      <c r="P125" s="87">
        <f t="shared" si="56"/>
        <v>6862.9691666666622</v>
      </c>
      <c r="Q125" s="87">
        <f t="shared" si="57"/>
        <v>-160789.54600000268</v>
      </c>
      <c r="R125" s="87">
        <f t="shared" si="49"/>
        <v>-296632.76109259506</v>
      </c>
      <c r="S125" s="87">
        <f t="shared" si="50"/>
        <v>-457531.25111111486</v>
      </c>
      <c r="T125" s="87">
        <f t="shared" si="51"/>
        <v>160898.49001851981</v>
      </c>
    </row>
    <row r="126" spans="1:20" s="81" customFormat="1" ht="12.75" customHeight="1">
      <c r="A126" s="86">
        <v>43190</v>
      </c>
      <c r="B126" s="87">
        <f t="shared" si="59"/>
        <v>-3529527</v>
      </c>
      <c r="C126" s="87">
        <f t="shared" si="59"/>
        <v>-3529527</v>
      </c>
      <c r="D126" s="128"/>
      <c r="E126" s="87">
        <v>0</v>
      </c>
      <c r="F126" s="87">
        <f t="shared" si="52"/>
        <v>-32680.805555555555</v>
      </c>
      <c r="G126" s="128"/>
      <c r="H126" s="87">
        <f t="shared" si="60"/>
        <v>3529527</v>
      </c>
      <c r="I126" s="87">
        <f t="shared" si="60"/>
        <v>3300761.3877777737</v>
      </c>
      <c r="J126" s="128"/>
      <c r="K126" s="87">
        <f t="shared" si="58"/>
        <v>0</v>
      </c>
      <c r="L126" s="87">
        <f t="shared" si="58"/>
        <v>-228765.61222222634</v>
      </c>
      <c r="M126" s="128"/>
      <c r="N126" s="87">
        <f t="shared" si="55"/>
        <v>-228765.61222222634</v>
      </c>
      <c r="O126" s="87">
        <f t="shared" si="61"/>
        <v>93793.902611112499</v>
      </c>
      <c r="P126" s="87">
        <f t="shared" si="56"/>
        <v>6862.9691666666622</v>
      </c>
      <c r="Q126" s="87">
        <f t="shared" si="57"/>
        <v>-134971.70961111382</v>
      </c>
      <c r="R126" s="87">
        <f t="shared" si="49"/>
        <v>-274437.04731944698</v>
      </c>
      <c r="S126" s="87">
        <f t="shared" si="50"/>
        <v>-424850.44555555942</v>
      </c>
      <c r="T126" s="87">
        <f t="shared" si="51"/>
        <v>150413.39823611244</v>
      </c>
    </row>
    <row r="127" spans="1:20" s="81" customFormat="1" ht="12.75" customHeight="1">
      <c r="A127" s="86">
        <v>43220</v>
      </c>
      <c r="B127" s="87">
        <f t="shared" si="59"/>
        <v>-3529527</v>
      </c>
      <c r="C127" s="87">
        <f t="shared" si="59"/>
        <v>-3529527</v>
      </c>
      <c r="D127" s="128"/>
      <c r="E127" s="87">
        <v>0</v>
      </c>
      <c r="F127" s="87">
        <f t="shared" si="52"/>
        <v>-32680.805555555555</v>
      </c>
      <c r="G127" s="128"/>
      <c r="H127" s="87">
        <f t="shared" si="60"/>
        <v>3529527</v>
      </c>
      <c r="I127" s="87">
        <f t="shared" si="60"/>
        <v>3333442.1933333292</v>
      </c>
      <c r="J127" s="128"/>
      <c r="K127" s="87">
        <f t="shared" si="58"/>
        <v>0</v>
      </c>
      <c r="L127" s="87">
        <f t="shared" si="58"/>
        <v>-196084.80666667083</v>
      </c>
      <c r="M127" s="128"/>
      <c r="N127" s="87">
        <f t="shared" si="55"/>
        <v>-196084.80666667083</v>
      </c>
      <c r="O127" s="87">
        <f t="shared" si="61"/>
        <v>86930.933444445836</v>
      </c>
      <c r="P127" s="87">
        <f t="shared" si="56"/>
        <v>6862.9691666666622</v>
      </c>
      <c r="Q127" s="87">
        <f t="shared" si="57"/>
        <v>-109153.873222225</v>
      </c>
      <c r="R127" s="87">
        <f t="shared" si="49"/>
        <v>-251860.05748148402</v>
      </c>
      <c r="S127" s="87">
        <f t="shared" si="50"/>
        <v>-392169.64000000386</v>
      </c>
      <c r="T127" s="87">
        <f t="shared" si="51"/>
        <v>140309.58251851986</v>
      </c>
    </row>
    <row r="128" spans="1:20" s="81" customFormat="1" ht="12.75" customHeight="1">
      <c r="A128" s="86">
        <v>43251</v>
      </c>
      <c r="B128" s="87">
        <f t="shared" si="59"/>
        <v>-3529527</v>
      </c>
      <c r="C128" s="87">
        <f t="shared" si="59"/>
        <v>-3529527</v>
      </c>
      <c r="D128" s="128"/>
      <c r="E128" s="87">
        <v>0</v>
      </c>
      <c r="F128" s="87">
        <f t="shared" ref="F128:F133" si="62">$C$27/$E$5</f>
        <v>-32680.805555555555</v>
      </c>
      <c r="G128" s="128"/>
      <c r="H128" s="87">
        <f t="shared" si="60"/>
        <v>3529527</v>
      </c>
      <c r="I128" s="87">
        <f t="shared" si="60"/>
        <v>3366122.9988888847</v>
      </c>
      <c r="J128" s="128"/>
      <c r="K128" s="87">
        <f t="shared" si="58"/>
        <v>0</v>
      </c>
      <c r="L128" s="87">
        <f t="shared" si="58"/>
        <v>-163404.00111111533</v>
      </c>
      <c r="M128" s="128"/>
      <c r="N128" s="87">
        <f t="shared" si="55"/>
        <v>-163404.00111111533</v>
      </c>
      <c r="O128" s="87">
        <f t="shared" si="61"/>
        <v>80067.964277779174</v>
      </c>
      <c r="P128" s="87">
        <f t="shared" si="56"/>
        <v>6862.9691666666622</v>
      </c>
      <c r="Q128" s="87">
        <f t="shared" si="57"/>
        <v>-83336.036833336155</v>
      </c>
      <c r="R128" s="87">
        <f t="shared" si="49"/>
        <v>-228901.79157870627</v>
      </c>
      <c r="S128" s="87">
        <f t="shared" si="50"/>
        <v>-359488.83444444835</v>
      </c>
      <c r="T128" s="87">
        <f t="shared" si="51"/>
        <v>130587.04286574207</v>
      </c>
    </row>
    <row r="129" spans="1:25" s="81" customFormat="1" ht="12.75" customHeight="1">
      <c r="A129" s="86">
        <v>43281</v>
      </c>
      <c r="B129" s="87">
        <f t="shared" si="59"/>
        <v>-3529527</v>
      </c>
      <c r="C129" s="87">
        <f t="shared" si="59"/>
        <v>-3529527</v>
      </c>
      <c r="D129" s="128"/>
      <c r="E129" s="87">
        <v>0</v>
      </c>
      <c r="F129" s="87">
        <f t="shared" si="62"/>
        <v>-32680.805555555555</v>
      </c>
      <c r="G129" s="128"/>
      <c r="H129" s="87">
        <f t="shared" si="60"/>
        <v>3529527</v>
      </c>
      <c r="I129" s="87">
        <f t="shared" si="60"/>
        <v>3398803.8044444402</v>
      </c>
      <c r="J129" s="128"/>
      <c r="K129" s="87">
        <f t="shared" si="58"/>
        <v>0</v>
      </c>
      <c r="L129" s="87">
        <f t="shared" si="58"/>
        <v>-130723.19555555983</v>
      </c>
      <c r="M129" s="128"/>
      <c r="N129" s="87">
        <f t="shared" si="55"/>
        <v>-130723.19555555983</v>
      </c>
      <c r="O129" s="87">
        <f t="shared" si="61"/>
        <v>73204.995111112512</v>
      </c>
      <c r="P129" s="87">
        <f t="shared" si="56"/>
        <v>6862.9691666666622</v>
      </c>
      <c r="Q129" s="87">
        <f t="shared" si="57"/>
        <v>-57518.200444447313</v>
      </c>
      <c r="R129" s="87">
        <f t="shared" si="49"/>
        <v>-205562.24961111372</v>
      </c>
      <c r="S129" s="87">
        <f t="shared" si="50"/>
        <v>-326808.02888889285</v>
      </c>
      <c r="T129" s="87">
        <f t="shared" si="51"/>
        <v>121245.77927777912</v>
      </c>
    </row>
    <row r="130" spans="1:25" s="81" customFormat="1" ht="12.75" customHeight="1">
      <c r="A130" s="86">
        <v>43312</v>
      </c>
      <c r="B130" s="87">
        <f t="shared" ref="B130:C145" si="63">B129</f>
        <v>-3529527</v>
      </c>
      <c r="C130" s="87">
        <f t="shared" si="63"/>
        <v>-3529527</v>
      </c>
      <c r="D130" s="128"/>
      <c r="E130" s="87">
        <v>0</v>
      </c>
      <c r="F130" s="87">
        <f t="shared" si="62"/>
        <v>-32680.805555555555</v>
      </c>
      <c r="G130" s="128"/>
      <c r="H130" s="87">
        <f t="shared" ref="H130:I145" si="64">H129-E130</f>
        <v>3529527</v>
      </c>
      <c r="I130" s="87">
        <f t="shared" si="64"/>
        <v>3431484.6099999957</v>
      </c>
      <c r="J130" s="128"/>
      <c r="K130" s="87">
        <f t="shared" si="58"/>
        <v>0</v>
      </c>
      <c r="L130" s="87">
        <f t="shared" si="58"/>
        <v>-98042.390000004321</v>
      </c>
      <c r="M130" s="128"/>
      <c r="N130" s="87">
        <f>L130-K130</f>
        <v>-98042.390000004321</v>
      </c>
      <c r="O130" s="87">
        <f t="shared" si="61"/>
        <v>66342.02594444585</v>
      </c>
      <c r="P130" s="87">
        <f>-O130+O129</f>
        <v>6862.9691666666622</v>
      </c>
      <c r="Q130" s="87">
        <f>L130+O130</f>
        <v>-31700.364055558472</v>
      </c>
      <c r="R130" s="87">
        <f t="shared" si="49"/>
        <v>-181841.43157870637</v>
      </c>
      <c r="S130" s="87">
        <f t="shared" si="50"/>
        <v>-294127.22333333734</v>
      </c>
      <c r="T130" s="87">
        <f t="shared" si="51"/>
        <v>112285.79175463099</v>
      </c>
    </row>
    <row r="131" spans="1:25" s="81" customFormat="1" ht="12.75" customHeight="1">
      <c r="A131" s="86">
        <v>43343</v>
      </c>
      <c r="B131" s="87">
        <f t="shared" si="63"/>
        <v>-3529527</v>
      </c>
      <c r="C131" s="87">
        <f t="shared" si="63"/>
        <v>-3529527</v>
      </c>
      <c r="D131" s="128"/>
      <c r="E131" s="87">
        <v>0</v>
      </c>
      <c r="F131" s="87">
        <f t="shared" si="62"/>
        <v>-32680.805555555555</v>
      </c>
      <c r="G131" s="128"/>
      <c r="H131" s="87">
        <f t="shared" si="64"/>
        <v>3529527</v>
      </c>
      <c r="I131" s="87">
        <f t="shared" si="64"/>
        <v>3464165.4155555512</v>
      </c>
      <c r="J131" s="128"/>
      <c r="K131" s="87">
        <f t="shared" si="58"/>
        <v>0</v>
      </c>
      <c r="L131" s="87">
        <f t="shared" si="58"/>
        <v>-65361.584444448818</v>
      </c>
      <c r="M131" s="128"/>
      <c r="N131" s="87">
        <f>L131-K131</f>
        <v>-65361.584444448818</v>
      </c>
      <c r="O131" s="87">
        <f t="shared" si="61"/>
        <v>59479.056777779188</v>
      </c>
      <c r="P131" s="87">
        <f>-O131+O130</f>
        <v>6862.9691666666622</v>
      </c>
      <c r="Q131" s="87">
        <f>L131+O131</f>
        <v>-5882.52766666963</v>
      </c>
      <c r="R131" s="87">
        <f t="shared" si="49"/>
        <v>-157739.33748148417</v>
      </c>
      <c r="S131" s="87">
        <f t="shared" si="50"/>
        <v>-261446.41777778184</v>
      </c>
      <c r="T131" s="87">
        <f t="shared" si="51"/>
        <v>103707.08029629767</v>
      </c>
    </row>
    <row r="132" spans="1:25" s="81" customFormat="1" ht="12.75" customHeight="1">
      <c r="A132" s="86">
        <v>43373</v>
      </c>
      <c r="B132" s="87">
        <f t="shared" si="63"/>
        <v>-3529527</v>
      </c>
      <c r="C132" s="87">
        <f t="shared" si="63"/>
        <v>-3529527</v>
      </c>
      <c r="D132" s="128"/>
      <c r="E132" s="87">
        <v>0</v>
      </c>
      <c r="F132" s="87">
        <f t="shared" si="62"/>
        <v>-32680.805555555555</v>
      </c>
      <c r="G132" s="128"/>
      <c r="H132" s="87">
        <f t="shared" si="64"/>
        <v>3529527</v>
      </c>
      <c r="I132" s="87">
        <f t="shared" si="64"/>
        <v>3496846.2211111067</v>
      </c>
      <c r="J132" s="128"/>
      <c r="K132" s="87">
        <f t="shared" ref="K132:L145" si="65">B132+H132</f>
        <v>0</v>
      </c>
      <c r="L132" s="87">
        <f>C132+I132</f>
        <v>-32680.778888893314</v>
      </c>
      <c r="M132" s="128"/>
      <c r="N132" s="87">
        <f>L132-K132</f>
        <v>-32680.778888893314</v>
      </c>
      <c r="O132" s="87">
        <f t="shared" si="61"/>
        <v>52616.087611112525</v>
      </c>
      <c r="P132" s="87">
        <f>-O132+O131</f>
        <v>6862.9691666666622</v>
      </c>
      <c r="Q132" s="87">
        <f>L132+O132</f>
        <v>19935.308722219212</v>
      </c>
      <c r="R132" s="87">
        <f t="shared" si="49"/>
        <v>-133255.96731944717</v>
      </c>
      <c r="S132" s="87">
        <f t="shared" si="50"/>
        <v>-228765.61222222634</v>
      </c>
      <c r="T132" s="87">
        <f t="shared" si="51"/>
        <v>95509.644902779153</v>
      </c>
    </row>
    <row r="133" spans="1:25" s="81" customFormat="1" ht="12.75" customHeight="1">
      <c r="A133" s="86">
        <v>43404</v>
      </c>
      <c r="B133" s="87">
        <f t="shared" si="63"/>
        <v>-3529527</v>
      </c>
      <c r="C133" s="87">
        <f t="shared" si="63"/>
        <v>-3529527</v>
      </c>
      <c r="D133" s="128"/>
      <c r="E133" s="87">
        <v>0</v>
      </c>
      <c r="F133" s="87">
        <f t="shared" si="62"/>
        <v>-32680.805555555555</v>
      </c>
      <c r="G133" s="128"/>
      <c r="H133" s="87">
        <f t="shared" si="64"/>
        <v>3529527</v>
      </c>
      <c r="I133" s="87">
        <f t="shared" si="64"/>
        <v>3529527.0266666622</v>
      </c>
      <c r="J133" s="128"/>
      <c r="K133" s="87">
        <f t="shared" si="65"/>
        <v>0</v>
      </c>
      <c r="L133" s="87">
        <f t="shared" ref="L133:L134" si="66">C133+I133</f>
        <v>2.6666662190109491E-2</v>
      </c>
      <c r="M133" s="128"/>
      <c r="N133" s="87">
        <f t="shared" ref="N133:N134" si="67">L133-K133</f>
        <v>2.6666662190109491E-2</v>
      </c>
      <c r="O133" s="87">
        <f t="shared" si="61"/>
        <v>45753.118444445863</v>
      </c>
      <c r="P133" s="87">
        <f t="shared" ref="P133:P151" si="68">-O133+O132</f>
        <v>6862.9691666666622</v>
      </c>
      <c r="Q133" s="87">
        <f t="shared" ref="Q133:Q136" si="69">L133+O133</f>
        <v>45753.145111108053</v>
      </c>
      <c r="R133" s="87">
        <f t="shared" si="49"/>
        <v>-108391.32109259539</v>
      </c>
      <c r="S133" s="87">
        <f t="shared" si="50"/>
        <v>-196084.80666667083</v>
      </c>
      <c r="T133" s="87">
        <f t="shared" si="51"/>
        <v>87693.485574075472</v>
      </c>
      <c r="W133"/>
      <c r="X133"/>
      <c r="Y133"/>
    </row>
    <row r="134" spans="1:25" s="81" customFormat="1" ht="12.75" customHeight="1">
      <c r="A134" s="86">
        <v>43434</v>
      </c>
      <c r="B134" s="87">
        <f t="shared" si="63"/>
        <v>-3529527</v>
      </c>
      <c r="C134" s="87">
        <f t="shared" si="63"/>
        <v>-3529527</v>
      </c>
      <c r="D134" s="128"/>
      <c r="E134" s="87">
        <v>0</v>
      </c>
      <c r="F134" s="87">
        <v>0</v>
      </c>
      <c r="G134" s="128"/>
      <c r="H134" s="87">
        <f t="shared" si="64"/>
        <v>3529527</v>
      </c>
      <c r="I134" s="87">
        <f t="shared" si="64"/>
        <v>3529527.0266666622</v>
      </c>
      <c r="J134" s="128"/>
      <c r="K134" s="87">
        <f t="shared" si="65"/>
        <v>0</v>
      </c>
      <c r="L134" s="87">
        <f t="shared" si="66"/>
        <v>2.6666662190109491E-2</v>
      </c>
      <c r="M134" s="128"/>
      <c r="N134" s="87">
        <f t="shared" si="67"/>
        <v>2.6666662190109491E-2</v>
      </c>
      <c r="O134" s="87">
        <f t="shared" si="61"/>
        <v>45753.118444445863</v>
      </c>
      <c r="P134" s="87">
        <f t="shared" si="68"/>
        <v>0</v>
      </c>
      <c r="Q134" s="87">
        <f t="shared" si="69"/>
        <v>45753.145111108053</v>
      </c>
      <c r="R134" s="87">
        <f t="shared" si="49"/>
        <v>-84221.141983799098</v>
      </c>
      <c r="S134" s="87">
        <f t="shared" si="50"/>
        <v>-164765.70134259682</v>
      </c>
      <c r="T134" s="87">
        <f t="shared" si="51"/>
        <v>80544.559358797691</v>
      </c>
    </row>
    <row r="135" spans="1:25" s="81" customFormat="1" ht="12.75" customHeight="1">
      <c r="A135" s="86">
        <v>43465</v>
      </c>
      <c r="B135" s="87">
        <f t="shared" si="63"/>
        <v>-3529527</v>
      </c>
      <c r="C135" s="87">
        <f t="shared" si="63"/>
        <v>-3529527</v>
      </c>
      <c r="D135" s="128"/>
      <c r="E135" s="87">
        <v>0</v>
      </c>
      <c r="F135" s="87">
        <v>0</v>
      </c>
      <c r="G135" s="128"/>
      <c r="H135" s="87">
        <f t="shared" si="64"/>
        <v>3529527</v>
      </c>
      <c r="I135" s="87">
        <f t="shared" si="64"/>
        <v>3529527.0266666622</v>
      </c>
      <c r="J135" s="128"/>
      <c r="K135" s="87">
        <f t="shared" si="65"/>
        <v>0</v>
      </c>
      <c r="L135" s="87">
        <f t="shared" si="65"/>
        <v>2.6666662190109491E-2</v>
      </c>
      <c r="M135" s="128"/>
      <c r="N135" s="87">
        <f t="shared" ref="N135:N145" si="70">L135-K135</f>
        <v>2.6666662190109491E-2</v>
      </c>
      <c r="O135" s="87">
        <f t="shared" si="61"/>
        <v>45753.118444445863</v>
      </c>
      <c r="P135" s="87">
        <f t="shared" si="68"/>
        <v>0</v>
      </c>
      <c r="Q135" s="87">
        <f t="shared" si="69"/>
        <v>45753.145111108053</v>
      </c>
      <c r="R135" s="87">
        <f>(Q123+Q135+SUM(Q124:Q134)*2)/24</f>
        <v>-61821.173175928787</v>
      </c>
      <c r="S135" s="87">
        <f>(N123+N135+SUM(N124:N134)*2)/24</f>
        <v>-136169.99648148575</v>
      </c>
      <c r="T135" s="87">
        <f>(O123+O135+SUM(O124:O134)*2)/24</f>
        <v>74348.823305556958</v>
      </c>
    </row>
    <row r="136" spans="1:25" s="81" customFormat="1" ht="12.75" customHeight="1">
      <c r="A136" s="86">
        <v>43496</v>
      </c>
      <c r="B136" s="87">
        <f t="shared" si="63"/>
        <v>-3529527</v>
      </c>
      <c r="C136" s="87">
        <f t="shared" si="63"/>
        <v>-3529527</v>
      </c>
      <c r="D136" s="128"/>
      <c r="E136" s="87">
        <v>0</v>
      </c>
      <c r="F136" s="87">
        <v>0</v>
      </c>
      <c r="G136" s="128"/>
      <c r="H136" s="87">
        <f t="shared" si="64"/>
        <v>3529527</v>
      </c>
      <c r="I136" s="87">
        <f t="shared" si="64"/>
        <v>3529527.0266666622</v>
      </c>
      <c r="J136" s="128"/>
      <c r="K136" s="87">
        <f t="shared" si="65"/>
        <v>0</v>
      </c>
      <c r="L136" s="87">
        <f t="shared" si="65"/>
        <v>2.6666662190109491E-2</v>
      </c>
      <c r="M136" s="128"/>
      <c r="N136" s="87">
        <f t="shared" si="70"/>
        <v>2.6666662190109491E-2</v>
      </c>
      <c r="O136" s="87">
        <f t="shared" si="61"/>
        <v>45753.118444445863</v>
      </c>
      <c r="P136" s="87">
        <f t="shared" si="68"/>
        <v>0</v>
      </c>
      <c r="Q136" s="87">
        <f t="shared" si="69"/>
        <v>45753.145111108053</v>
      </c>
      <c r="R136" s="87">
        <f t="shared" si="49"/>
        <v>-41382.052701391774</v>
      </c>
      <c r="S136" s="87">
        <f t="shared" si="50"/>
        <v>-110297.69208333764</v>
      </c>
      <c r="T136" s="87">
        <f t="shared" si="51"/>
        <v>68915.639381945861</v>
      </c>
    </row>
    <row r="137" spans="1:25" s="81" customFormat="1" ht="12.75" customHeight="1">
      <c r="A137" s="86">
        <v>43524</v>
      </c>
      <c r="B137" s="87">
        <f t="shared" si="63"/>
        <v>-3529527</v>
      </c>
      <c r="C137" s="87">
        <f t="shared" si="63"/>
        <v>-3529527</v>
      </c>
      <c r="D137" s="128"/>
      <c r="E137" s="87">
        <v>0</v>
      </c>
      <c r="F137" s="87">
        <v>0</v>
      </c>
      <c r="G137" s="128"/>
      <c r="H137" s="87">
        <f t="shared" si="64"/>
        <v>3529527</v>
      </c>
      <c r="I137" s="87">
        <f t="shared" si="64"/>
        <v>3529527.0266666622</v>
      </c>
      <c r="J137" s="128"/>
      <c r="K137" s="87">
        <f t="shared" si="65"/>
        <v>0</v>
      </c>
      <c r="L137" s="87">
        <f t="shared" si="65"/>
        <v>2.6666662190109491E-2</v>
      </c>
      <c r="M137" s="128"/>
      <c r="N137" s="87">
        <f t="shared" si="70"/>
        <v>2.6666662190109491E-2</v>
      </c>
      <c r="O137" s="87">
        <f t="shared" si="61"/>
        <v>45753.118444445863</v>
      </c>
      <c r="P137" s="87">
        <f t="shared" si="68"/>
        <v>0</v>
      </c>
      <c r="Q137" s="87">
        <f t="shared" ref="Q137:Q145" si="71">L137+O137</f>
        <v>45753.145111108053</v>
      </c>
      <c r="R137" s="87">
        <f t="shared" si="49"/>
        <v>-23094.418592595524</v>
      </c>
      <c r="S137" s="87">
        <f t="shared" si="50"/>
        <v>-87148.788148152482</v>
      </c>
      <c r="T137" s="87">
        <f t="shared" si="51"/>
        <v>64054.369555556965</v>
      </c>
    </row>
    <row r="138" spans="1:25" s="81" customFormat="1" ht="12.75" customHeight="1">
      <c r="A138" s="86">
        <v>43555</v>
      </c>
      <c r="B138" s="87">
        <f t="shared" si="63"/>
        <v>-3529527</v>
      </c>
      <c r="C138" s="87">
        <f t="shared" si="63"/>
        <v>-3529527</v>
      </c>
      <c r="D138" s="128"/>
      <c r="E138" s="87">
        <v>0</v>
      </c>
      <c r="F138" s="87">
        <v>0</v>
      </c>
      <c r="G138" s="128"/>
      <c r="H138" s="87">
        <f t="shared" si="64"/>
        <v>3529527</v>
      </c>
      <c r="I138" s="87">
        <f t="shared" si="64"/>
        <v>3529527.0266666622</v>
      </c>
      <c r="J138" s="128"/>
      <c r="K138" s="87">
        <f t="shared" si="65"/>
        <v>0</v>
      </c>
      <c r="L138" s="87">
        <f t="shared" si="65"/>
        <v>2.6666662190109491E-2</v>
      </c>
      <c r="M138" s="128"/>
      <c r="N138" s="87">
        <f t="shared" si="70"/>
        <v>2.6666662190109491E-2</v>
      </c>
      <c r="O138" s="87">
        <f t="shared" si="61"/>
        <v>45753.118444445863</v>
      </c>
      <c r="P138" s="87">
        <f t="shared" si="68"/>
        <v>0</v>
      </c>
      <c r="Q138" s="87">
        <f t="shared" si="71"/>
        <v>45753.145111108053</v>
      </c>
      <c r="R138" s="87">
        <f t="shared" si="49"/>
        <v>-6958.2708495400011</v>
      </c>
      <c r="S138" s="87">
        <f t="shared" ref="S138:S151" si="72">(N126+N138+SUM(N127:N137)*2)/24</f>
        <v>-66723.284675930292</v>
      </c>
      <c r="T138" s="87">
        <f t="shared" ref="T138:T151" si="73">(O126+O138+SUM(O127:O137)*2)/24</f>
        <v>59765.013826390299</v>
      </c>
    </row>
    <row r="139" spans="1:25" s="81" customFormat="1" ht="12.75" customHeight="1">
      <c r="A139" s="86">
        <v>43585</v>
      </c>
      <c r="B139" s="87">
        <f t="shared" si="63"/>
        <v>-3529527</v>
      </c>
      <c r="C139" s="87">
        <f t="shared" si="63"/>
        <v>-3529527</v>
      </c>
      <c r="D139" s="128"/>
      <c r="E139" s="87">
        <v>0</v>
      </c>
      <c r="F139" s="87">
        <v>0</v>
      </c>
      <c r="G139" s="128"/>
      <c r="H139" s="87">
        <f t="shared" si="64"/>
        <v>3529527</v>
      </c>
      <c r="I139" s="87">
        <f t="shared" si="64"/>
        <v>3529527.0266666622</v>
      </c>
      <c r="J139" s="128"/>
      <c r="K139" s="87">
        <f t="shared" si="65"/>
        <v>0</v>
      </c>
      <c r="L139" s="87">
        <f t="shared" si="65"/>
        <v>2.6666662190109491E-2</v>
      </c>
      <c r="M139" s="128"/>
      <c r="N139" s="87">
        <f t="shared" si="70"/>
        <v>2.6666662190109491E-2</v>
      </c>
      <c r="O139" s="87">
        <f t="shared" si="61"/>
        <v>45753.118444445863</v>
      </c>
      <c r="P139" s="87">
        <f t="shared" si="68"/>
        <v>0</v>
      </c>
      <c r="Q139" s="87">
        <f t="shared" si="71"/>
        <v>45753.145111108053</v>
      </c>
      <c r="R139" s="87">
        <f t="shared" si="49"/>
        <v>7026.3905277747917</v>
      </c>
      <c r="S139" s="87">
        <f t="shared" si="72"/>
        <v>-49021.181666671066</v>
      </c>
      <c r="T139" s="87">
        <f t="shared" si="73"/>
        <v>56047.572194445871</v>
      </c>
    </row>
    <row r="140" spans="1:25" s="81" customFormat="1" ht="12.75" customHeight="1">
      <c r="A140" s="86">
        <v>43616</v>
      </c>
      <c r="B140" s="87">
        <f t="shared" si="63"/>
        <v>-3529527</v>
      </c>
      <c r="C140" s="87">
        <f t="shared" si="63"/>
        <v>-3529527</v>
      </c>
      <c r="D140" s="128"/>
      <c r="E140" s="87">
        <v>0</v>
      </c>
      <c r="F140" s="87">
        <v>0</v>
      </c>
      <c r="G140" s="128"/>
      <c r="H140" s="87">
        <f t="shared" si="64"/>
        <v>3529527</v>
      </c>
      <c r="I140" s="87">
        <f t="shared" si="64"/>
        <v>3529527.0266666622</v>
      </c>
      <c r="J140" s="128"/>
      <c r="K140" s="87">
        <f t="shared" si="65"/>
        <v>0</v>
      </c>
      <c r="L140" s="87">
        <f t="shared" si="65"/>
        <v>2.6666662190109491E-2</v>
      </c>
      <c r="M140" s="128"/>
      <c r="N140" s="87">
        <f t="shared" si="70"/>
        <v>2.6666662190109491E-2</v>
      </c>
      <c r="O140" s="87">
        <f t="shared" si="61"/>
        <v>45753.118444445863</v>
      </c>
      <c r="P140" s="87">
        <f t="shared" si="68"/>
        <v>0</v>
      </c>
      <c r="Q140" s="87">
        <f t="shared" si="71"/>
        <v>45753.145111108053</v>
      </c>
      <c r="R140" s="87">
        <f t="shared" si="49"/>
        <v>18859.565539348845</v>
      </c>
      <c r="S140" s="87">
        <f t="shared" si="72"/>
        <v>-34042.479120374795</v>
      </c>
      <c r="T140" s="87">
        <f t="shared" si="73"/>
        <v>52902.044659723644</v>
      </c>
    </row>
    <row r="141" spans="1:25" s="81" customFormat="1" ht="12.75" customHeight="1">
      <c r="A141" s="86">
        <v>43646</v>
      </c>
      <c r="B141" s="87">
        <f t="shared" si="63"/>
        <v>-3529527</v>
      </c>
      <c r="C141" s="87">
        <f t="shared" si="63"/>
        <v>-3529527</v>
      </c>
      <c r="D141" s="128"/>
      <c r="E141" s="87">
        <v>0</v>
      </c>
      <c r="F141" s="87">
        <v>0</v>
      </c>
      <c r="G141" s="128"/>
      <c r="H141" s="87">
        <f t="shared" si="64"/>
        <v>3529527</v>
      </c>
      <c r="I141" s="87">
        <f t="shared" si="64"/>
        <v>3529527.0266666622</v>
      </c>
      <c r="J141" s="128"/>
      <c r="K141" s="87">
        <f t="shared" si="65"/>
        <v>0</v>
      </c>
      <c r="L141" s="87">
        <f t="shared" si="65"/>
        <v>2.6666662190109491E-2</v>
      </c>
      <c r="M141" s="128"/>
      <c r="N141" s="87">
        <f t="shared" si="70"/>
        <v>2.6666662190109491E-2</v>
      </c>
      <c r="O141" s="87">
        <f t="shared" si="61"/>
        <v>45753.118444445863</v>
      </c>
      <c r="P141" s="87">
        <f t="shared" si="68"/>
        <v>0</v>
      </c>
      <c r="Q141" s="87">
        <f t="shared" si="71"/>
        <v>45753.145111108053</v>
      </c>
      <c r="R141" s="87">
        <f t="shared" si="49"/>
        <v>28541.254185182162</v>
      </c>
      <c r="S141" s="87">
        <f t="shared" si="72"/>
        <v>-21787.177037041478</v>
      </c>
      <c r="T141" s="87">
        <f t="shared" si="73"/>
        <v>50328.431222223655</v>
      </c>
    </row>
    <row r="142" spans="1:25" s="81" customFormat="1" ht="12.75" customHeight="1">
      <c r="A142" s="86">
        <v>43677</v>
      </c>
      <c r="B142" s="87">
        <f t="shared" si="63"/>
        <v>-3529527</v>
      </c>
      <c r="C142" s="87">
        <f t="shared" si="63"/>
        <v>-3529527</v>
      </c>
      <c r="D142" s="128"/>
      <c r="E142" s="87">
        <v>0</v>
      </c>
      <c r="F142" s="87">
        <v>0</v>
      </c>
      <c r="G142" s="128"/>
      <c r="H142" s="87">
        <f t="shared" si="64"/>
        <v>3529527</v>
      </c>
      <c r="I142" s="87">
        <f t="shared" si="64"/>
        <v>3529527.0266666622</v>
      </c>
      <c r="J142" s="128"/>
      <c r="K142" s="87">
        <f t="shared" si="65"/>
        <v>0</v>
      </c>
      <c r="L142" s="87">
        <f t="shared" si="65"/>
        <v>2.6666662190109491E-2</v>
      </c>
      <c r="M142" s="128"/>
      <c r="N142" s="87">
        <f t="shared" si="70"/>
        <v>2.6666662190109491E-2</v>
      </c>
      <c r="O142" s="87">
        <f t="shared" si="61"/>
        <v>45753.118444445863</v>
      </c>
      <c r="P142" s="87">
        <f t="shared" si="68"/>
        <v>0</v>
      </c>
      <c r="Q142" s="87">
        <f t="shared" si="71"/>
        <v>45753.145111108053</v>
      </c>
      <c r="R142" s="87">
        <f t="shared" si="49"/>
        <v>36071.456465274743</v>
      </c>
      <c r="S142" s="87">
        <f t="shared" si="72"/>
        <v>-12255.275416671124</v>
      </c>
      <c r="T142" s="87">
        <f t="shared" si="73"/>
        <v>48326.731881945881</v>
      </c>
    </row>
    <row r="143" spans="1:25" s="81" customFormat="1" ht="12.75" customHeight="1">
      <c r="A143" s="86">
        <v>43708</v>
      </c>
      <c r="B143" s="87">
        <f t="shared" si="63"/>
        <v>-3529527</v>
      </c>
      <c r="C143" s="87">
        <f t="shared" si="63"/>
        <v>-3529527</v>
      </c>
      <c r="D143" s="128"/>
      <c r="E143" s="87">
        <v>0</v>
      </c>
      <c r="F143" s="87">
        <v>0</v>
      </c>
      <c r="G143" s="128"/>
      <c r="H143" s="87">
        <f t="shared" si="64"/>
        <v>3529527</v>
      </c>
      <c r="I143" s="87">
        <f t="shared" si="64"/>
        <v>3529527.0266666622</v>
      </c>
      <c r="J143" s="128"/>
      <c r="K143" s="87">
        <f t="shared" si="65"/>
        <v>0</v>
      </c>
      <c r="L143" s="87">
        <f t="shared" si="65"/>
        <v>2.6666662190109491E-2</v>
      </c>
      <c r="M143" s="128"/>
      <c r="N143" s="87">
        <f t="shared" si="70"/>
        <v>2.6666662190109491E-2</v>
      </c>
      <c r="O143" s="87">
        <f t="shared" si="61"/>
        <v>45753.118444445863</v>
      </c>
      <c r="P143" s="87">
        <f t="shared" si="68"/>
        <v>0</v>
      </c>
      <c r="Q143" s="87">
        <f t="shared" si="71"/>
        <v>45753.145111108053</v>
      </c>
      <c r="R143" s="87">
        <f t="shared" si="49"/>
        <v>41450.172379626594</v>
      </c>
      <c r="S143" s="87">
        <f t="shared" si="72"/>
        <v>-5446.7742592637269</v>
      </c>
      <c r="T143" s="87">
        <f t="shared" si="73"/>
        <v>46896.946638890317</v>
      </c>
    </row>
    <row r="144" spans="1:25" s="81" customFormat="1" ht="12.75" customHeight="1">
      <c r="A144" s="86">
        <v>43738</v>
      </c>
      <c r="B144" s="87">
        <f t="shared" si="63"/>
        <v>-3529527</v>
      </c>
      <c r="C144" s="87">
        <f t="shared" si="63"/>
        <v>-3529527</v>
      </c>
      <c r="D144" s="128"/>
      <c r="E144" s="87">
        <v>0</v>
      </c>
      <c r="F144" s="87">
        <v>0</v>
      </c>
      <c r="G144" s="128"/>
      <c r="H144" s="87">
        <f t="shared" si="64"/>
        <v>3529527</v>
      </c>
      <c r="I144" s="87">
        <f t="shared" si="64"/>
        <v>3529527.0266666622</v>
      </c>
      <c r="J144" s="128"/>
      <c r="K144" s="87">
        <f t="shared" si="65"/>
        <v>0</v>
      </c>
      <c r="L144" s="87">
        <f t="shared" si="65"/>
        <v>2.6666662190109491E-2</v>
      </c>
      <c r="M144" s="128"/>
      <c r="N144" s="87">
        <f t="shared" si="70"/>
        <v>2.6666662190109491E-2</v>
      </c>
      <c r="O144" s="87">
        <f t="shared" si="61"/>
        <v>45753.118444445863</v>
      </c>
      <c r="P144" s="87">
        <f t="shared" si="68"/>
        <v>0</v>
      </c>
      <c r="Q144" s="87">
        <f t="shared" si="71"/>
        <v>45753.145111108053</v>
      </c>
      <c r="R144" s="87">
        <f t="shared" si="49"/>
        <v>44677.40192823769</v>
      </c>
      <c r="S144" s="87">
        <f t="shared" si="72"/>
        <v>-1361.6735648192891</v>
      </c>
      <c r="T144" s="87">
        <f t="shared" si="73"/>
        <v>46039.075493056975</v>
      </c>
    </row>
    <row r="145" spans="1:20" s="81" customFormat="1" ht="12.75" customHeight="1">
      <c r="A145" s="86">
        <v>43769</v>
      </c>
      <c r="B145" s="87">
        <f t="shared" si="63"/>
        <v>-3529527</v>
      </c>
      <c r="C145" s="87">
        <f t="shared" si="63"/>
        <v>-3529527</v>
      </c>
      <c r="D145" s="128"/>
      <c r="E145" s="87">
        <v>0</v>
      </c>
      <c r="F145" s="87">
        <v>0</v>
      </c>
      <c r="G145" s="128"/>
      <c r="H145" s="87">
        <f t="shared" si="64"/>
        <v>3529527</v>
      </c>
      <c r="I145" s="87">
        <f t="shared" si="64"/>
        <v>3529527.0266666622</v>
      </c>
      <c r="J145" s="128"/>
      <c r="K145" s="87">
        <f t="shared" si="65"/>
        <v>0</v>
      </c>
      <c r="L145" s="87">
        <f t="shared" si="65"/>
        <v>2.6666662190109491E-2</v>
      </c>
      <c r="M145" s="128"/>
      <c r="N145" s="87">
        <f t="shared" si="70"/>
        <v>2.6666662190109491E-2</v>
      </c>
      <c r="O145" s="87">
        <f t="shared" si="61"/>
        <v>45753.118444445863</v>
      </c>
      <c r="P145" s="87">
        <f t="shared" si="68"/>
        <v>0</v>
      </c>
      <c r="Q145" s="87">
        <f t="shared" si="71"/>
        <v>45753.145111108053</v>
      </c>
      <c r="R145" s="87">
        <f t="shared" si="49"/>
        <v>45753.145111108061</v>
      </c>
      <c r="S145" s="87">
        <f t="shared" si="72"/>
        <v>2.6666662190109491E-2</v>
      </c>
      <c r="T145" s="87">
        <f t="shared" si="73"/>
        <v>45753.11844444587</v>
      </c>
    </row>
    <row r="146" spans="1:20" s="81" customFormat="1" ht="12.75" customHeight="1">
      <c r="A146" s="86">
        <v>43799</v>
      </c>
      <c r="B146" s="87">
        <f t="shared" ref="B146:C146" si="74">B145</f>
        <v>-3529527</v>
      </c>
      <c r="C146" s="87">
        <f t="shared" si="74"/>
        <v>-3529527</v>
      </c>
      <c r="D146" s="128"/>
      <c r="E146" s="87">
        <v>0</v>
      </c>
      <c r="F146" s="87">
        <v>0</v>
      </c>
      <c r="G146" s="128"/>
      <c r="H146" s="87">
        <f t="shared" ref="H146:H150" si="75">H145-E146</f>
        <v>3529527</v>
      </c>
      <c r="I146" s="87">
        <f t="shared" ref="I146:I150" si="76">I145-F146</f>
        <v>3529527.0266666622</v>
      </c>
      <c r="J146" s="128"/>
      <c r="K146" s="87">
        <f t="shared" ref="K146:K150" si="77">B146+H146</f>
        <v>0</v>
      </c>
      <c r="L146" s="87">
        <f t="shared" ref="L146:L150" si="78">C146+I146</f>
        <v>2.6666662190109491E-2</v>
      </c>
      <c r="M146" s="128"/>
      <c r="N146" s="87">
        <f t="shared" ref="N146:N151" si="79">L146-K146</f>
        <v>2.6666662190109491E-2</v>
      </c>
      <c r="O146" s="87">
        <f t="shared" si="61"/>
        <v>45753.118444445863</v>
      </c>
      <c r="P146" s="87">
        <f t="shared" si="68"/>
        <v>0</v>
      </c>
      <c r="Q146" s="87">
        <f t="shared" ref="Q146:Q151" si="80">L146+O146</f>
        <v>45753.145111108053</v>
      </c>
      <c r="R146" s="87">
        <f t="shared" si="49"/>
        <v>45753.145111108061</v>
      </c>
      <c r="S146" s="87">
        <f t="shared" si="72"/>
        <v>2.6666662190109491E-2</v>
      </c>
      <c r="T146" s="87">
        <f t="shared" si="73"/>
        <v>45753.11844444587</v>
      </c>
    </row>
    <row r="147" spans="1:20" s="81" customFormat="1" ht="12.95" customHeight="1">
      <c r="A147" s="86">
        <v>43830</v>
      </c>
      <c r="B147" s="87">
        <f t="shared" ref="B147:C147" si="81">B146</f>
        <v>-3529527</v>
      </c>
      <c r="C147" s="87">
        <f t="shared" si="81"/>
        <v>-3529527</v>
      </c>
      <c r="D147" s="128"/>
      <c r="E147" s="87">
        <v>0</v>
      </c>
      <c r="F147" s="87">
        <v>0</v>
      </c>
      <c r="G147" s="128"/>
      <c r="H147" s="87">
        <f t="shared" si="75"/>
        <v>3529527</v>
      </c>
      <c r="I147" s="87">
        <f t="shared" si="76"/>
        <v>3529527.0266666622</v>
      </c>
      <c r="J147" s="128"/>
      <c r="K147" s="87">
        <f t="shared" si="77"/>
        <v>0</v>
      </c>
      <c r="L147" s="87">
        <f t="shared" si="78"/>
        <v>2.6666662190109491E-2</v>
      </c>
      <c r="M147" s="128"/>
      <c r="N147" s="87">
        <f t="shared" si="79"/>
        <v>2.6666662190109491E-2</v>
      </c>
      <c r="O147" s="87">
        <f t="shared" si="61"/>
        <v>45753.118444445863</v>
      </c>
      <c r="P147" s="87">
        <f t="shared" si="68"/>
        <v>0</v>
      </c>
      <c r="Q147" s="87">
        <f t="shared" si="80"/>
        <v>45753.145111108053</v>
      </c>
      <c r="R147" s="87">
        <f t="shared" si="49"/>
        <v>45753.145111108061</v>
      </c>
      <c r="S147" s="87">
        <f t="shared" si="72"/>
        <v>2.6666662190109491E-2</v>
      </c>
      <c r="T147" s="87">
        <f t="shared" si="73"/>
        <v>45753.11844444587</v>
      </c>
    </row>
    <row r="148" spans="1:20" s="81" customFormat="1" ht="12.95" customHeight="1">
      <c r="A148" s="86">
        <v>43861</v>
      </c>
      <c r="B148" s="87">
        <f t="shared" ref="B148:C148" si="82">B147</f>
        <v>-3529527</v>
      </c>
      <c r="C148" s="87">
        <f t="shared" si="82"/>
        <v>-3529527</v>
      </c>
      <c r="D148" s="128"/>
      <c r="E148" s="87">
        <v>0</v>
      </c>
      <c r="F148" s="87">
        <v>0</v>
      </c>
      <c r="G148" s="128"/>
      <c r="H148" s="87">
        <f t="shared" si="75"/>
        <v>3529527</v>
      </c>
      <c r="I148" s="87">
        <f t="shared" si="76"/>
        <v>3529527.0266666622</v>
      </c>
      <c r="J148" s="128"/>
      <c r="K148" s="87">
        <f t="shared" si="77"/>
        <v>0</v>
      </c>
      <c r="L148" s="87">
        <f t="shared" si="78"/>
        <v>2.6666662190109491E-2</v>
      </c>
      <c r="M148" s="128"/>
      <c r="N148" s="87">
        <f t="shared" si="79"/>
        <v>2.6666662190109491E-2</v>
      </c>
      <c r="O148" s="87">
        <f t="shared" si="61"/>
        <v>45753.118444445863</v>
      </c>
      <c r="P148" s="87">
        <f t="shared" si="68"/>
        <v>0</v>
      </c>
      <c r="Q148" s="87">
        <f t="shared" si="80"/>
        <v>45753.145111108053</v>
      </c>
      <c r="R148" s="87">
        <f t="shared" si="49"/>
        <v>45753.145111108061</v>
      </c>
      <c r="S148" s="87">
        <f t="shared" si="72"/>
        <v>2.6666662190109491E-2</v>
      </c>
      <c r="T148" s="87">
        <f t="shared" si="73"/>
        <v>45753.11844444587</v>
      </c>
    </row>
    <row r="149" spans="1:20" s="81" customFormat="1" ht="12.95" customHeight="1">
      <c r="A149" s="86">
        <v>43890</v>
      </c>
      <c r="B149" s="87">
        <f t="shared" ref="B149:C149" si="83">B148</f>
        <v>-3529527</v>
      </c>
      <c r="C149" s="87">
        <f t="shared" si="83"/>
        <v>-3529527</v>
      </c>
      <c r="D149" s="128"/>
      <c r="E149" s="87">
        <v>0</v>
      </c>
      <c r="F149" s="87">
        <v>0</v>
      </c>
      <c r="G149" s="128"/>
      <c r="H149" s="87">
        <f t="shared" si="75"/>
        <v>3529527</v>
      </c>
      <c r="I149" s="87">
        <f t="shared" si="76"/>
        <v>3529527.0266666622</v>
      </c>
      <c r="J149" s="128"/>
      <c r="K149" s="87">
        <f t="shared" si="77"/>
        <v>0</v>
      </c>
      <c r="L149" s="87">
        <f t="shared" si="78"/>
        <v>2.6666662190109491E-2</v>
      </c>
      <c r="M149" s="128"/>
      <c r="N149" s="87">
        <f t="shared" si="79"/>
        <v>2.6666662190109491E-2</v>
      </c>
      <c r="O149" s="87">
        <f t="shared" si="61"/>
        <v>45753.118444445863</v>
      </c>
      <c r="P149" s="87">
        <f t="shared" si="68"/>
        <v>0</v>
      </c>
      <c r="Q149" s="87">
        <f t="shared" si="80"/>
        <v>45753.145111108053</v>
      </c>
      <c r="R149" s="87">
        <f t="shared" si="49"/>
        <v>45753.145111108061</v>
      </c>
      <c r="S149" s="87">
        <f t="shared" si="72"/>
        <v>2.6666662190109491E-2</v>
      </c>
      <c r="T149" s="87">
        <f t="shared" si="73"/>
        <v>45753.11844444587</v>
      </c>
    </row>
    <row r="150" spans="1:20" s="81" customFormat="1" ht="12.95" customHeight="1">
      <c r="A150" s="86">
        <v>43921</v>
      </c>
      <c r="B150" s="87">
        <f t="shared" ref="B150:C150" si="84">B149</f>
        <v>-3529527</v>
      </c>
      <c r="C150" s="87">
        <f t="shared" si="84"/>
        <v>-3529527</v>
      </c>
      <c r="D150" s="128"/>
      <c r="E150" s="87">
        <v>0</v>
      </c>
      <c r="F150" s="87">
        <v>0</v>
      </c>
      <c r="G150" s="128"/>
      <c r="H150" s="87">
        <f t="shared" si="75"/>
        <v>3529527</v>
      </c>
      <c r="I150" s="87">
        <f t="shared" si="76"/>
        <v>3529527.0266666622</v>
      </c>
      <c r="J150" s="128"/>
      <c r="K150" s="87">
        <f t="shared" si="77"/>
        <v>0</v>
      </c>
      <c r="L150" s="87">
        <f t="shared" si="78"/>
        <v>2.6666662190109491E-2</v>
      </c>
      <c r="M150" s="128"/>
      <c r="N150" s="87">
        <f t="shared" si="79"/>
        <v>2.6666662190109491E-2</v>
      </c>
      <c r="O150" s="87">
        <f t="shared" si="61"/>
        <v>45753.118444445863</v>
      </c>
      <c r="P150" s="87">
        <f t="shared" si="68"/>
        <v>0</v>
      </c>
      <c r="Q150" s="87">
        <f t="shared" si="80"/>
        <v>45753.145111108053</v>
      </c>
      <c r="R150" s="87">
        <f t="shared" ref="R150:R151" si="85">(Q138+Q150+SUM(Q139:Q149)*2)/24</f>
        <v>45753.145111108061</v>
      </c>
      <c r="S150" s="87">
        <f t="shared" si="72"/>
        <v>2.6666662190109491E-2</v>
      </c>
      <c r="T150" s="87">
        <f t="shared" si="73"/>
        <v>45753.11844444587</v>
      </c>
    </row>
    <row r="151" spans="1:20" s="81" customFormat="1" ht="12.95" customHeight="1">
      <c r="A151" s="86">
        <v>43951</v>
      </c>
      <c r="B151" s="87">
        <f t="shared" ref="B151:C151" si="86">B150</f>
        <v>-3529527</v>
      </c>
      <c r="C151" s="87">
        <f t="shared" si="86"/>
        <v>-3529527</v>
      </c>
      <c r="D151" s="128"/>
      <c r="E151" s="87">
        <v>0</v>
      </c>
      <c r="F151" s="87">
        <v>0</v>
      </c>
      <c r="G151" s="128"/>
      <c r="H151" s="87">
        <f>H150-E151</f>
        <v>3529527</v>
      </c>
      <c r="I151" s="87">
        <f>I150-F151</f>
        <v>3529527.0266666622</v>
      </c>
      <c r="J151" s="128"/>
      <c r="K151" s="87">
        <f>B151+H151</f>
        <v>0</v>
      </c>
      <c r="L151" s="87">
        <f>C151+I151</f>
        <v>2.6666662190109491E-2</v>
      </c>
      <c r="M151" s="128"/>
      <c r="N151" s="87">
        <f t="shared" si="79"/>
        <v>2.6666662190109491E-2</v>
      </c>
      <c r="O151" s="87">
        <f t="shared" si="61"/>
        <v>45753.118444445863</v>
      </c>
      <c r="P151" s="87">
        <f t="shared" si="68"/>
        <v>0</v>
      </c>
      <c r="Q151" s="87">
        <f t="shared" si="80"/>
        <v>45753.145111108053</v>
      </c>
      <c r="R151" s="87">
        <f t="shared" si="85"/>
        <v>45753.145111108061</v>
      </c>
      <c r="S151" s="87">
        <f t="shared" si="72"/>
        <v>2.6666662190109491E-2</v>
      </c>
      <c r="T151" s="87">
        <f t="shared" si="73"/>
        <v>45753.11844444587</v>
      </c>
    </row>
    <row r="152" spans="1:20" ht="12.95" customHeight="1">
      <c r="A152" s="86">
        <v>43982</v>
      </c>
      <c r="B152" s="87">
        <f t="shared" ref="B152:C152" si="87">B151</f>
        <v>-3529527</v>
      </c>
      <c r="C152" s="87">
        <f t="shared" si="87"/>
        <v>-3529527</v>
      </c>
      <c r="E152" s="87">
        <v>0</v>
      </c>
      <c r="F152" s="87">
        <v>0</v>
      </c>
      <c r="H152" s="87">
        <f t="shared" ref="H152:H163" si="88">H151-E152</f>
        <v>3529527</v>
      </c>
      <c r="I152" s="87">
        <f t="shared" ref="I152:I163" si="89">I151-F152</f>
        <v>3529527.0266666622</v>
      </c>
      <c r="J152" s="128"/>
      <c r="K152" s="87">
        <f t="shared" ref="K152:K163" si="90">B152+H152</f>
        <v>0</v>
      </c>
      <c r="L152" s="87">
        <f t="shared" ref="L152:L163" si="91">C152+I152</f>
        <v>2.6666662190109491E-2</v>
      </c>
      <c r="M152" s="128"/>
      <c r="N152" s="87">
        <f t="shared" ref="N152:N163" si="92">L152-K152</f>
        <v>2.6666662190109491E-2</v>
      </c>
      <c r="O152" s="87">
        <f t="shared" ref="O152:O163" si="93">F152*$O$10+O151</f>
        <v>45753.118444445863</v>
      </c>
      <c r="P152" s="87">
        <f t="shared" ref="P152:P163" si="94">-O152+O151</f>
        <v>0</v>
      </c>
      <c r="Q152" s="87">
        <f t="shared" ref="Q152:Q163" si="95">L152+O152</f>
        <v>45753.145111108053</v>
      </c>
      <c r="R152" s="87">
        <f t="shared" ref="R152:R163" si="96">(Q140+Q152+SUM(Q141:Q151)*2)/24</f>
        <v>45753.145111108061</v>
      </c>
      <c r="S152" s="87">
        <f t="shared" ref="S152:S163" si="97">(N140+N152+SUM(N141:N151)*2)/24</f>
        <v>2.6666662190109491E-2</v>
      </c>
      <c r="T152" s="87">
        <f t="shared" ref="T152:T163" si="98">(O140+O152+SUM(O141:O151)*2)/24</f>
        <v>45753.11844444587</v>
      </c>
    </row>
    <row r="153" spans="1:20" ht="12.95" customHeight="1">
      <c r="A153" s="86">
        <v>44012</v>
      </c>
      <c r="B153" s="87">
        <f t="shared" ref="B153:C153" si="99">B152</f>
        <v>-3529527</v>
      </c>
      <c r="C153" s="87">
        <f t="shared" si="99"/>
        <v>-3529527</v>
      </c>
      <c r="E153" s="87">
        <v>0</v>
      </c>
      <c r="F153" s="87">
        <v>0</v>
      </c>
      <c r="H153" s="87">
        <f t="shared" si="88"/>
        <v>3529527</v>
      </c>
      <c r="I153" s="87">
        <f t="shared" si="89"/>
        <v>3529527.0266666622</v>
      </c>
      <c r="J153" s="128"/>
      <c r="K153" s="87">
        <f t="shared" si="90"/>
        <v>0</v>
      </c>
      <c r="L153" s="87">
        <f t="shared" si="91"/>
        <v>2.6666662190109491E-2</v>
      </c>
      <c r="M153" s="128"/>
      <c r="N153" s="87">
        <f t="shared" si="92"/>
        <v>2.6666662190109491E-2</v>
      </c>
      <c r="O153" s="87">
        <f t="shared" si="93"/>
        <v>45753.118444445863</v>
      </c>
      <c r="P153" s="87">
        <f t="shared" si="94"/>
        <v>0</v>
      </c>
      <c r="Q153" s="87">
        <f t="shared" si="95"/>
        <v>45753.145111108053</v>
      </c>
      <c r="R153" s="87">
        <f t="shared" si="96"/>
        <v>45753.145111108061</v>
      </c>
      <c r="S153" s="87">
        <f t="shared" si="97"/>
        <v>2.6666662190109491E-2</v>
      </c>
      <c r="T153" s="87">
        <f t="shared" si="98"/>
        <v>45753.11844444587</v>
      </c>
    </row>
    <row r="154" spans="1:20" ht="12.95" customHeight="1">
      <c r="A154" s="86">
        <v>44043</v>
      </c>
      <c r="B154" s="87">
        <f t="shared" ref="B154:C154" si="100">B153</f>
        <v>-3529527</v>
      </c>
      <c r="C154" s="87">
        <f t="shared" si="100"/>
        <v>-3529527</v>
      </c>
      <c r="E154" s="87">
        <v>0</v>
      </c>
      <c r="F154" s="87">
        <v>0</v>
      </c>
      <c r="H154" s="87">
        <f t="shared" si="88"/>
        <v>3529527</v>
      </c>
      <c r="I154" s="87">
        <f t="shared" si="89"/>
        <v>3529527.0266666622</v>
      </c>
      <c r="J154" s="128"/>
      <c r="K154" s="87">
        <f t="shared" si="90"/>
        <v>0</v>
      </c>
      <c r="L154" s="87">
        <f t="shared" si="91"/>
        <v>2.6666662190109491E-2</v>
      </c>
      <c r="M154" s="128"/>
      <c r="N154" s="87">
        <f t="shared" si="92"/>
        <v>2.6666662190109491E-2</v>
      </c>
      <c r="O154" s="87">
        <f t="shared" si="93"/>
        <v>45753.118444445863</v>
      </c>
      <c r="P154" s="87">
        <f t="shared" si="94"/>
        <v>0</v>
      </c>
      <c r="Q154" s="87">
        <f t="shared" si="95"/>
        <v>45753.145111108053</v>
      </c>
      <c r="R154" s="87">
        <f t="shared" si="96"/>
        <v>45753.145111108061</v>
      </c>
      <c r="S154" s="87">
        <f t="shared" si="97"/>
        <v>2.6666662190109491E-2</v>
      </c>
      <c r="T154" s="87">
        <f t="shared" si="98"/>
        <v>45753.11844444587</v>
      </c>
    </row>
    <row r="155" spans="1:20" ht="12.95" customHeight="1">
      <c r="A155" s="86">
        <v>44074</v>
      </c>
      <c r="B155" s="87">
        <f t="shared" ref="B155:C155" si="101">B154</f>
        <v>-3529527</v>
      </c>
      <c r="C155" s="87">
        <f t="shared" si="101"/>
        <v>-3529527</v>
      </c>
      <c r="E155" s="87">
        <v>0</v>
      </c>
      <c r="F155" s="87">
        <v>0</v>
      </c>
      <c r="H155" s="87">
        <f t="shared" si="88"/>
        <v>3529527</v>
      </c>
      <c r="I155" s="87">
        <f t="shared" si="89"/>
        <v>3529527.0266666622</v>
      </c>
      <c r="J155" s="128"/>
      <c r="K155" s="87">
        <f t="shared" si="90"/>
        <v>0</v>
      </c>
      <c r="L155" s="87">
        <f t="shared" si="91"/>
        <v>2.6666662190109491E-2</v>
      </c>
      <c r="M155" s="128"/>
      <c r="N155" s="87">
        <f t="shared" si="92"/>
        <v>2.6666662190109491E-2</v>
      </c>
      <c r="O155" s="87">
        <f t="shared" si="93"/>
        <v>45753.118444445863</v>
      </c>
      <c r="P155" s="87">
        <f t="shared" si="94"/>
        <v>0</v>
      </c>
      <c r="Q155" s="87">
        <f t="shared" si="95"/>
        <v>45753.145111108053</v>
      </c>
      <c r="R155" s="87">
        <f t="shared" si="96"/>
        <v>45753.145111108061</v>
      </c>
      <c r="S155" s="87">
        <f t="shared" si="97"/>
        <v>2.6666662190109491E-2</v>
      </c>
      <c r="T155" s="87">
        <f t="shared" si="98"/>
        <v>45753.11844444587</v>
      </c>
    </row>
    <row r="156" spans="1:20" ht="12.95" customHeight="1">
      <c r="A156" s="86">
        <v>44104</v>
      </c>
      <c r="B156" s="87">
        <f t="shared" ref="B156:C156" si="102">B155</f>
        <v>-3529527</v>
      </c>
      <c r="C156" s="87">
        <f t="shared" si="102"/>
        <v>-3529527</v>
      </c>
      <c r="E156" s="87">
        <v>0</v>
      </c>
      <c r="F156" s="87">
        <v>0</v>
      </c>
      <c r="H156" s="87">
        <f t="shared" si="88"/>
        <v>3529527</v>
      </c>
      <c r="I156" s="87">
        <f t="shared" si="89"/>
        <v>3529527.0266666622</v>
      </c>
      <c r="J156" s="128"/>
      <c r="K156" s="87">
        <f t="shared" si="90"/>
        <v>0</v>
      </c>
      <c r="L156" s="87">
        <f t="shared" si="91"/>
        <v>2.6666662190109491E-2</v>
      </c>
      <c r="M156" s="128"/>
      <c r="N156" s="87">
        <f t="shared" si="92"/>
        <v>2.6666662190109491E-2</v>
      </c>
      <c r="O156" s="87">
        <f t="shared" si="93"/>
        <v>45753.118444445863</v>
      </c>
      <c r="P156" s="87">
        <f t="shared" si="94"/>
        <v>0</v>
      </c>
      <c r="Q156" s="87">
        <f t="shared" si="95"/>
        <v>45753.145111108053</v>
      </c>
      <c r="R156" s="87">
        <f t="shared" si="96"/>
        <v>45753.145111108061</v>
      </c>
      <c r="S156" s="87">
        <f t="shared" si="97"/>
        <v>2.6666662190109491E-2</v>
      </c>
      <c r="T156" s="87">
        <f t="shared" si="98"/>
        <v>45753.11844444587</v>
      </c>
    </row>
    <row r="157" spans="1:20" ht="12.95" customHeight="1">
      <c r="A157" s="86">
        <v>44135</v>
      </c>
      <c r="B157" s="87">
        <f t="shared" ref="B157:C157" si="103">B156</f>
        <v>-3529527</v>
      </c>
      <c r="C157" s="87">
        <f t="shared" si="103"/>
        <v>-3529527</v>
      </c>
      <c r="E157" s="87">
        <v>0</v>
      </c>
      <c r="F157" s="87">
        <v>0</v>
      </c>
      <c r="H157" s="87">
        <f t="shared" si="88"/>
        <v>3529527</v>
      </c>
      <c r="I157" s="87">
        <f t="shared" si="89"/>
        <v>3529527.0266666622</v>
      </c>
      <c r="J157" s="128"/>
      <c r="K157" s="87">
        <f t="shared" si="90"/>
        <v>0</v>
      </c>
      <c r="L157" s="87">
        <f t="shared" si="91"/>
        <v>2.6666662190109491E-2</v>
      </c>
      <c r="M157" s="128"/>
      <c r="N157" s="87">
        <f t="shared" si="92"/>
        <v>2.6666662190109491E-2</v>
      </c>
      <c r="O157" s="87">
        <f t="shared" si="93"/>
        <v>45753.118444445863</v>
      </c>
      <c r="P157" s="87">
        <f t="shared" si="94"/>
        <v>0</v>
      </c>
      <c r="Q157" s="87">
        <f t="shared" si="95"/>
        <v>45753.145111108053</v>
      </c>
      <c r="R157" s="87">
        <f t="shared" si="96"/>
        <v>45753.145111108061</v>
      </c>
      <c r="S157" s="87">
        <f t="shared" si="97"/>
        <v>2.6666662190109491E-2</v>
      </c>
      <c r="T157" s="87">
        <f t="shared" si="98"/>
        <v>45753.11844444587</v>
      </c>
    </row>
    <row r="158" spans="1:20" ht="12.95" customHeight="1">
      <c r="A158" s="86">
        <v>44165</v>
      </c>
      <c r="B158" s="87">
        <f t="shared" ref="B158:C158" si="104">B157</f>
        <v>-3529527</v>
      </c>
      <c r="C158" s="87">
        <f t="shared" si="104"/>
        <v>-3529527</v>
      </c>
      <c r="E158" s="87">
        <v>0</v>
      </c>
      <c r="F158" s="87">
        <v>0</v>
      </c>
      <c r="H158" s="87">
        <f t="shared" si="88"/>
        <v>3529527</v>
      </c>
      <c r="I158" s="87">
        <f t="shared" si="89"/>
        <v>3529527.0266666622</v>
      </c>
      <c r="J158" s="128"/>
      <c r="K158" s="87">
        <f t="shared" si="90"/>
        <v>0</v>
      </c>
      <c r="L158" s="87">
        <f t="shared" si="91"/>
        <v>2.6666662190109491E-2</v>
      </c>
      <c r="M158" s="128"/>
      <c r="N158" s="87">
        <f t="shared" si="92"/>
        <v>2.6666662190109491E-2</v>
      </c>
      <c r="O158" s="87">
        <f t="shared" si="93"/>
        <v>45753.118444445863</v>
      </c>
      <c r="P158" s="87">
        <f t="shared" si="94"/>
        <v>0</v>
      </c>
      <c r="Q158" s="87">
        <f t="shared" si="95"/>
        <v>45753.145111108053</v>
      </c>
      <c r="R158" s="87">
        <f t="shared" si="96"/>
        <v>45753.145111108061</v>
      </c>
      <c r="S158" s="87">
        <f t="shared" si="97"/>
        <v>2.6666662190109491E-2</v>
      </c>
      <c r="T158" s="87">
        <f t="shared" si="98"/>
        <v>45753.11844444587</v>
      </c>
    </row>
    <row r="159" spans="1:20" ht="12.95" customHeight="1">
      <c r="A159" s="86">
        <v>44196</v>
      </c>
      <c r="B159" s="87">
        <f t="shared" ref="B159:C159" si="105">B158</f>
        <v>-3529527</v>
      </c>
      <c r="C159" s="87">
        <f t="shared" si="105"/>
        <v>-3529527</v>
      </c>
      <c r="E159" s="87">
        <v>0</v>
      </c>
      <c r="F159" s="87">
        <v>0</v>
      </c>
      <c r="H159" s="87">
        <f t="shared" si="88"/>
        <v>3529527</v>
      </c>
      <c r="I159" s="87">
        <f t="shared" si="89"/>
        <v>3529527.0266666622</v>
      </c>
      <c r="J159" s="128"/>
      <c r="K159" s="87">
        <f t="shared" si="90"/>
        <v>0</v>
      </c>
      <c r="L159" s="87">
        <f t="shared" si="91"/>
        <v>2.6666662190109491E-2</v>
      </c>
      <c r="M159" s="128"/>
      <c r="N159" s="87">
        <f t="shared" si="92"/>
        <v>2.6666662190109491E-2</v>
      </c>
      <c r="O159" s="87">
        <f t="shared" si="93"/>
        <v>45753.118444445863</v>
      </c>
      <c r="P159" s="87">
        <f t="shared" si="94"/>
        <v>0</v>
      </c>
      <c r="Q159" s="87">
        <f t="shared" si="95"/>
        <v>45753.145111108053</v>
      </c>
      <c r="R159" s="87">
        <f t="shared" si="96"/>
        <v>45753.145111108061</v>
      </c>
      <c r="S159" s="87">
        <f t="shared" si="97"/>
        <v>2.6666662190109491E-2</v>
      </c>
      <c r="T159" s="87">
        <f t="shared" si="98"/>
        <v>45753.11844444587</v>
      </c>
    </row>
    <row r="160" spans="1:20" ht="12.95" customHeight="1">
      <c r="A160" s="86">
        <v>44227</v>
      </c>
      <c r="B160" s="87">
        <f t="shared" ref="B160:C160" si="106">B159</f>
        <v>-3529527</v>
      </c>
      <c r="C160" s="87">
        <f t="shared" si="106"/>
        <v>-3529527</v>
      </c>
      <c r="E160" s="87">
        <v>0</v>
      </c>
      <c r="F160" s="87">
        <v>0</v>
      </c>
      <c r="H160" s="87">
        <f t="shared" si="88"/>
        <v>3529527</v>
      </c>
      <c r="I160" s="87">
        <f t="shared" si="89"/>
        <v>3529527.0266666622</v>
      </c>
      <c r="J160" s="128"/>
      <c r="K160" s="87">
        <f t="shared" si="90"/>
        <v>0</v>
      </c>
      <c r="L160" s="87">
        <f t="shared" si="91"/>
        <v>2.6666662190109491E-2</v>
      </c>
      <c r="M160" s="128"/>
      <c r="N160" s="87">
        <f t="shared" si="92"/>
        <v>2.6666662190109491E-2</v>
      </c>
      <c r="O160" s="87">
        <f t="shared" si="93"/>
        <v>45753.118444445863</v>
      </c>
      <c r="P160" s="87">
        <f t="shared" si="94"/>
        <v>0</v>
      </c>
      <c r="Q160" s="87">
        <f t="shared" si="95"/>
        <v>45753.145111108053</v>
      </c>
      <c r="R160" s="87">
        <f t="shared" si="96"/>
        <v>45753.145111108061</v>
      </c>
      <c r="S160" s="87">
        <f t="shared" si="97"/>
        <v>2.6666662190109491E-2</v>
      </c>
      <c r="T160" s="87">
        <f t="shared" si="98"/>
        <v>45753.11844444587</v>
      </c>
    </row>
    <row r="161" spans="1:20" ht="12.95" customHeight="1">
      <c r="A161" s="86">
        <v>44255</v>
      </c>
      <c r="B161" s="87">
        <f t="shared" ref="B161:C161" si="107">B160</f>
        <v>-3529527</v>
      </c>
      <c r="C161" s="87">
        <f t="shared" si="107"/>
        <v>-3529527</v>
      </c>
      <c r="E161" s="87">
        <v>0</v>
      </c>
      <c r="F161" s="87">
        <v>0</v>
      </c>
      <c r="H161" s="87">
        <f t="shared" si="88"/>
        <v>3529527</v>
      </c>
      <c r="I161" s="87">
        <f t="shared" si="89"/>
        <v>3529527.0266666622</v>
      </c>
      <c r="J161" s="128"/>
      <c r="K161" s="87">
        <f t="shared" si="90"/>
        <v>0</v>
      </c>
      <c r="L161" s="87">
        <f t="shared" si="91"/>
        <v>2.6666662190109491E-2</v>
      </c>
      <c r="M161" s="128"/>
      <c r="N161" s="87">
        <f t="shared" si="92"/>
        <v>2.6666662190109491E-2</v>
      </c>
      <c r="O161" s="87">
        <f t="shared" si="93"/>
        <v>45753.118444445863</v>
      </c>
      <c r="P161" s="87">
        <f t="shared" si="94"/>
        <v>0</v>
      </c>
      <c r="Q161" s="87">
        <f t="shared" si="95"/>
        <v>45753.145111108053</v>
      </c>
      <c r="R161" s="87">
        <f t="shared" si="96"/>
        <v>45753.145111108061</v>
      </c>
      <c r="S161" s="87">
        <f t="shared" si="97"/>
        <v>2.6666662190109491E-2</v>
      </c>
      <c r="T161" s="87">
        <f t="shared" si="98"/>
        <v>45753.11844444587</v>
      </c>
    </row>
    <row r="162" spans="1:20" ht="12.95" customHeight="1">
      <c r="A162" s="86">
        <v>44286</v>
      </c>
      <c r="B162" s="87">
        <f t="shared" ref="B162:C162" si="108">B161</f>
        <v>-3529527</v>
      </c>
      <c r="C162" s="87">
        <f t="shared" si="108"/>
        <v>-3529527</v>
      </c>
      <c r="E162" s="87">
        <v>0</v>
      </c>
      <c r="F162" s="87">
        <v>0</v>
      </c>
      <c r="H162" s="87">
        <f t="shared" si="88"/>
        <v>3529527</v>
      </c>
      <c r="I162" s="87">
        <f t="shared" si="89"/>
        <v>3529527.0266666622</v>
      </c>
      <c r="J162" s="128"/>
      <c r="K162" s="87">
        <f t="shared" si="90"/>
        <v>0</v>
      </c>
      <c r="L162" s="87">
        <f t="shared" si="91"/>
        <v>2.6666662190109491E-2</v>
      </c>
      <c r="M162" s="128"/>
      <c r="N162" s="87">
        <f t="shared" si="92"/>
        <v>2.6666662190109491E-2</v>
      </c>
      <c r="O162" s="87">
        <f t="shared" si="93"/>
        <v>45753.118444445863</v>
      </c>
      <c r="P162" s="87">
        <f t="shared" si="94"/>
        <v>0</v>
      </c>
      <c r="Q162" s="87">
        <f t="shared" si="95"/>
        <v>45753.145111108053</v>
      </c>
      <c r="R162" s="87">
        <f t="shared" si="96"/>
        <v>45753.145111108061</v>
      </c>
      <c r="S162" s="87">
        <f t="shared" si="97"/>
        <v>2.6666662190109491E-2</v>
      </c>
      <c r="T162" s="87">
        <f t="shared" si="98"/>
        <v>45753.11844444587</v>
      </c>
    </row>
    <row r="163" spans="1:20" ht="12.95" customHeight="1">
      <c r="A163" s="86">
        <v>44316</v>
      </c>
      <c r="B163" s="87">
        <f t="shared" ref="B163:C163" si="109">B162</f>
        <v>-3529527</v>
      </c>
      <c r="C163" s="87">
        <f t="shared" si="109"/>
        <v>-3529527</v>
      </c>
      <c r="E163" s="87">
        <v>0</v>
      </c>
      <c r="F163" s="87">
        <v>0</v>
      </c>
      <c r="H163" s="87">
        <f t="shared" si="88"/>
        <v>3529527</v>
      </c>
      <c r="I163" s="87">
        <f t="shared" si="89"/>
        <v>3529527.0266666622</v>
      </c>
      <c r="J163" s="128"/>
      <c r="K163" s="87">
        <f t="shared" si="90"/>
        <v>0</v>
      </c>
      <c r="L163" s="87">
        <f t="shared" si="91"/>
        <v>2.6666662190109491E-2</v>
      </c>
      <c r="M163" s="128"/>
      <c r="N163" s="87">
        <f t="shared" si="92"/>
        <v>2.6666662190109491E-2</v>
      </c>
      <c r="O163" s="87">
        <f t="shared" si="93"/>
        <v>45753.118444445863</v>
      </c>
      <c r="P163" s="87">
        <f t="shared" si="94"/>
        <v>0</v>
      </c>
      <c r="Q163" s="87">
        <f t="shared" si="95"/>
        <v>45753.145111108053</v>
      </c>
      <c r="R163" s="87">
        <f t="shared" si="96"/>
        <v>45753.145111108061</v>
      </c>
      <c r="S163" s="87">
        <f t="shared" si="97"/>
        <v>2.6666662190109491E-2</v>
      </c>
      <c r="T163" s="87">
        <f t="shared" si="98"/>
        <v>45753.11844444587</v>
      </c>
    </row>
    <row r="164" spans="1:20" ht="12.95" customHeight="1">
      <c r="A164" s="86"/>
    </row>
    <row r="165" spans="1:20" ht="12.95" customHeight="1">
      <c r="A165" s="86"/>
    </row>
    <row r="193" spans="18:18" ht="12.95" customHeight="1">
      <c r="R193" s="760"/>
    </row>
  </sheetData>
  <phoneticPr fontId="2" type="noConversion"/>
  <pageMargins left="0.5" right="0.5" top="0.5" bottom="0.5" header="0.5" footer="0"/>
  <pageSetup scale="58" fitToHeight="0" orientation="landscape" r:id="rId1"/>
  <headerFooter alignWithMargins="0">
    <oddFooter>&amp;RPage &amp;P of &amp;N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V361"/>
  <sheetViews>
    <sheetView zoomScale="88" zoomScaleNormal="88" workbookViewId="0">
      <pane xSplit="2" ySplit="11" topLeftCell="C180" activePane="bottomRight" state="frozen"/>
      <selection activeCell="E87" sqref="E87:E98"/>
      <selection pane="topRight" activeCell="E87" sqref="E87:E98"/>
      <selection pane="bottomLeft" activeCell="E87" sqref="E87:E98"/>
      <selection pane="bottomRight" activeCell="L350" sqref="L350"/>
    </sheetView>
  </sheetViews>
  <sheetFormatPr defaultColWidth="9.33203125" defaultRowHeight="12.75" outlineLevelRow="1" outlineLevelCol="1"/>
  <cols>
    <col min="1" max="1" width="2.1640625" style="34" customWidth="1"/>
    <col min="2" max="2" width="11.5" style="34" customWidth="1"/>
    <col min="3" max="3" width="5.1640625" style="34" customWidth="1"/>
    <col min="4" max="4" width="18.33203125" style="34" customWidth="1"/>
    <col min="5" max="5" width="15.83203125" style="34" bestFit="1" customWidth="1"/>
    <col min="6" max="6" width="15.5" style="34" bestFit="1" customWidth="1"/>
    <col min="7" max="7" width="16.5" style="34" bestFit="1" customWidth="1"/>
    <col min="8" max="8" width="12" style="34" customWidth="1"/>
    <col min="9" max="9" width="17.5" style="36" bestFit="1" customWidth="1"/>
    <col min="10" max="10" width="17" style="36" customWidth="1"/>
    <col min="11" max="11" width="17" style="36" bestFit="1" customWidth="1"/>
    <col min="12" max="12" width="17.83203125" style="819" bestFit="1" customWidth="1"/>
    <col min="13" max="13" width="13.5" style="737" customWidth="1"/>
    <col min="14" max="14" width="18.1640625" style="37" customWidth="1"/>
    <col min="15" max="15" width="16.33203125" style="37" bestFit="1" customWidth="1"/>
    <col min="16" max="16" width="16.1640625" style="37" bestFit="1" customWidth="1"/>
    <col min="17" max="17" width="1.83203125" style="37" customWidth="1" outlineLevel="1"/>
    <col min="18" max="18" width="18" style="38" customWidth="1" outlineLevel="1"/>
    <col min="19" max="19" width="19.6640625" style="37" customWidth="1" outlineLevel="1"/>
    <col min="20" max="20" width="2" style="37" customWidth="1" outlineLevel="1"/>
    <col min="21" max="21" width="15.33203125" style="37" customWidth="1" outlineLevel="1"/>
    <col min="22" max="22" width="47.5" bestFit="1" customWidth="1"/>
    <col min="24" max="24" width="15.83203125" bestFit="1" customWidth="1"/>
  </cols>
  <sheetData>
    <row r="1" spans="1:19" ht="14.25" customHeight="1">
      <c r="B1" s="35" t="s">
        <v>8</v>
      </c>
      <c r="S1" s="39"/>
    </row>
    <row r="2" spans="1:19">
      <c r="B2" s="35" t="s">
        <v>141</v>
      </c>
      <c r="I2" s="118"/>
      <c r="J2" s="118"/>
      <c r="M2" s="91"/>
    </row>
    <row r="3" spans="1:19" ht="12.75" customHeight="1">
      <c r="B3" s="35" t="s">
        <v>146</v>
      </c>
      <c r="M3" s="855"/>
    </row>
    <row r="4" spans="1:19" ht="12.75" customHeight="1">
      <c r="B4" s="40" t="s">
        <v>142</v>
      </c>
      <c r="M4" s="91"/>
    </row>
    <row r="5" spans="1:19">
      <c r="B5" s="35" t="s">
        <v>169</v>
      </c>
      <c r="C5" s="93"/>
      <c r="D5" s="94">
        <v>89000000</v>
      </c>
      <c r="I5" s="118"/>
      <c r="J5" s="119"/>
    </row>
    <row r="6" spans="1:19">
      <c r="D6" s="41"/>
      <c r="E6" s="41"/>
      <c r="F6" s="41"/>
      <c r="G6" s="42"/>
      <c r="H6" s="43"/>
      <c r="I6" s="44"/>
      <c r="J6" s="44"/>
      <c r="K6" s="44"/>
      <c r="L6" s="556"/>
      <c r="M6" s="367"/>
      <c r="N6" s="45"/>
      <c r="O6" s="45"/>
      <c r="P6" s="45"/>
      <c r="Q6" s="45"/>
      <c r="R6" s="46"/>
    </row>
    <row r="7" spans="1:19">
      <c r="A7" s="47"/>
      <c r="B7" s="47"/>
      <c r="C7" s="47"/>
      <c r="D7" s="48"/>
      <c r="E7" s="90"/>
      <c r="F7" s="90"/>
      <c r="G7" s="49"/>
      <c r="H7" s="50"/>
      <c r="I7" s="51"/>
      <c r="J7" s="51"/>
      <c r="K7" s="51"/>
      <c r="L7" s="557"/>
      <c r="M7" s="895" t="s">
        <v>144</v>
      </c>
      <c r="N7" s="51"/>
      <c r="O7" s="51"/>
      <c r="P7" s="51"/>
      <c r="Q7" s="52"/>
      <c r="R7" s="53"/>
      <c r="S7" s="54"/>
    </row>
    <row r="8" spans="1:19" ht="16.5" customHeight="1">
      <c r="A8" s="479"/>
      <c r="B8" s="480" t="s">
        <v>15</v>
      </c>
      <c r="C8" s="480"/>
      <c r="D8" s="97" t="s">
        <v>188</v>
      </c>
      <c r="E8" s="97" t="s">
        <v>13</v>
      </c>
      <c r="F8" s="97" t="s">
        <v>2</v>
      </c>
      <c r="G8" s="481" t="s">
        <v>101</v>
      </c>
      <c r="H8" s="97" t="s">
        <v>12</v>
      </c>
      <c r="I8" s="482" t="s">
        <v>13</v>
      </c>
      <c r="J8" s="482" t="s">
        <v>102</v>
      </c>
      <c r="K8" s="482" t="s">
        <v>11</v>
      </c>
      <c r="L8" s="482" t="s">
        <v>14</v>
      </c>
      <c r="M8" s="482" t="s">
        <v>12</v>
      </c>
      <c r="N8" s="97" t="s">
        <v>13</v>
      </c>
      <c r="O8" s="481" t="s">
        <v>103</v>
      </c>
      <c r="P8" s="483" t="s">
        <v>104</v>
      </c>
      <c r="Q8" s="55"/>
      <c r="R8" s="57"/>
      <c r="S8" s="57"/>
    </row>
    <row r="9" spans="1:19">
      <c r="A9" s="484"/>
      <c r="B9" s="58"/>
      <c r="C9" s="58"/>
      <c r="D9" s="55" t="s">
        <v>99</v>
      </c>
      <c r="E9" s="55" t="s">
        <v>145</v>
      </c>
      <c r="F9" s="55" t="s">
        <v>147</v>
      </c>
      <c r="G9" s="57" t="s">
        <v>2</v>
      </c>
      <c r="H9" s="55" t="s">
        <v>3</v>
      </c>
      <c r="I9" s="59" t="s">
        <v>3</v>
      </c>
      <c r="J9" s="59" t="s">
        <v>3</v>
      </c>
      <c r="K9" s="59" t="s">
        <v>9</v>
      </c>
      <c r="L9" s="377" t="s">
        <v>16</v>
      </c>
      <c r="M9" s="377" t="s">
        <v>17</v>
      </c>
      <c r="N9" s="57" t="s">
        <v>17</v>
      </c>
      <c r="O9" s="55" t="s">
        <v>11</v>
      </c>
      <c r="P9" s="485" t="s">
        <v>103</v>
      </c>
      <c r="Q9" s="55"/>
      <c r="R9" s="57"/>
      <c r="S9" s="57"/>
    </row>
    <row r="10" spans="1:19" ht="13.5" customHeight="1">
      <c r="A10" s="484"/>
      <c r="B10" s="58"/>
      <c r="C10" s="58"/>
      <c r="D10" s="59" t="s">
        <v>105</v>
      </c>
      <c r="E10" s="59" t="s">
        <v>23</v>
      </c>
      <c r="F10" s="57" t="s">
        <v>24</v>
      </c>
      <c r="G10" s="57" t="s">
        <v>148</v>
      </c>
      <c r="H10" s="59" t="s">
        <v>720</v>
      </c>
      <c r="I10" s="57" t="s">
        <v>151</v>
      </c>
      <c r="J10" s="59" t="s">
        <v>30</v>
      </c>
      <c r="K10" s="59" t="s">
        <v>152</v>
      </c>
      <c r="L10" s="377" t="s">
        <v>153</v>
      </c>
      <c r="M10" s="377" t="s">
        <v>722</v>
      </c>
      <c r="N10" s="57" t="s">
        <v>156</v>
      </c>
      <c r="O10" s="59" t="s">
        <v>131</v>
      </c>
      <c r="P10" s="486" t="s">
        <v>157</v>
      </c>
      <c r="Q10" s="55"/>
      <c r="R10" s="57"/>
      <c r="S10" s="57"/>
    </row>
    <row r="11" spans="1:19" ht="13.5" customHeight="1">
      <c r="A11" s="487"/>
      <c r="B11" s="60"/>
      <c r="C11" s="60"/>
      <c r="D11" s="980" t="s">
        <v>149</v>
      </c>
      <c r="E11" s="980"/>
      <c r="F11" s="980"/>
      <c r="G11" s="663"/>
      <c r="H11" s="666" t="s">
        <v>143</v>
      </c>
      <c r="I11" s="61"/>
      <c r="J11" s="51"/>
      <c r="K11" s="51"/>
      <c r="L11" s="557"/>
      <c r="M11" s="557" t="s">
        <v>721</v>
      </c>
      <c r="N11" s="61"/>
      <c r="O11" s="51"/>
      <c r="P11" s="488"/>
      <c r="Q11" s="55"/>
      <c r="R11" s="57"/>
      <c r="S11" s="57"/>
    </row>
    <row r="12" spans="1:19" ht="14.25" hidden="1" customHeight="1" outlineLevel="1">
      <c r="A12" s="484"/>
      <c r="B12" s="80">
        <v>38837</v>
      </c>
      <c r="C12" s="489"/>
      <c r="D12" s="103">
        <v>105187</v>
      </c>
      <c r="E12" s="490">
        <f>D12</f>
        <v>105187</v>
      </c>
      <c r="F12" s="491">
        <f>D5+E12</f>
        <v>89105187</v>
      </c>
      <c r="G12" s="70">
        <f>($F$12+F12+SUM($F11:F$13)*2)/24</f>
        <v>22342951.664166667</v>
      </c>
      <c r="H12" s="55"/>
      <c r="I12" s="59"/>
      <c r="J12" s="65"/>
      <c r="K12" s="70">
        <f t="shared" ref="K12:K75" si="0">G12+J12</f>
        <v>22342951.664166667</v>
      </c>
      <c r="L12" s="814">
        <f>F12+I12</f>
        <v>89105187</v>
      </c>
      <c r="M12" s="814"/>
      <c r="N12" s="66"/>
      <c r="O12" s="66"/>
      <c r="P12" s="492">
        <f t="shared" ref="P12:P39" si="1">O12+K12</f>
        <v>22342951.664166667</v>
      </c>
      <c r="Q12" s="66"/>
      <c r="R12" s="67"/>
      <c r="S12" s="68"/>
    </row>
    <row r="13" spans="1:19" ht="14.25" hidden="1" customHeight="1" outlineLevel="1">
      <c r="A13" s="484"/>
      <c r="B13" s="80">
        <v>38868</v>
      </c>
      <c r="C13" s="37"/>
      <c r="D13" s="103">
        <v>799858.97</v>
      </c>
      <c r="E13" s="490">
        <f>D13+E12</f>
        <v>905045.97</v>
      </c>
      <c r="F13" s="491">
        <f>F12+D13</f>
        <v>89905045.969999999</v>
      </c>
      <c r="G13" s="70">
        <f>($F$12+F13+SUM($F12:F$13)*2)/24</f>
        <v>22376279.12125</v>
      </c>
      <c r="H13" s="55"/>
      <c r="I13" s="59"/>
      <c r="J13" s="65"/>
      <c r="K13" s="70">
        <f t="shared" si="0"/>
        <v>22376279.12125</v>
      </c>
      <c r="L13" s="814">
        <f t="shared" ref="L13:L76" si="2">F13+I13</f>
        <v>89905045.969999999</v>
      </c>
      <c r="M13" s="814"/>
      <c r="N13" s="66"/>
      <c r="O13" s="66"/>
      <c r="P13" s="492">
        <f t="shared" si="1"/>
        <v>22376279.12125</v>
      </c>
      <c r="Q13" s="66"/>
      <c r="R13" s="67"/>
      <c r="S13" s="68"/>
    </row>
    <row r="14" spans="1:19" ht="14.25" hidden="1" customHeight="1" outlineLevel="1">
      <c r="A14" s="484"/>
      <c r="B14" s="80">
        <v>38898</v>
      </c>
      <c r="C14" s="37"/>
      <c r="D14" s="103">
        <v>799858.97</v>
      </c>
      <c r="E14" s="490">
        <f t="shared" ref="E14:E77" si="3">D14+E13</f>
        <v>1704904.94</v>
      </c>
      <c r="F14" s="491">
        <f>F13+D14</f>
        <v>90704904.939999998</v>
      </c>
      <c r="G14" s="70">
        <f>($F$12+F14+SUM($F$13:F13)*2)/24</f>
        <v>14984174.328333333</v>
      </c>
      <c r="H14" s="55"/>
      <c r="I14" s="59"/>
      <c r="J14" s="65"/>
      <c r="K14" s="70">
        <f t="shared" si="0"/>
        <v>14984174.328333333</v>
      </c>
      <c r="L14" s="814">
        <f t="shared" si="2"/>
        <v>90704904.939999998</v>
      </c>
      <c r="M14" s="814"/>
      <c r="N14" s="66"/>
      <c r="O14" s="66"/>
      <c r="P14" s="492">
        <f t="shared" si="1"/>
        <v>14984174.328333333</v>
      </c>
      <c r="Q14" s="66"/>
      <c r="R14" s="67"/>
      <c r="S14" s="68"/>
    </row>
    <row r="15" spans="1:19" ht="14.25" hidden="1" customHeight="1" outlineLevel="1">
      <c r="A15" s="484"/>
      <c r="B15" s="80">
        <v>38929</v>
      </c>
      <c r="C15" s="37"/>
      <c r="D15" s="103">
        <v>799858.97</v>
      </c>
      <c r="E15" s="490">
        <f t="shared" si="3"/>
        <v>2504763.91</v>
      </c>
      <c r="F15" s="491">
        <f t="shared" ref="F15:F77" si="4">F14+D15</f>
        <v>91504763.909999996</v>
      </c>
      <c r="G15" s="70">
        <f>($F$12+F15+SUM($F$13:F14)*2)/24</f>
        <v>22576243.86375</v>
      </c>
      <c r="H15" s="55"/>
      <c r="I15" s="59"/>
      <c r="J15" s="65"/>
      <c r="K15" s="70">
        <f t="shared" si="0"/>
        <v>22576243.86375</v>
      </c>
      <c r="L15" s="814">
        <f t="shared" si="2"/>
        <v>91504763.909999996</v>
      </c>
      <c r="M15" s="814"/>
      <c r="N15" s="66"/>
      <c r="O15" s="66"/>
      <c r="P15" s="492">
        <f t="shared" si="1"/>
        <v>22576243.86375</v>
      </c>
      <c r="Q15" s="66"/>
      <c r="R15" s="67"/>
      <c r="S15" s="68"/>
    </row>
    <row r="16" spans="1:19" ht="14.25" hidden="1" customHeight="1" outlineLevel="1">
      <c r="A16" s="484"/>
      <c r="B16" s="80">
        <v>38960</v>
      </c>
      <c r="C16" s="37"/>
      <c r="D16" s="103">
        <v>799858.97</v>
      </c>
      <c r="E16" s="490">
        <f t="shared" si="3"/>
        <v>3304622.88</v>
      </c>
      <c r="F16" s="491">
        <f t="shared" si="4"/>
        <v>92304622.879999995</v>
      </c>
      <c r="G16" s="70">
        <f>($F$12+F16+SUM($F$13:F15)*2)/24</f>
        <v>30234968.313333333</v>
      </c>
      <c r="H16" s="55"/>
      <c r="I16" s="59"/>
      <c r="J16" s="65"/>
      <c r="K16" s="70">
        <f t="shared" si="0"/>
        <v>30234968.313333333</v>
      </c>
      <c r="L16" s="814">
        <f t="shared" si="2"/>
        <v>92304622.879999995</v>
      </c>
      <c r="M16" s="814"/>
      <c r="N16" s="66"/>
      <c r="O16" s="66"/>
      <c r="P16" s="492">
        <f t="shared" si="1"/>
        <v>30234968.313333333</v>
      </c>
      <c r="Q16" s="66"/>
      <c r="R16" s="67"/>
      <c r="S16" s="68"/>
    </row>
    <row r="17" spans="1:21" ht="14.25" hidden="1" customHeight="1" outlineLevel="1">
      <c r="A17" s="484"/>
      <c r="B17" s="80">
        <v>38990</v>
      </c>
      <c r="C17" s="37"/>
      <c r="D17" s="103">
        <v>799858.97</v>
      </c>
      <c r="E17" s="490">
        <f t="shared" si="3"/>
        <v>4104481.8499999996</v>
      </c>
      <c r="F17" s="491">
        <f t="shared" si="4"/>
        <v>93104481.849999994</v>
      </c>
      <c r="G17" s="70">
        <f>($F$12+F17+SUM($F$13:F16)*2)/24</f>
        <v>37960347.677083336</v>
      </c>
      <c r="H17" s="55"/>
      <c r="I17" s="59"/>
      <c r="J17" s="65"/>
      <c r="K17" s="70">
        <f t="shared" si="0"/>
        <v>37960347.677083336</v>
      </c>
      <c r="L17" s="814">
        <f t="shared" si="2"/>
        <v>93104481.849999994</v>
      </c>
      <c r="M17" s="814"/>
      <c r="N17" s="66"/>
      <c r="O17" s="66"/>
      <c r="P17" s="492">
        <f t="shared" si="1"/>
        <v>37960347.677083336</v>
      </c>
      <c r="Q17" s="66"/>
      <c r="R17" s="67"/>
      <c r="S17" s="68"/>
    </row>
    <row r="18" spans="1:21" ht="14.25" hidden="1" customHeight="1" outlineLevel="1">
      <c r="A18" s="484"/>
      <c r="B18" s="80">
        <v>39021</v>
      </c>
      <c r="C18" s="37"/>
      <c r="D18" s="103">
        <v>799858.97</v>
      </c>
      <c r="E18" s="490">
        <f t="shared" si="3"/>
        <v>4904340.8199999994</v>
      </c>
      <c r="F18" s="491">
        <f t="shared" si="4"/>
        <v>93904340.819999993</v>
      </c>
      <c r="G18" s="70">
        <f>($F$12+F18+SUM($F$13:F17)*2)/24</f>
        <v>45752381.954999991</v>
      </c>
      <c r="H18" s="55"/>
      <c r="I18" s="59"/>
      <c r="J18" s="65"/>
      <c r="K18" s="70">
        <f t="shared" si="0"/>
        <v>45752381.954999991</v>
      </c>
      <c r="L18" s="814">
        <f t="shared" si="2"/>
        <v>93904340.819999993</v>
      </c>
      <c r="M18" s="814"/>
      <c r="N18" s="66"/>
      <c r="O18" s="66"/>
      <c r="P18" s="492">
        <f t="shared" si="1"/>
        <v>45752381.954999991</v>
      </c>
      <c r="Q18" s="66"/>
      <c r="R18" s="67"/>
      <c r="S18" s="68"/>
    </row>
    <row r="19" spans="1:21" ht="14.25" hidden="1" customHeight="1" outlineLevel="1">
      <c r="A19" s="484"/>
      <c r="B19" s="80">
        <v>39051</v>
      </c>
      <c r="C19" s="37"/>
      <c r="D19" s="103">
        <v>799858.97</v>
      </c>
      <c r="E19" s="490">
        <f t="shared" si="3"/>
        <v>5704199.7899999991</v>
      </c>
      <c r="F19" s="491">
        <f t="shared" si="4"/>
        <v>94704199.789999992</v>
      </c>
      <c r="G19" s="70">
        <f>($F$12+F19+SUM($F$13:F18)*2)/24</f>
        <v>53611071.14708332</v>
      </c>
      <c r="H19" s="55"/>
      <c r="I19" s="59"/>
      <c r="J19" s="65"/>
      <c r="K19" s="70">
        <f t="shared" si="0"/>
        <v>53611071.14708332</v>
      </c>
      <c r="L19" s="814">
        <f t="shared" si="2"/>
        <v>94704199.789999992</v>
      </c>
      <c r="M19" s="814"/>
      <c r="N19" s="66"/>
      <c r="O19" s="66"/>
      <c r="P19" s="492">
        <f t="shared" si="1"/>
        <v>53611071.14708332</v>
      </c>
      <c r="Q19" s="66"/>
      <c r="R19" s="67"/>
      <c r="S19" s="68"/>
    </row>
    <row r="20" spans="1:21" ht="14.25" hidden="1" customHeight="1" outlineLevel="1">
      <c r="A20" s="484"/>
      <c r="B20" s="80">
        <v>39082</v>
      </c>
      <c r="C20" s="37"/>
      <c r="D20" s="103">
        <v>799858.97</v>
      </c>
      <c r="E20" s="490">
        <f t="shared" si="3"/>
        <v>6504058.7599999988</v>
      </c>
      <c r="F20" s="491">
        <f t="shared" si="4"/>
        <v>95504058.75999999</v>
      </c>
      <c r="G20" s="70">
        <f>($F$12+F20+SUM($F$13:F19)*2)/24</f>
        <v>61536415.253333323</v>
      </c>
      <c r="H20" s="55"/>
      <c r="I20" s="59"/>
      <c r="J20" s="65"/>
      <c r="K20" s="70">
        <f t="shared" si="0"/>
        <v>61536415.253333323</v>
      </c>
      <c r="L20" s="814">
        <f t="shared" si="2"/>
        <v>95504058.75999999</v>
      </c>
      <c r="M20" s="814"/>
      <c r="N20" s="66"/>
      <c r="O20" s="66"/>
      <c r="P20" s="492">
        <f t="shared" si="1"/>
        <v>61536415.253333323</v>
      </c>
      <c r="Q20" s="66"/>
      <c r="R20" s="67"/>
      <c r="S20" s="68"/>
    </row>
    <row r="21" spans="1:21" ht="14.25" hidden="1" customHeight="1" outlineLevel="1">
      <c r="A21" s="484"/>
      <c r="B21" s="80">
        <v>39113</v>
      </c>
      <c r="C21" s="37"/>
      <c r="D21" s="103">
        <v>803355.67</v>
      </c>
      <c r="E21" s="490">
        <f t="shared" si="3"/>
        <v>7307414.4299999988</v>
      </c>
      <c r="F21" s="491">
        <f t="shared" si="4"/>
        <v>96307414.429999992</v>
      </c>
      <c r="G21" s="70">
        <f>($F$12+F21+SUM($F$13:F20)*2)/24</f>
        <v>69528559.969583318</v>
      </c>
      <c r="H21" s="55"/>
      <c r="I21" s="59"/>
      <c r="J21" s="65"/>
      <c r="K21" s="70">
        <f t="shared" si="0"/>
        <v>69528559.969583318</v>
      </c>
      <c r="L21" s="814">
        <f t="shared" si="2"/>
        <v>96307414.429999992</v>
      </c>
      <c r="M21" s="814"/>
      <c r="N21" s="66"/>
      <c r="O21" s="66"/>
      <c r="P21" s="492">
        <f t="shared" si="1"/>
        <v>69528559.969583318</v>
      </c>
      <c r="Q21" s="66"/>
      <c r="R21" s="67"/>
      <c r="S21" s="68"/>
    </row>
    <row r="22" spans="1:21" ht="14.25" hidden="1" customHeight="1" outlineLevel="1">
      <c r="A22" s="484"/>
      <c r="B22" s="80">
        <v>39141</v>
      </c>
      <c r="C22" s="37"/>
      <c r="D22" s="103">
        <v>805564.1</v>
      </c>
      <c r="E22" s="490">
        <f t="shared" si="3"/>
        <v>8112978.5299999984</v>
      </c>
      <c r="F22" s="491">
        <f t="shared" si="4"/>
        <v>97112978.529999986</v>
      </c>
      <c r="G22" s="70">
        <f>($F$12+F22+SUM($F$13:F21)*2)/24</f>
        <v>77587743.009583309</v>
      </c>
      <c r="H22" s="55"/>
      <c r="I22" s="59"/>
      <c r="J22" s="65"/>
      <c r="K22" s="70">
        <f t="shared" si="0"/>
        <v>77587743.009583309</v>
      </c>
      <c r="L22" s="814">
        <f t="shared" si="2"/>
        <v>97112978.529999986</v>
      </c>
      <c r="M22" s="814"/>
      <c r="N22" s="66"/>
      <c r="O22" s="66"/>
      <c r="P22" s="492">
        <f t="shared" si="1"/>
        <v>77587743.009583309</v>
      </c>
      <c r="Q22" s="66"/>
      <c r="R22" s="67"/>
      <c r="S22" s="68"/>
    </row>
    <row r="23" spans="1:21" ht="14.25" hidden="1" customHeight="1" outlineLevel="1">
      <c r="A23" s="484"/>
      <c r="B23" s="80">
        <v>39172</v>
      </c>
      <c r="C23" s="37"/>
      <c r="D23" s="103">
        <v>805564.1</v>
      </c>
      <c r="E23" s="490">
        <f t="shared" si="3"/>
        <v>8918542.629999999</v>
      </c>
      <c r="F23" s="491">
        <f t="shared" si="4"/>
        <v>97918542.62999998</v>
      </c>
      <c r="G23" s="70">
        <f>($F$12+F23+SUM($F$13:F22)*2)/24</f>
        <v>85714056.39124997</v>
      </c>
      <c r="H23" s="55"/>
      <c r="I23" s="59"/>
      <c r="J23" s="65"/>
      <c r="K23" s="70">
        <f t="shared" si="0"/>
        <v>85714056.39124997</v>
      </c>
      <c r="L23" s="814">
        <f t="shared" si="2"/>
        <v>97918542.62999998</v>
      </c>
      <c r="M23" s="814"/>
      <c r="N23" s="66"/>
      <c r="O23" s="66"/>
      <c r="P23" s="492">
        <f t="shared" si="1"/>
        <v>85714056.39124997</v>
      </c>
      <c r="Q23" s="66"/>
      <c r="R23" s="67"/>
      <c r="S23" s="68"/>
    </row>
    <row r="24" spans="1:21" ht="14.25" hidden="1" customHeight="1" outlineLevel="1">
      <c r="A24" s="484"/>
      <c r="B24" s="80">
        <v>39202</v>
      </c>
      <c r="C24" s="37"/>
      <c r="D24" s="103">
        <v>805564.1</v>
      </c>
      <c r="E24" s="490">
        <f t="shared" si="3"/>
        <v>9724106.7299999986</v>
      </c>
      <c r="F24" s="491">
        <f t="shared" si="4"/>
        <v>98724106.729999974</v>
      </c>
      <c r="G24" s="70">
        <f>($F$12+F24+SUM($F$13:F23)*2)/24</f>
        <v>93907500.114583313</v>
      </c>
      <c r="H24" s="55"/>
      <c r="I24" s="59"/>
      <c r="J24" s="65"/>
      <c r="K24" s="70">
        <f t="shared" si="0"/>
        <v>93907500.114583313</v>
      </c>
      <c r="L24" s="814">
        <f t="shared" si="2"/>
        <v>98724106.729999974</v>
      </c>
      <c r="M24" s="814"/>
      <c r="N24" s="66"/>
      <c r="O24" s="66"/>
      <c r="P24" s="492">
        <f t="shared" si="1"/>
        <v>93907500.114583313</v>
      </c>
      <c r="Q24" s="66"/>
      <c r="R24" s="67"/>
      <c r="S24" s="68"/>
    </row>
    <row r="25" spans="1:21" ht="14.25" hidden="1" customHeight="1" outlineLevel="1">
      <c r="A25" s="484"/>
      <c r="B25" s="80">
        <v>39233</v>
      </c>
      <c r="C25" s="37"/>
      <c r="D25" s="103">
        <v>805564.1</v>
      </c>
      <c r="E25" s="490">
        <f t="shared" si="3"/>
        <v>10529670.829999998</v>
      </c>
      <c r="F25" s="491">
        <f t="shared" si="4"/>
        <v>99529670.829999968</v>
      </c>
      <c r="G25" s="70">
        <f t="shared" ref="G25:G88" si="5">(F13+F25+SUM(F14:F24)*2)/24</f>
        <v>94709314.472500011</v>
      </c>
      <c r="H25" s="55"/>
      <c r="I25" s="59"/>
      <c r="J25" s="65"/>
      <c r="K25" s="70">
        <f t="shared" si="0"/>
        <v>94709314.472500011</v>
      </c>
      <c r="L25" s="814">
        <f t="shared" si="2"/>
        <v>99529670.829999968</v>
      </c>
      <c r="M25" s="814"/>
      <c r="N25" s="66"/>
      <c r="O25" s="66"/>
      <c r="P25" s="492">
        <f t="shared" si="1"/>
        <v>94709314.472500011</v>
      </c>
      <c r="Q25" s="66"/>
      <c r="R25" s="67"/>
      <c r="S25" s="68"/>
    </row>
    <row r="26" spans="1:21" ht="14.25" hidden="1" customHeight="1" outlineLevel="1">
      <c r="A26" s="484"/>
      <c r="B26" s="80">
        <v>39263</v>
      </c>
      <c r="C26" s="37"/>
      <c r="D26" s="103">
        <v>805564.1</v>
      </c>
      <c r="E26" s="490">
        <f t="shared" si="3"/>
        <v>11335234.929999998</v>
      </c>
      <c r="F26" s="491">
        <f t="shared" si="4"/>
        <v>100335234.92999996</v>
      </c>
      <c r="G26" s="70">
        <f t="shared" si="5"/>
        <v>95511604.257916644</v>
      </c>
      <c r="H26" s="55"/>
      <c r="I26" s="59"/>
      <c r="J26" s="65"/>
      <c r="K26" s="70">
        <f t="shared" si="0"/>
        <v>95511604.257916644</v>
      </c>
      <c r="L26" s="814">
        <f t="shared" si="2"/>
        <v>100335234.92999996</v>
      </c>
      <c r="M26" s="814"/>
      <c r="N26" s="66"/>
      <c r="O26" s="66"/>
      <c r="P26" s="492">
        <f t="shared" si="1"/>
        <v>95511604.257916644</v>
      </c>
      <c r="Q26" s="66"/>
      <c r="R26" s="67"/>
      <c r="S26" s="68"/>
    </row>
    <row r="27" spans="1:21" ht="14.25" hidden="1" customHeight="1" outlineLevel="1">
      <c r="A27" s="484"/>
      <c r="B27" s="80">
        <v>39294</v>
      </c>
      <c r="C27" s="37"/>
      <c r="D27" s="103">
        <v>805564.1</v>
      </c>
      <c r="E27" s="490">
        <f t="shared" si="3"/>
        <v>12140799.029999997</v>
      </c>
      <c r="F27" s="491">
        <f t="shared" si="4"/>
        <v>101140799.02999996</v>
      </c>
      <c r="G27" s="70">
        <f t="shared" si="5"/>
        <v>96314369.470833302</v>
      </c>
      <c r="H27" s="55"/>
      <c r="I27" s="59"/>
      <c r="J27" s="65"/>
      <c r="K27" s="70">
        <f t="shared" si="0"/>
        <v>96314369.470833302</v>
      </c>
      <c r="L27" s="814">
        <f t="shared" si="2"/>
        <v>101140799.02999996</v>
      </c>
      <c r="M27" s="814"/>
      <c r="N27" s="66"/>
      <c r="O27" s="66"/>
      <c r="P27" s="492">
        <f t="shared" si="1"/>
        <v>96314369.470833302</v>
      </c>
      <c r="Q27" s="66"/>
      <c r="R27" s="67"/>
      <c r="S27" s="68"/>
    </row>
    <row r="28" spans="1:21" ht="14.25" hidden="1" customHeight="1" outlineLevel="1">
      <c r="A28" s="484"/>
      <c r="B28" s="80">
        <v>39325</v>
      </c>
      <c r="C28" s="37"/>
      <c r="D28" s="103">
        <v>805564.1</v>
      </c>
      <c r="E28" s="490">
        <f t="shared" si="3"/>
        <v>12946363.129999997</v>
      </c>
      <c r="F28" s="491">
        <f t="shared" si="4"/>
        <v>101946363.12999995</v>
      </c>
      <c r="G28" s="70">
        <f t="shared" si="5"/>
        <v>97117610.111249983</v>
      </c>
      <c r="H28" s="55"/>
      <c r="I28" s="59"/>
      <c r="J28" s="65"/>
      <c r="K28" s="70">
        <f t="shared" si="0"/>
        <v>97117610.111249983</v>
      </c>
      <c r="L28" s="814">
        <f>F28+I28</f>
        <v>101946363.12999995</v>
      </c>
      <c r="M28" s="814"/>
      <c r="N28" s="66"/>
      <c r="O28" s="66"/>
      <c r="P28" s="492">
        <f t="shared" si="1"/>
        <v>97117610.111249983</v>
      </c>
      <c r="Q28" s="66"/>
      <c r="R28" s="67"/>
      <c r="S28" s="68"/>
    </row>
    <row r="29" spans="1:21" ht="14.25" hidden="1" customHeight="1" outlineLevel="1">
      <c r="A29" s="484"/>
      <c r="B29" s="80">
        <v>39355</v>
      </c>
      <c r="C29" s="37"/>
      <c r="D29" s="103">
        <v>805564.1</v>
      </c>
      <c r="E29" s="490">
        <f t="shared" si="3"/>
        <v>13751927.229999997</v>
      </c>
      <c r="F29" s="491">
        <f t="shared" si="4"/>
        <v>102751927.22999994</v>
      </c>
      <c r="G29" s="70">
        <f t="shared" si="5"/>
        <v>97921326.17916663</v>
      </c>
      <c r="H29" s="55"/>
      <c r="I29" s="59"/>
      <c r="J29" s="65"/>
      <c r="K29" s="70">
        <f t="shared" si="0"/>
        <v>97921326.17916663</v>
      </c>
      <c r="L29" s="814">
        <f t="shared" si="2"/>
        <v>102751927.22999994</v>
      </c>
      <c r="M29" s="814"/>
      <c r="N29" s="66"/>
      <c r="O29" s="66"/>
      <c r="P29" s="492">
        <f t="shared" si="1"/>
        <v>97921326.17916663</v>
      </c>
      <c r="Q29" s="66"/>
      <c r="R29" s="67"/>
      <c r="S29" s="68"/>
    </row>
    <row r="30" spans="1:21" ht="14.25" hidden="1" customHeight="1" outlineLevel="1">
      <c r="A30" s="484"/>
      <c r="B30" s="80">
        <v>39386</v>
      </c>
      <c r="C30" s="37"/>
      <c r="D30" s="103">
        <v>805564.1</v>
      </c>
      <c r="E30" s="490">
        <f t="shared" si="3"/>
        <v>14557491.329999996</v>
      </c>
      <c r="F30" s="491">
        <f t="shared" si="4"/>
        <v>103557491.32999994</v>
      </c>
      <c r="G30" s="70">
        <f t="shared" si="5"/>
        <v>98725517.674583316</v>
      </c>
      <c r="H30" s="55"/>
      <c r="I30" s="59"/>
      <c r="J30" s="65"/>
      <c r="K30" s="70">
        <f t="shared" si="0"/>
        <v>98725517.674583316</v>
      </c>
      <c r="L30" s="814">
        <f t="shared" si="2"/>
        <v>103557491.32999994</v>
      </c>
      <c r="M30" s="814"/>
      <c r="N30" s="66"/>
      <c r="O30" s="66"/>
      <c r="P30" s="492">
        <f t="shared" si="1"/>
        <v>98725517.674583316</v>
      </c>
      <c r="Q30" s="66"/>
      <c r="R30" s="67"/>
      <c r="S30" s="68"/>
    </row>
    <row r="31" spans="1:21" ht="14.25" hidden="1" customHeight="1" outlineLevel="1">
      <c r="A31" s="484"/>
      <c r="B31" s="80">
        <v>39416</v>
      </c>
      <c r="C31" s="37"/>
      <c r="D31" s="103">
        <v>805564.1</v>
      </c>
      <c r="E31" s="490">
        <f t="shared" si="3"/>
        <v>15363055.429999996</v>
      </c>
      <c r="F31" s="491">
        <f t="shared" si="4"/>
        <v>104363055.42999993</v>
      </c>
      <c r="G31" s="70">
        <f t="shared" si="5"/>
        <v>99530184.597499967</v>
      </c>
      <c r="H31" s="55"/>
      <c r="I31" s="59"/>
      <c r="J31" s="65"/>
      <c r="K31" s="70">
        <f t="shared" si="0"/>
        <v>99530184.597499967</v>
      </c>
      <c r="L31" s="814">
        <f t="shared" si="2"/>
        <v>104363055.42999993</v>
      </c>
      <c r="M31" s="814"/>
      <c r="N31" s="66"/>
      <c r="O31" s="66"/>
      <c r="P31" s="492">
        <f t="shared" si="1"/>
        <v>99530184.597499967</v>
      </c>
      <c r="Q31" s="66"/>
      <c r="R31" s="67"/>
      <c r="S31" s="68"/>
    </row>
    <row r="32" spans="1:21" s="81" customFormat="1" ht="14.25" hidden="1" customHeight="1" outlineLevel="1">
      <c r="A32" s="494"/>
      <c r="B32" s="495">
        <v>39447</v>
      </c>
      <c r="C32" s="737"/>
      <c r="D32" s="104">
        <v>805564.1</v>
      </c>
      <c r="E32" s="491">
        <f t="shared" si="3"/>
        <v>16168619.529999996</v>
      </c>
      <c r="F32" s="491">
        <f t="shared" si="4"/>
        <v>105168619.52999993</v>
      </c>
      <c r="G32" s="630">
        <f t="shared" si="5"/>
        <v>100335326.94791663</v>
      </c>
      <c r="H32" s="377"/>
      <c r="I32" s="377"/>
      <c r="J32" s="394"/>
      <c r="K32" s="630">
        <f t="shared" si="0"/>
        <v>100335326.94791663</v>
      </c>
      <c r="L32" s="814">
        <f t="shared" si="2"/>
        <v>105168619.52999993</v>
      </c>
      <c r="M32" s="814"/>
      <c r="N32" s="384"/>
      <c r="O32" s="384"/>
      <c r="P32" s="868">
        <f t="shared" si="1"/>
        <v>100335326.94791663</v>
      </c>
      <c r="Q32" s="384"/>
      <c r="R32" s="630"/>
      <c r="S32" s="68"/>
      <c r="T32" s="737"/>
      <c r="U32" s="737"/>
    </row>
    <row r="33" spans="1:21" s="81" customFormat="1" ht="14.25" hidden="1" customHeight="1" outlineLevel="1">
      <c r="A33" s="494"/>
      <c r="B33" s="495">
        <v>39478</v>
      </c>
      <c r="C33" s="737"/>
      <c r="D33" s="104">
        <v>805564.1</v>
      </c>
      <c r="E33" s="491">
        <f t="shared" si="3"/>
        <v>16974183.629999995</v>
      </c>
      <c r="F33" s="491">
        <f t="shared" si="4"/>
        <v>105974183.62999992</v>
      </c>
      <c r="G33" s="630">
        <f t="shared" si="5"/>
        <v>101140799.02999996</v>
      </c>
      <c r="H33" s="377"/>
      <c r="I33" s="377"/>
      <c r="J33" s="394"/>
      <c r="K33" s="630">
        <f t="shared" si="0"/>
        <v>101140799.02999996</v>
      </c>
      <c r="L33" s="814">
        <f t="shared" si="2"/>
        <v>105974183.62999992</v>
      </c>
      <c r="M33" s="814"/>
      <c r="N33" s="384"/>
      <c r="O33" s="384"/>
      <c r="P33" s="868">
        <f t="shared" si="1"/>
        <v>101140799.02999996</v>
      </c>
      <c r="Q33" s="384"/>
      <c r="R33" s="630"/>
      <c r="S33" s="68"/>
      <c r="T33" s="737"/>
      <c r="U33" s="737"/>
    </row>
    <row r="34" spans="1:21" s="81" customFormat="1" ht="14.25" hidden="1" customHeight="1" outlineLevel="1">
      <c r="A34" s="494"/>
      <c r="B34" s="495">
        <v>39506</v>
      </c>
      <c r="C34" s="737"/>
      <c r="D34" s="104">
        <v>805564.1</v>
      </c>
      <c r="E34" s="491">
        <f t="shared" si="3"/>
        <v>17779747.729999997</v>
      </c>
      <c r="F34" s="491">
        <f t="shared" si="4"/>
        <v>106779747.72999991</v>
      </c>
      <c r="G34" s="630">
        <f t="shared" si="5"/>
        <v>101946363.12999995</v>
      </c>
      <c r="H34" s="377"/>
      <c r="I34" s="377"/>
      <c r="J34" s="394"/>
      <c r="K34" s="630">
        <f t="shared" si="0"/>
        <v>101946363.12999995</v>
      </c>
      <c r="L34" s="814">
        <f t="shared" si="2"/>
        <v>106779747.72999991</v>
      </c>
      <c r="M34" s="814"/>
      <c r="N34" s="384"/>
      <c r="O34" s="384"/>
      <c r="P34" s="868">
        <f t="shared" si="1"/>
        <v>101946363.12999995</v>
      </c>
      <c r="Q34" s="384"/>
      <c r="R34" s="630"/>
      <c r="S34" s="68"/>
      <c r="T34" s="737"/>
      <c r="U34" s="737"/>
    </row>
    <row r="35" spans="1:21" s="81" customFormat="1" ht="14.25" hidden="1" customHeight="1" outlineLevel="1">
      <c r="A35" s="494"/>
      <c r="B35" s="495">
        <v>39538</v>
      </c>
      <c r="C35" s="737"/>
      <c r="D35" s="104">
        <v>805564.1</v>
      </c>
      <c r="E35" s="491">
        <f t="shared" si="3"/>
        <v>18585311.829999998</v>
      </c>
      <c r="F35" s="491">
        <f t="shared" si="4"/>
        <v>107585311.82999991</v>
      </c>
      <c r="G35" s="630">
        <f t="shared" si="5"/>
        <v>102751927.22999996</v>
      </c>
      <c r="H35" s="377"/>
      <c r="I35" s="377"/>
      <c r="J35" s="394"/>
      <c r="K35" s="630">
        <f t="shared" si="0"/>
        <v>102751927.22999996</v>
      </c>
      <c r="L35" s="814">
        <f t="shared" si="2"/>
        <v>107585311.82999991</v>
      </c>
      <c r="M35" s="814"/>
      <c r="N35" s="384"/>
      <c r="O35" s="384"/>
      <c r="P35" s="868">
        <f t="shared" si="1"/>
        <v>102751927.22999996</v>
      </c>
      <c r="Q35" s="384"/>
      <c r="R35" s="630"/>
      <c r="S35" s="68"/>
      <c r="T35" s="737"/>
      <c r="U35" s="737"/>
    </row>
    <row r="36" spans="1:21" s="81" customFormat="1" ht="14.25" hidden="1" customHeight="1" outlineLevel="1">
      <c r="A36" s="494"/>
      <c r="B36" s="495">
        <v>39568</v>
      </c>
      <c r="C36" s="737"/>
      <c r="D36" s="104">
        <v>805564.1</v>
      </c>
      <c r="E36" s="491">
        <f t="shared" si="3"/>
        <v>19390875.93</v>
      </c>
      <c r="F36" s="491">
        <f t="shared" si="4"/>
        <v>108390875.9299999</v>
      </c>
      <c r="G36" s="630">
        <f t="shared" si="5"/>
        <v>103557491.32999994</v>
      </c>
      <c r="H36" s="377"/>
      <c r="I36" s="377"/>
      <c r="J36" s="394"/>
      <c r="K36" s="630">
        <f t="shared" si="0"/>
        <v>103557491.32999994</v>
      </c>
      <c r="L36" s="814">
        <f t="shared" si="2"/>
        <v>108390875.9299999</v>
      </c>
      <c r="M36" s="814"/>
      <c r="N36" s="384"/>
      <c r="O36" s="384"/>
      <c r="P36" s="868">
        <f t="shared" si="1"/>
        <v>103557491.32999994</v>
      </c>
      <c r="Q36" s="384"/>
      <c r="R36" s="630"/>
      <c r="S36" s="68"/>
      <c r="T36" s="737"/>
      <c r="U36" s="737"/>
    </row>
    <row r="37" spans="1:21" s="81" customFormat="1" ht="14.25" hidden="1" customHeight="1" outlineLevel="1">
      <c r="A37" s="494"/>
      <c r="B37" s="495">
        <v>39599</v>
      </c>
      <c r="C37" s="737"/>
      <c r="D37" s="104">
        <v>805564.1</v>
      </c>
      <c r="E37" s="491">
        <f t="shared" si="3"/>
        <v>20196440.030000001</v>
      </c>
      <c r="F37" s="491">
        <f t="shared" si="4"/>
        <v>109196440.0299999</v>
      </c>
      <c r="G37" s="630">
        <f t="shared" si="5"/>
        <v>104363055.42999993</v>
      </c>
      <c r="H37" s="377"/>
      <c r="I37" s="377"/>
      <c r="J37" s="394"/>
      <c r="K37" s="630">
        <f t="shared" si="0"/>
        <v>104363055.42999993</v>
      </c>
      <c r="L37" s="814">
        <f t="shared" si="2"/>
        <v>109196440.0299999</v>
      </c>
      <c r="M37" s="814"/>
      <c r="N37" s="384"/>
      <c r="O37" s="384"/>
      <c r="P37" s="868">
        <f t="shared" si="1"/>
        <v>104363055.42999993</v>
      </c>
      <c r="Q37" s="384"/>
      <c r="R37" s="630"/>
      <c r="S37" s="68"/>
      <c r="T37" s="737"/>
      <c r="U37" s="737"/>
    </row>
    <row r="38" spans="1:21" s="81" customFormat="1" ht="14.25" hidden="1" customHeight="1" outlineLevel="1">
      <c r="A38" s="494"/>
      <c r="B38" s="495">
        <v>39629</v>
      </c>
      <c r="C38" s="737"/>
      <c r="D38" s="104">
        <v>805564.1</v>
      </c>
      <c r="E38" s="491">
        <f t="shared" si="3"/>
        <v>21002004.130000003</v>
      </c>
      <c r="F38" s="491">
        <f t="shared" si="4"/>
        <v>110002004.12999989</v>
      </c>
      <c r="G38" s="630">
        <f t="shared" si="5"/>
        <v>105168619.52999993</v>
      </c>
      <c r="H38" s="377"/>
      <c r="I38" s="377"/>
      <c r="J38" s="394"/>
      <c r="K38" s="630">
        <f t="shared" si="0"/>
        <v>105168619.52999993</v>
      </c>
      <c r="L38" s="814">
        <f t="shared" si="2"/>
        <v>110002004.12999989</v>
      </c>
      <c r="M38" s="814"/>
      <c r="N38" s="384"/>
      <c r="O38" s="384"/>
      <c r="P38" s="868">
        <f t="shared" si="1"/>
        <v>105168619.52999993</v>
      </c>
      <c r="Q38" s="384"/>
      <c r="R38" s="630"/>
      <c r="S38" s="68"/>
      <c r="T38" s="737"/>
      <c r="U38" s="737"/>
    </row>
    <row r="39" spans="1:21" s="81" customFormat="1" ht="14.25" hidden="1" customHeight="1" outlineLevel="1">
      <c r="A39" s="494"/>
      <c r="B39" s="495">
        <v>39660</v>
      </c>
      <c r="C39" s="737"/>
      <c r="D39" s="104">
        <v>805564.1</v>
      </c>
      <c r="E39" s="491">
        <f t="shared" si="3"/>
        <v>21807568.230000004</v>
      </c>
      <c r="F39" s="491">
        <f t="shared" si="4"/>
        <v>110807568.22999988</v>
      </c>
      <c r="G39" s="630">
        <f t="shared" si="5"/>
        <v>105974183.62999992</v>
      </c>
      <c r="H39" s="377"/>
      <c r="I39" s="377"/>
      <c r="J39" s="394"/>
      <c r="K39" s="630">
        <f t="shared" si="0"/>
        <v>105974183.62999992</v>
      </c>
      <c r="L39" s="814">
        <f t="shared" si="2"/>
        <v>110807568.22999988</v>
      </c>
      <c r="M39" s="814"/>
      <c r="N39" s="384"/>
      <c r="O39" s="384"/>
      <c r="P39" s="868">
        <f t="shared" si="1"/>
        <v>105974183.62999992</v>
      </c>
      <c r="Q39" s="384"/>
      <c r="R39" s="630"/>
      <c r="S39" s="68"/>
      <c r="T39" s="737"/>
      <c r="U39" s="737"/>
    </row>
    <row r="40" spans="1:21" s="81" customFormat="1" ht="14.25" hidden="1" customHeight="1" outlineLevel="1">
      <c r="A40" s="494"/>
      <c r="B40" s="495">
        <v>39691</v>
      </c>
      <c r="C40" s="737"/>
      <c r="D40" s="104">
        <v>805564.1</v>
      </c>
      <c r="E40" s="491">
        <f t="shared" si="3"/>
        <v>22613132.330000006</v>
      </c>
      <c r="F40" s="491">
        <f t="shared" si="4"/>
        <v>111613132.32999988</v>
      </c>
      <c r="G40" s="630">
        <f t="shared" si="5"/>
        <v>106779747.72999991</v>
      </c>
      <c r="H40" s="377"/>
      <c r="I40" s="377"/>
      <c r="J40" s="394"/>
      <c r="K40" s="630">
        <f t="shared" si="0"/>
        <v>106779747.72999991</v>
      </c>
      <c r="L40" s="814">
        <f t="shared" si="2"/>
        <v>111613132.32999988</v>
      </c>
      <c r="M40" s="814">
        <v>-2256000</v>
      </c>
      <c r="N40" s="630">
        <f>N39+M40</f>
        <v>-2256000</v>
      </c>
      <c r="O40" s="630">
        <f t="shared" ref="O40:O51" si="6">(N28+N40+SUM(N29:N39)*2)/24</f>
        <v>-94000</v>
      </c>
      <c r="P40" s="868">
        <f t="shared" ref="P40:P51" si="7">O40+K40</f>
        <v>106685747.72999991</v>
      </c>
      <c r="Q40" s="384"/>
      <c r="R40" s="630"/>
      <c r="S40" s="68"/>
      <c r="T40" s="737"/>
      <c r="U40" s="737"/>
    </row>
    <row r="41" spans="1:21" s="81" customFormat="1" ht="14.25" hidden="1" customHeight="1" outlineLevel="1">
      <c r="A41" s="494"/>
      <c r="B41" s="495">
        <v>39721</v>
      </c>
      <c r="C41" s="737"/>
      <c r="D41" s="104">
        <v>805564.1</v>
      </c>
      <c r="E41" s="491">
        <f t="shared" si="3"/>
        <v>23418696.430000007</v>
      </c>
      <c r="F41" s="491">
        <f t="shared" si="4"/>
        <v>112418696.42999987</v>
      </c>
      <c r="G41" s="630">
        <f t="shared" si="5"/>
        <v>107585311.82999991</v>
      </c>
      <c r="H41" s="377"/>
      <c r="I41" s="377"/>
      <c r="J41" s="394"/>
      <c r="K41" s="630">
        <f t="shared" si="0"/>
        <v>107585311.82999991</v>
      </c>
      <c r="L41" s="814">
        <f t="shared" si="2"/>
        <v>112418696.42999987</v>
      </c>
      <c r="M41" s="814">
        <v>-5941017</v>
      </c>
      <c r="N41" s="630">
        <f>N40+M41</f>
        <v>-8197017</v>
      </c>
      <c r="O41" s="630">
        <f t="shared" si="6"/>
        <v>-529542.375</v>
      </c>
      <c r="P41" s="868">
        <f t="shared" si="7"/>
        <v>107055769.45499991</v>
      </c>
      <c r="Q41" s="384"/>
      <c r="R41" s="630"/>
      <c r="S41" s="68"/>
      <c r="T41" s="737"/>
      <c r="U41" s="737"/>
    </row>
    <row r="42" spans="1:21" s="81" customFormat="1" ht="14.25" hidden="1" customHeight="1" outlineLevel="1">
      <c r="A42" s="494"/>
      <c r="B42" s="495">
        <v>39752</v>
      </c>
      <c r="C42" s="737"/>
      <c r="D42" s="104">
        <v>805564.1</v>
      </c>
      <c r="E42" s="491">
        <f t="shared" si="3"/>
        <v>24224260.530000009</v>
      </c>
      <c r="F42" s="491">
        <f t="shared" si="4"/>
        <v>113224260.52999987</v>
      </c>
      <c r="G42" s="630">
        <f t="shared" si="5"/>
        <v>108390875.92999989</v>
      </c>
      <c r="H42" s="377"/>
      <c r="I42" s="377"/>
      <c r="J42" s="394"/>
      <c r="K42" s="630">
        <f t="shared" si="0"/>
        <v>108390875.92999989</v>
      </c>
      <c r="L42" s="814">
        <f t="shared" si="2"/>
        <v>113224260.52999987</v>
      </c>
      <c r="M42" s="814">
        <v>-282000</v>
      </c>
      <c r="N42" s="630">
        <f>N41+M42</f>
        <v>-8479017</v>
      </c>
      <c r="O42" s="630">
        <f t="shared" si="6"/>
        <v>-1224377.125</v>
      </c>
      <c r="P42" s="868">
        <f t="shared" si="7"/>
        <v>107166498.80499989</v>
      </c>
      <c r="Q42" s="384"/>
      <c r="R42" s="630"/>
      <c r="S42" s="68"/>
      <c r="T42" s="737"/>
      <c r="U42" s="737"/>
    </row>
    <row r="43" spans="1:21" s="81" customFormat="1" ht="14.25" hidden="1" customHeight="1" outlineLevel="1">
      <c r="A43" s="494"/>
      <c r="B43" s="495">
        <v>39782</v>
      </c>
      <c r="C43" s="737"/>
      <c r="D43" s="104">
        <v>805564.1</v>
      </c>
      <c r="E43" s="491">
        <f t="shared" si="3"/>
        <v>25029824.63000001</v>
      </c>
      <c r="F43" s="491">
        <f t="shared" si="4"/>
        <v>114029824.62999986</v>
      </c>
      <c r="G43" s="630">
        <f t="shared" si="5"/>
        <v>109196440.02999991</v>
      </c>
      <c r="H43" s="377"/>
      <c r="I43" s="377"/>
      <c r="J43" s="394"/>
      <c r="K43" s="630">
        <f t="shared" si="0"/>
        <v>109196440.02999991</v>
      </c>
      <c r="L43" s="814">
        <f t="shared" si="2"/>
        <v>114029824.62999986</v>
      </c>
      <c r="M43" s="814">
        <v>-282000</v>
      </c>
      <c r="N43" s="630">
        <f t="shared" ref="N43:N104" si="8">N42+M43</f>
        <v>-8761017</v>
      </c>
      <c r="O43" s="630">
        <f t="shared" si="6"/>
        <v>-1942711.875</v>
      </c>
      <c r="P43" s="868">
        <f t="shared" si="7"/>
        <v>107253728.15499991</v>
      </c>
      <c r="Q43" s="384"/>
      <c r="R43" s="630"/>
      <c r="S43" s="68"/>
      <c r="T43" s="737"/>
      <c r="U43" s="737"/>
    </row>
    <row r="44" spans="1:21" s="81" customFormat="1" ht="14.25" hidden="1" customHeight="1" outlineLevel="1">
      <c r="A44" s="494"/>
      <c r="B44" s="495">
        <v>39813</v>
      </c>
      <c r="C44" s="737"/>
      <c r="D44" s="104">
        <v>791871.8</v>
      </c>
      <c r="E44" s="491">
        <f t="shared" si="3"/>
        <v>25821696.430000011</v>
      </c>
      <c r="F44" s="491">
        <f t="shared" si="4"/>
        <v>114821696.42999986</v>
      </c>
      <c r="G44" s="630">
        <f t="shared" si="5"/>
        <v>110001433.6174999</v>
      </c>
      <c r="H44" s="377"/>
      <c r="I44" s="377"/>
      <c r="J44" s="394"/>
      <c r="K44" s="630">
        <f t="shared" si="0"/>
        <v>110001433.6174999</v>
      </c>
      <c r="L44" s="814">
        <f t="shared" si="2"/>
        <v>114821696.42999986</v>
      </c>
      <c r="M44" s="814">
        <v>-281000</v>
      </c>
      <c r="N44" s="630">
        <f t="shared" si="8"/>
        <v>-9042017</v>
      </c>
      <c r="O44" s="630">
        <f t="shared" si="6"/>
        <v>-2684504.9583333335</v>
      </c>
      <c r="P44" s="868">
        <f t="shared" si="7"/>
        <v>107316928.65916657</v>
      </c>
      <c r="Q44" s="384"/>
      <c r="R44" s="630"/>
      <c r="S44" s="68"/>
      <c r="T44" s="737"/>
      <c r="U44" s="737"/>
    </row>
    <row r="45" spans="1:21" s="81" customFormat="1" ht="14.25" hidden="1" customHeight="1" outlineLevel="1">
      <c r="A45" s="494"/>
      <c r="B45" s="495">
        <v>39844</v>
      </c>
      <c r="C45" s="737"/>
      <c r="D45" s="104">
        <v>798717.95</v>
      </c>
      <c r="E45" s="491">
        <f>D45+E44</f>
        <v>26620414.38000001</v>
      </c>
      <c r="F45" s="491">
        <f t="shared" si="4"/>
        <v>115620414.37999986</v>
      </c>
      <c r="G45" s="630">
        <f t="shared" si="5"/>
        <v>110805571.43624987</v>
      </c>
      <c r="H45" s="377"/>
      <c r="I45" s="377"/>
      <c r="J45" s="394"/>
      <c r="K45" s="630">
        <f t="shared" si="0"/>
        <v>110805571.43624987</v>
      </c>
      <c r="L45" s="814">
        <f t="shared" si="2"/>
        <v>115620414.37999986</v>
      </c>
      <c r="M45" s="814">
        <v>-282000</v>
      </c>
      <c r="N45" s="630">
        <f>N44+M45</f>
        <v>-9324017</v>
      </c>
      <c r="O45" s="630">
        <f t="shared" si="6"/>
        <v>-3449756.375</v>
      </c>
      <c r="P45" s="868">
        <f t="shared" si="7"/>
        <v>107355815.06124987</v>
      </c>
      <c r="Q45" s="384"/>
      <c r="R45" s="630"/>
      <c r="S45" s="68"/>
      <c r="T45" s="737"/>
      <c r="U45" s="737"/>
    </row>
    <row r="46" spans="1:21" s="81" customFormat="1" ht="14.25" hidden="1" customHeight="1" outlineLevel="1">
      <c r="A46" s="494"/>
      <c r="B46" s="495">
        <v>39872</v>
      </c>
      <c r="C46" s="737"/>
      <c r="D46" s="104">
        <v>798717.95</v>
      </c>
      <c r="E46" s="491">
        <f t="shared" si="3"/>
        <v>27419132.330000009</v>
      </c>
      <c r="F46" s="491">
        <f t="shared" si="4"/>
        <v>116419132.32999986</v>
      </c>
      <c r="G46" s="630">
        <f t="shared" si="5"/>
        <v>111609138.74249989</v>
      </c>
      <c r="H46" s="377"/>
      <c r="I46" s="377"/>
      <c r="J46" s="394"/>
      <c r="K46" s="630">
        <f t="shared" si="0"/>
        <v>111609138.74249989</v>
      </c>
      <c r="L46" s="814">
        <f t="shared" si="2"/>
        <v>116419132.32999986</v>
      </c>
      <c r="M46" s="814">
        <v>-277000</v>
      </c>
      <c r="N46" s="630">
        <f t="shared" si="8"/>
        <v>-9601017</v>
      </c>
      <c r="O46" s="630">
        <f t="shared" si="6"/>
        <v>-4238299.458333333</v>
      </c>
      <c r="P46" s="868">
        <f t="shared" si="7"/>
        <v>107370839.28416656</v>
      </c>
      <c r="Q46" s="384"/>
      <c r="R46" s="630"/>
      <c r="S46" s="68"/>
      <c r="T46" s="737"/>
      <c r="U46" s="737"/>
    </row>
    <row r="47" spans="1:21" s="81" customFormat="1" ht="14.25" hidden="1" customHeight="1" outlineLevel="1">
      <c r="A47" s="494"/>
      <c r="B47" s="495">
        <v>39903</v>
      </c>
      <c r="C47" s="737"/>
      <c r="D47" s="104">
        <v>798717.95</v>
      </c>
      <c r="E47" s="491">
        <f t="shared" si="3"/>
        <v>28217850.280000009</v>
      </c>
      <c r="F47" s="491">
        <f t="shared" si="4"/>
        <v>117217850.27999987</v>
      </c>
      <c r="G47" s="630">
        <f t="shared" si="5"/>
        <v>112412135.53624988</v>
      </c>
      <c r="H47" s="377"/>
      <c r="I47" s="377"/>
      <c r="J47" s="394"/>
      <c r="K47" s="630">
        <f t="shared" si="0"/>
        <v>112412135.53624988</v>
      </c>
      <c r="L47" s="814">
        <f t="shared" si="2"/>
        <v>117217850.27999987</v>
      </c>
      <c r="M47" s="814">
        <v>-280000</v>
      </c>
      <c r="N47" s="630">
        <f t="shared" si="8"/>
        <v>-9881017</v>
      </c>
      <c r="O47" s="630">
        <f t="shared" si="6"/>
        <v>-5050050.875</v>
      </c>
      <c r="P47" s="868">
        <f t="shared" si="7"/>
        <v>107362084.66124988</v>
      </c>
      <c r="Q47" s="384"/>
      <c r="R47" s="630"/>
      <c r="S47" s="68"/>
      <c r="T47" s="737"/>
      <c r="U47" s="737"/>
    </row>
    <row r="48" spans="1:21" s="81" customFormat="1" ht="14.25" hidden="1" customHeight="1" outlineLevel="1">
      <c r="A48" s="494"/>
      <c r="B48" s="495">
        <v>39933</v>
      </c>
      <c r="C48" s="737"/>
      <c r="D48" s="104">
        <v>798717.95</v>
      </c>
      <c r="E48" s="491">
        <f t="shared" si="3"/>
        <v>29016568.230000008</v>
      </c>
      <c r="F48" s="491">
        <f t="shared" si="4"/>
        <v>118016568.22999987</v>
      </c>
      <c r="G48" s="630">
        <f t="shared" si="5"/>
        <v>113214561.81749988</v>
      </c>
      <c r="H48" s="377"/>
      <c r="I48" s="377"/>
      <c r="J48" s="394"/>
      <c r="K48" s="630">
        <f t="shared" si="0"/>
        <v>113214561.81749988</v>
      </c>
      <c r="L48" s="814">
        <f t="shared" si="2"/>
        <v>118016568.22999987</v>
      </c>
      <c r="M48" s="814">
        <v>-280000</v>
      </c>
      <c r="N48" s="630">
        <f>N47+M48</f>
        <v>-10161017</v>
      </c>
      <c r="O48" s="630">
        <f t="shared" si="6"/>
        <v>-5885135.625</v>
      </c>
      <c r="P48" s="868">
        <f t="shared" si="7"/>
        <v>107329426.19249988</v>
      </c>
      <c r="Q48" s="384"/>
      <c r="R48" s="630"/>
      <c r="S48" s="68"/>
      <c r="T48" s="737"/>
      <c r="U48" s="737"/>
    </row>
    <row r="49" spans="1:21" s="81" customFormat="1" ht="14.25" hidden="1" customHeight="1" outlineLevel="1">
      <c r="A49" s="494"/>
      <c r="B49" s="495">
        <v>39964</v>
      </c>
      <c r="C49" s="737"/>
      <c r="D49" s="104">
        <v>798717.95</v>
      </c>
      <c r="E49" s="491">
        <f t="shared" si="3"/>
        <v>29815286.180000007</v>
      </c>
      <c r="F49" s="491">
        <f t="shared" si="4"/>
        <v>118815286.17999987</v>
      </c>
      <c r="G49" s="630">
        <f t="shared" si="5"/>
        <v>114016417.58624987</v>
      </c>
      <c r="H49" s="377"/>
      <c r="I49" s="377"/>
      <c r="J49" s="394"/>
      <c r="K49" s="630">
        <f t="shared" si="0"/>
        <v>114016417.58624987</v>
      </c>
      <c r="L49" s="814">
        <f t="shared" si="2"/>
        <v>118815286.17999987</v>
      </c>
      <c r="M49" s="814">
        <v>-280000</v>
      </c>
      <c r="N49" s="630">
        <f t="shared" si="8"/>
        <v>-10441017</v>
      </c>
      <c r="O49" s="630">
        <f t="shared" si="6"/>
        <v>-6743553.708333333</v>
      </c>
      <c r="P49" s="868">
        <f t="shared" si="7"/>
        <v>107272863.87791654</v>
      </c>
      <c r="Q49" s="384"/>
      <c r="R49" s="630"/>
      <c r="S49" s="68"/>
      <c r="T49" s="737"/>
      <c r="U49" s="737"/>
    </row>
    <row r="50" spans="1:21" s="81" customFormat="1" ht="14.25" hidden="1" customHeight="1" outlineLevel="1">
      <c r="A50" s="494"/>
      <c r="B50" s="495">
        <v>39994</v>
      </c>
      <c r="C50" s="737"/>
      <c r="D50" s="104">
        <v>798717.95</v>
      </c>
      <c r="E50" s="491">
        <f t="shared" si="3"/>
        <v>30614004.130000006</v>
      </c>
      <c r="F50" s="491">
        <f t="shared" si="4"/>
        <v>119614004.12999988</v>
      </c>
      <c r="G50" s="630">
        <f t="shared" si="5"/>
        <v>114817702.84249987</v>
      </c>
      <c r="H50" s="377"/>
      <c r="I50" s="377"/>
      <c r="J50" s="394"/>
      <c r="K50" s="630">
        <f t="shared" si="0"/>
        <v>114817702.84249987</v>
      </c>
      <c r="L50" s="814">
        <f t="shared" si="2"/>
        <v>119614004.12999988</v>
      </c>
      <c r="M50" s="814">
        <v>-280000</v>
      </c>
      <c r="N50" s="630">
        <f t="shared" si="8"/>
        <v>-10721017</v>
      </c>
      <c r="O50" s="630">
        <f t="shared" si="6"/>
        <v>-7625305.125</v>
      </c>
      <c r="P50" s="868">
        <f t="shared" si="7"/>
        <v>107192397.71749987</v>
      </c>
      <c r="Q50" s="384"/>
      <c r="R50" s="630"/>
      <c r="S50" s="68"/>
      <c r="T50" s="737"/>
      <c r="U50" s="737"/>
    </row>
    <row r="51" spans="1:21" s="81" customFormat="1" ht="14.25" hidden="1" customHeight="1" outlineLevel="1">
      <c r="A51" s="494"/>
      <c r="B51" s="495">
        <v>40025</v>
      </c>
      <c r="C51" s="737"/>
      <c r="D51" s="104">
        <v>798717.95</v>
      </c>
      <c r="E51" s="491">
        <f t="shared" si="3"/>
        <v>31412722.080000006</v>
      </c>
      <c r="F51" s="491">
        <f t="shared" si="4"/>
        <v>120412722.07999988</v>
      </c>
      <c r="G51" s="630">
        <f t="shared" si="5"/>
        <v>115618417.58624987</v>
      </c>
      <c r="H51" s="377"/>
      <c r="I51" s="377"/>
      <c r="J51" s="394"/>
      <c r="K51" s="630">
        <f t="shared" si="0"/>
        <v>115618417.58624987</v>
      </c>
      <c r="L51" s="814">
        <f t="shared" si="2"/>
        <v>120412722.07999988</v>
      </c>
      <c r="M51" s="814">
        <v>-280000</v>
      </c>
      <c r="N51" s="630">
        <f t="shared" si="8"/>
        <v>-11001017</v>
      </c>
      <c r="O51" s="630">
        <f t="shared" si="6"/>
        <v>-8530389.875</v>
      </c>
      <c r="P51" s="868">
        <f t="shared" si="7"/>
        <v>107088027.71124987</v>
      </c>
      <c r="Q51" s="384"/>
      <c r="R51" s="630"/>
      <c r="S51" s="68"/>
      <c r="T51" s="737"/>
      <c r="U51" s="737"/>
    </row>
    <row r="52" spans="1:21" s="81" customFormat="1" ht="14.25" hidden="1" customHeight="1" outlineLevel="1">
      <c r="A52" s="494"/>
      <c r="B52" s="495">
        <v>40056</v>
      </c>
      <c r="C52" s="737"/>
      <c r="D52" s="104">
        <v>798717.95</v>
      </c>
      <c r="E52" s="491">
        <f t="shared" si="3"/>
        <v>32211440.030000005</v>
      </c>
      <c r="F52" s="491">
        <f t="shared" si="4"/>
        <v>121211440.02999988</v>
      </c>
      <c r="G52" s="630">
        <f t="shared" si="5"/>
        <v>116418561.81749988</v>
      </c>
      <c r="H52" s="377"/>
      <c r="I52" s="377"/>
      <c r="J52" s="394"/>
      <c r="K52" s="630">
        <f t="shared" si="0"/>
        <v>116418561.81749988</v>
      </c>
      <c r="L52" s="814">
        <f t="shared" si="2"/>
        <v>121211440.02999988</v>
      </c>
      <c r="M52" s="814">
        <v>-280000</v>
      </c>
      <c r="N52" s="630">
        <f t="shared" si="8"/>
        <v>-11281017</v>
      </c>
      <c r="O52" s="630">
        <f>(N40+N52+SUM(N41:N51)*2)/24</f>
        <v>-9364807.958333334</v>
      </c>
      <c r="P52" s="868">
        <f t="shared" ref="P52:P78" si="9">O52+K52</f>
        <v>107053753.85916655</v>
      </c>
      <c r="Q52" s="384"/>
      <c r="R52" s="630"/>
      <c r="S52" s="68"/>
      <c r="T52" s="737"/>
      <c r="U52" s="737"/>
    </row>
    <row r="53" spans="1:21" s="81" customFormat="1" ht="14.25" hidden="1" customHeight="1" outlineLevel="1">
      <c r="A53" s="494"/>
      <c r="B53" s="495">
        <v>40086</v>
      </c>
      <c r="C53" s="737"/>
      <c r="D53" s="104">
        <v>798717.95</v>
      </c>
      <c r="E53" s="491">
        <f t="shared" si="3"/>
        <v>33010157.980000004</v>
      </c>
      <c r="F53" s="491">
        <f t="shared" si="4"/>
        <v>122010157.97999988</v>
      </c>
      <c r="G53" s="630">
        <f t="shared" si="5"/>
        <v>117218135.53624988</v>
      </c>
      <c r="H53" s="377"/>
      <c r="I53" s="377"/>
      <c r="J53" s="394"/>
      <c r="K53" s="630">
        <f t="shared" si="0"/>
        <v>117218135.53624988</v>
      </c>
      <c r="L53" s="814">
        <f t="shared" si="2"/>
        <v>122010157.97999988</v>
      </c>
      <c r="M53" s="814">
        <v>-275000</v>
      </c>
      <c r="N53" s="630">
        <f t="shared" si="8"/>
        <v>-11556017</v>
      </c>
      <c r="O53" s="630">
        <f t="shared" ref="O53:O78" si="10">(N41+N53+SUM(N42:N52)*2)/24</f>
        <v>-9880808.666666666</v>
      </c>
      <c r="P53" s="868">
        <f t="shared" si="9"/>
        <v>107337326.8695832</v>
      </c>
      <c r="Q53" s="384"/>
      <c r="R53" s="630"/>
      <c r="S53" s="68"/>
      <c r="T53" s="737"/>
      <c r="U53" s="737"/>
    </row>
    <row r="54" spans="1:21" s="81" customFormat="1" ht="14.25" hidden="1" customHeight="1" outlineLevel="1">
      <c r="A54" s="494"/>
      <c r="B54" s="495">
        <v>40117</v>
      </c>
      <c r="C54" s="737"/>
      <c r="D54" s="104">
        <v>798717.95</v>
      </c>
      <c r="E54" s="491">
        <f t="shared" si="3"/>
        <v>33808875.930000007</v>
      </c>
      <c r="F54" s="491">
        <f t="shared" si="4"/>
        <v>122808875.92999989</v>
      </c>
      <c r="G54" s="630">
        <f t="shared" si="5"/>
        <v>118017138.74249987</v>
      </c>
      <c r="H54" s="377"/>
      <c r="I54" s="377"/>
      <c r="J54" s="394"/>
      <c r="K54" s="630">
        <f t="shared" si="0"/>
        <v>118017138.74249987</v>
      </c>
      <c r="L54" s="814">
        <f t="shared" si="2"/>
        <v>122808875.92999989</v>
      </c>
      <c r="M54" s="814">
        <v>-280000</v>
      </c>
      <c r="N54" s="630">
        <f t="shared" si="8"/>
        <v>-11836017</v>
      </c>
      <c r="O54" s="630">
        <f t="shared" si="10"/>
        <v>-10160642</v>
      </c>
      <c r="P54" s="868">
        <f t="shared" si="9"/>
        <v>107856496.74249987</v>
      </c>
      <c r="Q54" s="384"/>
      <c r="R54" s="630"/>
      <c r="S54" s="68"/>
      <c r="T54" s="737"/>
      <c r="U54" s="737"/>
    </row>
    <row r="55" spans="1:21" s="81" customFormat="1" ht="14.25" hidden="1" customHeight="1" outlineLevel="1">
      <c r="A55" s="494"/>
      <c r="B55" s="495">
        <v>40147</v>
      </c>
      <c r="C55" s="737"/>
      <c r="D55" s="104">
        <v>798717.95</v>
      </c>
      <c r="E55" s="491">
        <f t="shared" si="3"/>
        <v>34607593.88000001</v>
      </c>
      <c r="F55" s="491">
        <f t="shared" si="4"/>
        <v>123607593.87999989</v>
      </c>
      <c r="G55" s="630">
        <f t="shared" si="5"/>
        <v>118815571.43624985</v>
      </c>
      <c r="H55" s="377"/>
      <c r="I55" s="377"/>
      <c r="J55" s="394"/>
      <c r="K55" s="630">
        <f t="shared" si="0"/>
        <v>118815571.43624985</v>
      </c>
      <c r="L55" s="814">
        <f t="shared" si="2"/>
        <v>123607593.87999989</v>
      </c>
      <c r="M55" s="814">
        <v>-280000</v>
      </c>
      <c r="N55" s="630">
        <f t="shared" si="8"/>
        <v>-12116017</v>
      </c>
      <c r="O55" s="630">
        <f t="shared" si="10"/>
        <v>-10440308.666666666</v>
      </c>
      <c r="P55" s="868">
        <f t="shared" si="9"/>
        <v>108375262.76958318</v>
      </c>
      <c r="Q55" s="384"/>
      <c r="R55" s="630"/>
      <c r="S55" s="68"/>
      <c r="T55" s="737"/>
      <c r="U55" s="737"/>
    </row>
    <row r="56" spans="1:21" s="81" customFormat="1" ht="14.25" hidden="1" customHeight="1" outlineLevel="1">
      <c r="A56" s="494"/>
      <c r="B56" s="495">
        <v>40178</v>
      </c>
      <c r="C56" s="737"/>
      <c r="D56" s="104">
        <v>798717.95</v>
      </c>
      <c r="E56" s="491">
        <f t="shared" si="3"/>
        <v>35406311.830000013</v>
      </c>
      <c r="F56" s="491">
        <f t="shared" si="4"/>
        <v>124406311.82999989</v>
      </c>
      <c r="G56" s="630">
        <f t="shared" si="5"/>
        <v>119614004.12999988</v>
      </c>
      <c r="H56" s="377"/>
      <c r="I56" s="377"/>
      <c r="J56" s="394"/>
      <c r="K56" s="630">
        <f t="shared" si="0"/>
        <v>119614004.12999988</v>
      </c>
      <c r="L56" s="814">
        <f t="shared" si="2"/>
        <v>124406311.82999989</v>
      </c>
      <c r="M56" s="814">
        <v>-276000</v>
      </c>
      <c r="N56" s="630">
        <f t="shared" si="8"/>
        <v>-12392017</v>
      </c>
      <c r="O56" s="630">
        <f t="shared" si="10"/>
        <v>-10719683.666666666</v>
      </c>
      <c r="P56" s="868">
        <f t="shared" si="9"/>
        <v>108894320.4633332</v>
      </c>
      <c r="Q56" s="384"/>
      <c r="R56" s="630"/>
      <c r="S56" s="68"/>
      <c r="T56" s="737"/>
      <c r="U56" s="737"/>
    </row>
    <row r="57" spans="1:21" s="81" customFormat="1" ht="14.25" hidden="1" customHeight="1" outlineLevel="1">
      <c r="A57" s="494"/>
      <c r="B57" s="495">
        <v>40209</v>
      </c>
      <c r="C57" s="737"/>
      <c r="D57" s="104">
        <v>798717.95</v>
      </c>
      <c r="E57" s="491">
        <f t="shared" si="3"/>
        <v>36205029.780000016</v>
      </c>
      <c r="F57" s="491">
        <f t="shared" si="4"/>
        <v>125205029.7799999</v>
      </c>
      <c r="G57" s="630">
        <f t="shared" si="5"/>
        <v>120412722.07999988</v>
      </c>
      <c r="H57" s="377"/>
      <c r="I57" s="377"/>
      <c r="J57" s="394"/>
      <c r="K57" s="630">
        <f t="shared" si="0"/>
        <v>120412722.07999988</v>
      </c>
      <c r="L57" s="814">
        <f t="shared" si="2"/>
        <v>125205029.7799999</v>
      </c>
      <c r="M57" s="814">
        <v>-280000</v>
      </c>
      <c r="N57" s="630">
        <f t="shared" si="8"/>
        <v>-12672017</v>
      </c>
      <c r="O57" s="630">
        <f t="shared" si="10"/>
        <v>-10998767</v>
      </c>
      <c r="P57" s="868">
        <f t="shared" si="9"/>
        <v>109413955.07999988</v>
      </c>
      <c r="Q57" s="384"/>
      <c r="R57" s="630"/>
      <c r="S57" s="68"/>
      <c r="T57" s="737"/>
      <c r="U57" s="737"/>
    </row>
    <row r="58" spans="1:21" s="81" customFormat="1" ht="14.25" hidden="1" customHeight="1" outlineLevel="1">
      <c r="A58" s="494"/>
      <c r="B58" s="495">
        <v>40237</v>
      </c>
      <c r="C58" s="737"/>
      <c r="D58" s="104">
        <v>798717.95</v>
      </c>
      <c r="E58" s="491">
        <f t="shared" si="3"/>
        <v>37003747.730000019</v>
      </c>
      <c r="F58" s="491">
        <f t="shared" si="4"/>
        <v>126003747.7299999</v>
      </c>
      <c r="G58" s="630">
        <f t="shared" si="5"/>
        <v>121211440.0299999</v>
      </c>
      <c r="H58" s="377"/>
      <c r="I58" s="377"/>
      <c r="J58" s="394"/>
      <c r="K58" s="630">
        <f t="shared" si="0"/>
        <v>121211440.0299999</v>
      </c>
      <c r="L58" s="814">
        <f t="shared" si="2"/>
        <v>126003747.7299999</v>
      </c>
      <c r="M58" s="814">
        <v>-280000</v>
      </c>
      <c r="N58" s="630">
        <f t="shared" si="8"/>
        <v>-12952017</v>
      </c>
      <c r="O58" s="630">
        <f t="shared" si="10"/>
        <v>-11277892</v>
      </c>
      <c r="P58" s="868">
        <f t="shared" si="9"/>
        <v>109933548.0299999</v>
      </c>
      <c r="Q58" s="384"/>
      <c r="R58" s="630"/>
      <c r="S58" s="68"/>
      <c r="T58" s="737"/>
      <c r="U58" s="737"/>
    </row>
    <row r="59" spans="1:21" ht="14.25" hidden="1" customHeight="1" outlineLevel="1">
      <c r="A59" s="484"/>
      <c r="B59" s="80">
        <v>40268</v>
      </c>
      <c r="C59" s="37"/>
      <c r="D59" s="103">
        <v>798717.95</v>
      </c>
      <c r="E59" s="490">
        <f t="shared" si="3"/>
        <v>37802465.680000022</v>
      </c>
      <c r="F59" s="491">
        <f t="shared" si="4"/>
        <v>126802465.6799999</v>
      </c>
      <c r="G59" s="70">
        <f t="shared" si="5"/>
        <v>122010157.97999988</v>
      </c>
      <c r="H59" s="55"/>
      <c r="I59" s="59"/>
      <c r="J59" s="65"/>
      <c r="K59" s="70">
        <f t="shared" si="0"/>
        <v>122010157.97999988</v>
      </c>
      <c r="L59" s="814">
        <f t="shared" si="2"/>
        <v>126802465.6799999</v>
      </c>
      <c r="M59" s="814">
        <v>-280000</v>
      </c>
      <c r="N59" s="70">
        <f>N58+M59</f>
        <v>-13232017</v>
      </c>
      <c r="O59" s="70">
        <f t="shared" si="10"/>
        <v>-11557142</v>
      </c>
      <c r="P59" s="492">
        <f t="shared" si="9"/>
        <v>110453015.97999988</v>
      </c>
      <c r="Q59" s="66"/>
      <c r="R59" s="67"/>
      <c r="S59" s="68"/>
    </row>
    <row r="60" spans="1:21" ht="14.25" hidden="1" customHeight="1" outlineLevel="1">
      <c r="A60" s="484"/>
      <c r="B60" s="80">
        <v>40298</v>
      </c>
      <c r="C60" s="37"/>
      <c r="D60" s="103">
        <v>787307.69</v>
      </c>
      <c r="E60" s="490">
        <f t="shared" si="3"/>
        <v>38589773.37000002</v>
      </c>
      <c r="F60" s="491">
        <f>F59+D60</f>
        <v>127589773.3699999</v>
      </c>
      <c r="G60" s="70">
        <f t="shared" si="5"/>
        <v>122808400.50249988</v>
      </c>
      <c r="H60" s="55"/>
      <c r="I60" s="59"/>
      <c r="J60" s="65"/>
      <c r="K60" s="70">
        <f t="shared" si="0"/>
        <v>122808400.50249988</v>
      </c>
      <c r="L60" s="814">
        <f t="shared" si="2"/>
        <v>127589773.3699999</v>
      </c>
      <c r="M60" s="814">
        <v>-276000</v>
      </c>
      <c r="N60" s="70">
        <f>N59+M60</f>
        <v>-13508017</v>
      </c>
      <c r="O60" s="70">
        <f t="shared" si="10"/>
        <v>-11836225.333333334</v>
      </c>
      <c r="P60" s="492">
        <f t="shared" si="9"/>
        <v>110972175.16916655</v>
      </c>
      <c r="Q60" s="66"/>
      <c r="R60" s="67"/>
      <c r="S60" s="68"/>
    </row>
    <row r="61" spans="1:21" ht="14.25" hidden="1" customHeight="1" outlineLevel="1">
      <c r="A61" s="484"/>
      <c r="B61" s="80">
        <v>40329</v>
      </c>
      <c r="C61" s="37"/>
      <c r="D61" s="103">
        <v>787307.69</v>
      </c>
      <c r="E61" s="490">
        <f t="shared" si="3"/>
        <v>39377081.060000017</v>
      </c>
      <c r="F61" s="491">
        <f t="shared" si="4"/>
        <v>128377081.0599999</v>
      </c>
      <c r="G61" s="70">
        <f t="shared" si="5"/>
        <v>123605692.16999988</v>
      </c>
      <c r="H61" s="55"/>
      <c r="I61" s="59"/>
      <c r="J61" s="65"/>
      <c r="K61" s="70">
        <f t="shared" si="0"/>
        <v>123605692.16999988</v>
      </c>
      <c r="L61" s="814">
        <f t="shared" si="2"/>
        <v>128377081.0599999</v>
      </c>
      <c r="M61" s="814">
        <v>-276000</v>
      </c>
      <c r="N61" s="70">
        <f t="shared" si="8"/>
        <v>-13784017</v>
      </c>
      <c r="O61" s="70">
        <f t="shared" si="10"/>
        <v>-12114975.333333334</v>
      </c>
      <c r="P61" s="492">
        <f t="shared" si="9"/>
        <v>111490716.83666655</v>
      </c>
      <c r="Q61" s="66"/>
      <c r="R61" s="67"/>
      <c r="S61" s="68"/>
    </row>
    <row r="62" spans="1:21" ht="14.25" hidden="1" customHeight="1" outlineLevel="1">
      <c r="A62" s="484"/>
      <c r="B62" s="80">
        <v>40359</v>
      </c>
      <c r="C62" s="37"/>
      <c r="D62" s="103">
        <v>787307.69</v>
      </c>
      <c r="E62" s="490">
        <f t="shared" si="3"/>
        <v>40164388.750000015</v>
      </c>
      <c r="F62" s="491">
        <f t="shared" si="4"/>
        <v>129164388.7499999</v>
      </c>
      <c r="G62" s="70">
        <f t="shared" si="5"/>
        <v>124402032.9824999</v>
      </c>
      <c r="H62" s="55"/>
      <c r="I62" s="59"/>
      <c r="J62" s="65"/>
      <c r="K62" s="70">
        <f t="shared" si="0"/>
        <v>124402032.9824999</v>
      </c>
      <c r="L62" s="814">
        <f t="shared" si="2"/>
        <v>129164388.7499999</v>
      </c>
      <c r="M62" s="814">
        <v>-276000</v>
      </c>
      <c r="N62" s="70">
        <f t="shared" si="8"/>
        <v>-14060017</v>
      </c>
      <c r="O62" s="70">
        <f t="shared" si="10"/>
        <v>-12393392</v>
      </c>
      <c r="P62" s="492">
        <f t="shared" si="9"/>
        <v>112008640.9824999</v>
      </c>
      <c r="Q62" s="66"/>
      <c r="R62" s="67"/>
      <c r="S62" s="68"/>
    </row>
    <row r="63" spans="1:21" ht="14.25" hidden="1" customHeight="1" outlineLevel="1">
      <c r="A63" s="484"/>
      <c r="B63" s="80">
        <v>40390</v>
      </c>
      <c r="C63" s="37"/>
      <c r="D63" s="103">
        <v>787307.69</v>
      </c>
      <c r="E63" s="490">
        <f t="shared" si="3"/>
        <v>40951696.440000013</v>
      </c>
      <c r="F63" s="491">
        <f t="shared" si="4"/>
        <v>129951696.43999989</v>
      </c>
      <c r="G63" s="70">
        <f t="shared" si="5"/>
        <v>125197422.93999992</v>
      </c>
      <c r="H63" s="55"/>
      <c r="I63" s="59"/>
      <c r="J63" s="65"/>
      <c r="K63" s="70">
        <f t="shared" si="0"/>
        <v>125197422.93999992</v>
      </c>
      <c r="L63" s="814">
        <f t="shared" si="2"/>
        <v>129951696.43999989</v>
      </c>
      <c r="M63" s="814">
        <v>-276000</v>
      </c>
      <c r="N63" s="70">
        <f t="shared" si="8"/>
        <v>-14336017</v>
      </c>
      <c r="O63" s="70">
        <f t="shared" si="10"/>
        <v>-12671475.333333334</v>
      </c>
      <c r="P63" s="492">
        <f t="shared" si="9"/>
        <v>112525947.60666659</v>
      </c>
      <c r="Q63" s="66"/>
      <c r="R63" s="67"/>
      <c r="S63" s="68"/>
    </row>
    <row r="64" spans="1:21" ht="14.25" hidden="1" customHeight="1" outlineLevel="1">
      <c r="A64" s="484"/>
      <c r="B64" s="80">
        <v>40421</v>
      </c>
      <c r="C64" s="37"/>
      <c r="D64" s="103">
        <v>787307.69</v>
      </c>
      <c r="E64" s="490">
        <f t="shared" si="3"/>
        <v>41739004.13000001</v>
      </c>
      <c r="F64" s="491">
        <f t="shared" si="4"/>
        <v>130739004.12999989</v>
      </c>
      <c r="G64" s="70">
        <f t="shared" si="5"/>
        <v>125991862.0424999</v>
      </c>
      <c r="H64" s="55"/>
      <c r="I64" s="59"/>
      <c r="J64" s="65"/>
      <c r="K64" s="70">
        <f t="shared" si="0"/>
        <v>125991862.0424999</v>
      </c>
      <c r="L64" s="814">
        <f t="shared" si="2"/>
        <v>130739004.12999989</v>
      </c>
      <c r="M64" s="814">
        <v>-276000</v>
      </c>
      <c r="N64" s="70">
        <f t="shared" si="8"/>
        <v>-14612017</v>
      </c>
      <c r="O64" s="70">
        <f t="shared" si="10"/>
        <v>-12949225.333333334</v>
      </c>
      <c r="P64" s="492">
        <f t="shared" si="9"/>
        <v>113042636.70916657</v>
      </c>
      <c r="Q64" s="66"/>
      <c r="R64" s="67"/>
      <c r="S64" s="68"/>
    </row>
    <row r="65" spans="1:21" ht="14.25" hidden="1" customHeight="1" outlineLevel="1">
      <c r="A65" s="484"/>
      <c r="B65" s="80">
        <v>40451</v>
      </c>
      <c r="C65" s="37"/>
      <c r="D65" s="103">
        <v>787307.69</v>
      </c>
      <c r="E65" s="490">
        <f>D65+E64</f>
        <v>42526311.820000008</v>
      </c>
      <c r="F65" s="491">
        <f t="shared" si="4"/>
        <v>131526311.81999989</v>
      </c>
      <c r="G65" s="70">
        <f t="shared" si="5"/>
        <v>126785350.28999989</v>
      </c>
      <c r="H65" s="55"/>
      <c r="I65" s="59"/>
      <c r="J65" s="65"/>
      <c r="K65" s="70">
        <f t="shared" si="0"/>
        <v>126785350.28999989</v>
      </c>
      <c r="L65" s="814">
        <f t="shared" si="2"/>
        <v>131526311.81999989</v>
      </c>
      <c r="M65" s="814">
        <v>-272000</v>
      </c>
      <c r="N65" s="70">
        <f t="shared" si="8"/>
        <v>-14884017</v>
      </c>
      <c r="O65" s="70">
        <f t="shared" si="10"/>
        <v>-13226683.666666666</v>
      </c>
      <c r="P65" s="492">
        <f t="shared" si="9"/>
        <v>113558666.62333322</v>
      </c>
      <c r="Q65" s="66"/>
      <c r="R65" s="67"/>
      <c r="S65" s="68"/>
    </row>
    <row r="66" spans="1:21" ht="14.25" hidden="1" customHeight="1" outlineLevel="1">
      <c r="A66" s="484"/>
      <c r="B66" s="80">
        <v>40482</v>
      </c>
      <c r="C66" s="37"/>
      <c r="D66" s="103">
        <v>787307.69</v>
      </c>
      <c r="E66" s="490">
        <f t="shared" si="3"/>
        <v>43313619.510000005</v>
      </c>
      <c r="F66" s="491">
        <f t="shared" si="4"/>
        <v>132313619.50999989</v>
      </c>
      <c r="G66" s="70">
        <f t="shared" si="5"/>
        <v>127577887.68249989</v>
      </c>
      <c r="H66" s="55"/>
      <c r="I66" s="59"/>
      <c r="J66" s="65"/>
      <c r="K66" s="70">
        <f t="shared" si="0"/>
        <v>127577887.68249989</v>
      </c>
      <c r="L66" s="814">
        <f t="shared" si="2"/>
        <v>132313619.50999989</v>
      </c>
      <c r="M66" s="814">
        <f t="shared" ref="M66:M73" si="11">-D66*0.35</f>
        <v>-275557.69149999996</v>
      </c>
      <c r="N66" s="70">
        <f t="shared" si="8"/>
        <v>-15159574.691500001</v>
      </c>
      <c r="O66" s="70">
        <f t="shared" si="10"/>
        <v>-13503831.9038125</v>
      </c>
      <c r="P66" s="492">
        <f t="shared" si="9"/>
        <v>114074055.77868739</v>
      </c>
      <c r="Q66" s="66"/>
      <c r="R66" s="67"/>
      <c r="S66" s="68"/>
    </row>
    <row r="67" spans="1:21" ht="14.25" hidden="1" customHeight="1" outlineLevel="1">
      <c r="A67" s="484"/>
      <c r="B67" s="80">
        <v>40512</v>
      </c>
      <c r="C67" s="37"/>
      <c r="D67" s="103">
        <v>787307.69</v>
      </c>
      <c r="E67" s="490">
        <f t="shared" si="3"/>
        <v>44100927.200000003</v>
      </c>
      <c r="F67" s="491">
        <f t="shared" si="4"/>
        <v>133100927.19999988</v>
      </c>
      <c r="G67" s="70">
        <f t="shared" si="5"/>
        <v>128369474.21999992</v>
      </c>
      <c r="H67" s="55"/>
      <c r="I67" s="59"/>
      <c r="J67" s="65"/>
      <c r="K67" s="70">
        <f t="shared" si="0"/>
        <v>128369474.21999992</v>
      </c>
      <c r="L67" s="814">
        <f t="shared" si="2"/>
        <v>133100927.19999988</v>
      </c>
      <c r="M67" s="814">
        <f t="shared" si="11"/>
        <v>-275557.69149999996</v>
      </c>
      <c r="N67" s="70">
        <f t="shared" si="8"/>
        <v>-15435132.383000001</v>
      </c>
      <c r="O67" s="70">
        <f t="shared" si="10"/>
        <v>-13780609.948583335</v>
      </c>
      <c r="P67" s="492">
        <f t="shared" si="9"/>
        <v>114588864.27141659</v>
      </c>
      <c r="Q67" s="66"/>
      <c r="R67" s="67"/>
      <c r="S67" s="68"/>
    </row>
    <row r="68" spans="1:21" ht="14.25" hidden="1" customHeight="1" outlineLevel="1">
      <c r="A68" s="484"/>
      <c r="B68" s="80">
        <v>40543</v>
      </c>
      <c r="C68" s="37"/>
      <c r="D68" s="103">
        <v>787307.69</v>
      </c>
      <c r="E68" s="490">
        <f t="shared" si="3"/>
        <v>44888234.890000001</v>
      </c>
      <c r="F68" s="491">
        <f t="shared" si="4"/>
        <v>133888234.88999988</v>
      </c>
      <c r="G68" s="70">
        <f t="shared" si="5"/>
        <v>129160109.9024999</v>
      </c>
      <c r="H68" s="55"/>
      <c r="I68" s="59"/>
      <c r="J68" s="70"/>
      <c r="K68" s="70">
        <f t="shared" si="0"/>
        <v>129160109.9024999</v>
      </c>
      <c r="L68" s="814">
        <f t="shared" si="2"/>
        <v>133888234.88999988</v>
      </c>
      <c r="M68" s="814">
        <f t="shared" si="11"/>
        <v>-275557.69149999996</v>
      </c>
      <c r="N68" s="70">
        <f t="shared" si="8"/>
        <v>-15710690.074500002</v>
      </c>
      <c r="O68" s="70">
        <f t="shared" si="10"/>
        <v>-14057184.467645837</v>
      </c>
      <c r="P68" s="492">
        <f t="shared" si="9"/>
        <v>115102925.43485406</v>
      </c>
      <c r="Q68" s="66"/>
      <c r="R68" s="67">
        <f>F68+I68+N68</f>
        <v>118177544.81549987</v>
      </c>
      <c r="S68" s="68"/>
    </row>
    <row r="69" spans="1:21" ht="14.25" hidden="1" customHeight="1" outlineLevel="1">
      <c r="A69" s="484"/>
      <c r="B69" s="80">
        <v>40574</v>
      </c>
      <c r="C69" s="37"/>
      <c r="D69" s="103">
        <v>787307.69</v>
      </c>
      <c r="E69" s="490">
        <f t="shared" si="3"/>
        <v>45675542.579999998</v>
      </c>
      <c r="F69" s="491">
        <f t="shared" si="4"/>
        <v>134675542.57999989</v>
      </c>
      <c r="G69" s="70">
        <f t="shared" si="5"/>
        <v>129949794.72999988</v>
      </c>
      <c r="H69" s="55"/>
      <c r="I69" s="59"/>
      <c r="J69" s="70"/>
      <c r="K69" s="70">
        <f t="shared" si="0"/>
        <v>129949794.72999988</v>
      </c>
      <c r="L69" s="814">
        <f t="shared" si="2"/>
        <v>134675542.57999989</v>
      </c>
      <c r="M69" s="814">
        <f>-D69*0.35</f>
        <v>-275557.69149999996</v>
      </c>
      <c r="N69" s="70">
        <f t="shared" si="8"/>
        <v>-15986247.766000003</v>
      </c>
      <c r="O69" s="70">
        <f t="shared" si="10"/>
        <v>-14333555.461000001</v>
      </c>
      <c r="P69" s="492">
        <f t="shared" si="9"/>
        <v>115616239.26899989</v>
      </c>
      <c r="Q69" s="66"/>
      <c r="R69" s="67">
        <f t="shared" ref="R69:R78" si="12">F69+I69+N69</f>
        <v>118689294.81399989</v>
      </c>
      <c r="S69" s="68"/>
    </row>
    <row r="70" spans="1:21" ht="14.25" hidden="1" customHeight="1" outlineLevel="1">
      <c r="A70" s="484"/>
      <c r="B70" s="80">
        <v>40602</v>
      </c>
      <c r="C70" s="37"/>
      <c r="D70" s="103">
        <v>787307.69</v>
      </c>
      <c r="E70" s="490">
        <f t="shared" si="3"/>
        <v>46462850.269999996</v>
      </c>
      <c r="F70" s="491">
        <f t="shared" si="4"/>
        <v>135462850.26999989</v>
      </c>
      <c r="G70" s="70">
        <f t="shared" si="5"/>
        <v>130738528.70249991</v>
      </c>
      <c r="H70" s="55"/>
      <c r="I70" s="59"/>
      <c r="J70" s="70"/>
      <c r="K70" s="70">
        <f t="shared" si="0"/>
        <v>130738528.70249991</v>
      </c>
      <c r="L70" s="814">
        <f t="shared" si="2"/>
        <v>135462850.26999989</v>
      </c>
      <c r="M70" s="814">
        <f t="shared" si="11"/>
        <v>-275557.69149999996</v>
      </c>
      <c r="N70" s="70">
        <f t="shared" si="8"/>
        <v>-16261805.457500003</v>
      </c>
      <c r="O70" s="70">
        <f t="shared" si="10"/>
        <v>-14609556.261979168</v>
      </c>
      <c r="P70" s="492">
        <f t="shared" si="9"/>
        <v>116128972.44052075</v>
      </c>
      <c r="Q70" s="66"/>
      <c r="R70" s="67">
        <f t="shared" si="12"/>
        <v>119201044.81249988</v>
      </c>
      <c r="S70" s="68"/>
    </row>
    <row r="71" spans="1:21" ht="14.25" hidden="1" customHeight="1" outlineLevel="1">
      <c r="A71" s="484"/>
      <c r="B71" s="80">
        <v>40633</v>
      </c>
      <c r="C71" s="37"/>
      <c r="D71" s="103">
        <v>787307.69</v>
      </c>
      <c r="E71" s="490">
        <f t="shared" si="3"/>
        <v>47250157.959999993</v>
      </c>
      <c r="F71" s="491">
        <f t="shared" si="4"/>
        <v>136250157.95999989</v>
      </c>
      <c r="G71" s="70">
        <f t="shared" si="5"/>
        <v>131526311.81999992</v>
      </c>
      <c r="H71" s="55"/>
      <c r="I71" s="59"/>
      <c r="J71" s="70"/>
      <c r="K71" s="70">
        <f t="shared" si="0"/>
        <v>131526311.81999992</v>
      </c>
      <c r="L71" s="814">
        <f t="shared" si="2"/>
        <v>136250157.95999989</v>
      </c>
      <c r="M71" s="814">
        <f t="shared" si="11"/>
        <v>-275557.69149999996</v>
      </c>
      <c r="N71" s="70">
        <f t="shared" si="8"/>
        <v>-16537363.149000004</v>
      </c>
      <c r="O71" s="70">
        <f t="shared" si="10"/>
        <v>-14885186.870583335</v>
      </c>
      <c r="P71" s="492">
        <f t="shared" si="9"/>
        <v>116641124.94941658</v>
      </c>
      <c r="Q71" s="66"/>
      <c r="R71" s="67">
        <f t="shared" si="12"/>
        <v>119712794.81099989</v>
      </c>
      <c r="S71" s="68"/>
    </row>
    <row r="72" spans="1:21" ht="14.25" hidden="1" customHeight="1" outlineLevel="1">
      <c r="A72" s="484"/>
      <c r="B72" s="80">
        <v>40663</v>
      </c>
      <c r="C72" s="37"/>
      <c r="D72" s="103">
        <v>787307.69</v>
      </c>
      <c r="E72" s="490">
        <f t="shared" si="3"/>
        <v>48037465.649999991</v>
      </c>
      <c r="F72" s="491">
        <f t="shared" si="4"/>
        <v>137037465.64999989</v>
      </c>
      <c r="G72" s="70">
        <f t="shared" si="5"/>
        <v>132313619.50999989</v>
      </c>
      <c r="H72" s="55"/>
      <c r="I72" s="59"/>
      <c r="J72" s="70"/>
      <c r="K72" s="70">
        <f t="shared" si="0"/>
        <v>132313619.50999989</v>
      </c>
      <c r="L72" s="814">
        <f t="shared" si="2"/>
        <v>137037465.64999989</v>
      </c>
      <c r="M72" s="814">
        <f t="shared" si="11"/>
        <v>-275557.69149999996</v>
      </c>
      <c r="N72" s="70">
        <f t="shared" si="8"/>
        <v>-16812920.840500005</v>
      </c>
      <c r="O72" s="70">
        <f t="shared" si="10"/>
        <v>-15160613.953479171</v>
      </c>
      <c r="P72" s="492">
        <f t="shared" si="9"/>
        <v>117153005.55652072</v>
      </c>
      <c r="Q72" s="66"/>
      <c r="R72" s="67">
        <f t="shared" si="12"/>
        <v>120224544.80949989</v>
      </c>
      <c r="S72" s="68"/>
    </row>
    <row r="73" spans="1:21" hidden="1" outlineLevel="1">
      <c r="A73" s="484"/>
      <c r="B73" s="80">
        <v>40694</v>
      </c>
      <c r="C73" s="80"/>
      <c r="D73" s="103">
        <v>787307.69</v>
      </c>
      <c r="E73" s="490">
        <f t="shared" si="3"/>
        <v>48824773.339999989</v>
      </c>
      <c r="F73" s="491">
        <f t="shared" si="4"/>
        <v>137824773.33999988</v>
      </c>
      <c r="G73" s="70">
        <f t="shared" si="5"/>
        <v>133100927.19999988</v>
      </c>
      <c r="H73" s="76"/>
      <c r="I73" s="65"/>
      <c r="J73" s="70"/>
      <c r="K73" s="70">
        <f t="shared" si="0"/>
        <v>133100927.19999988</v>
      </c>
      <c r="L73" s="814">
        <f t="shared" si="2"/>
        <v>137824773.33999988</v>
      </c>
      <c r="M73" s="814">
        <f t="shared" si="11"/>
        <v>-275557.69149999996</v>
      </c>
      <c r="N73" s="70">
        <f>N72+M73</f>
        <v>-17088478.532000005</v>
      </c>
      <c r="O73" s="70">
        <f t="shared" si="10"/>
        <v>-15436004.177333338</v>
      </c>
      <c r="P73" s="492">
        <f t="shared" si="9"/>
        <v>117664923.02266654</v>
      </c>
      <c r="Q73" s="66"/>
      <c r="R73" s="67">
        <f t="shared" si="12"/>
        <v>120736294.80799988</v>
      </c>
      <c r="S73" s="73"/>
    </row>
    <row r="74" spans="1:21" hidden="1" outlineLevel="1">
      <c r="A74" s="484"/>
      <c r="B74" s="80">
        <v>40724</v>
      </c>
      <c r="C74" s="80"/>
      <c r="D74" s="103">
        <v>787307.69</v>
      </c>
      <c r="E74" s="490">
        <f t="shared" si="3"/>
        <v>49612081.029999986</v>
      </c>
      <c r="F74" s="491">
        <f t="shared" si="4"/>
        <v>138612081.02999988</v>
      </c>
      <c r="G74" s="70">
        <f t="shared" si="5"/>
        <v>133888234.88999988</v>
      </c>
      <c r="H74" s="269"/>
      <c r="I74" s="70"/>
      <c r="J74" s="70"/>
      <c r="K74" s="70">
        <f t="shared" si="0"/>
        <v>133888234.88999988</v>
      </c>
      <c r="L74" s="814">
        <f t="shared" si="2"/>
        <v>138612081.02999988</v>
      </c>
      <c r="M74" s="814">
        <f>-D74*0.35</f>
        <v>-275557.69149999996</v>
      </c>
      <c r="N74" s="70">
        <f>N73+M74</f>
        <v>-17364036.223500006</v>
      </c>
      <c r="O74" s="70">
        <f t="shared" si="10"/>
        <v>-15711357.542145833</v>
      </c>
      <c r="P74" s="492">
        <f t="shared" si="9"/>
        <v>118176877.34785405</v>
      </c>
      <c r="Q74" s="66"/>
      <c r="R74" s="67">
        <f t="shared" si="12"/>
        <v>121248044.80649987</v>
      </c>
      <c r="S74" s="73"/>
    </row>
    <row r="75" spans="1:21" hidden="1" outlineLevel="1">
      <c r="A75" s="484"/>
      <c r="B75" s="80">
        <v>40755</v>
      </c>
      <c r="C75" s="80"/>
      <c r="D75" s="103">
        <v>787307.69</v>
      </c>
      <c r="E75" s="490">
        <f t="shared" si="3"/>
        <v>50399388.719999984</v>
      </c>
      <c r="F75" s="491">
        <f t="shared" si="4"/>
        <v>139399388.71999988</v>
      </c>
      <c r="G75" s="70">
        <f t="shared" si="5"/>
        <v>134675542.57999989</v>
      </c>
      <c r="H75" s="269"/>
      <c r="I75" s="70"/>
      <c r="J75" s="70"/>
      <c r="K75" s="70">
        <f t="shared" si="0"/>
        <v>134675542.57999989</v>
      </c>
      <c r="L75" s="814">
        <f t="shared" si="2"/>
        <v>139399388.71999988</v>
      </c>
      <c r="M75" s="814">
        <f>-D75*0.35</f>
        <v>-275557.69149999996</v>
      </c>
      <c r="N75" s="70">
        <f t="shared" si="8"/>
        <v>-17639593.915000007</v>
      </c>
      <c r="O75" s="70">
        <f t="shared" si="10"/>
        <v>-15986674.047916671</v>
      </c>
      <c r="P75" s="492">
        <f t="shared" si="9"/>
        <v>118688868.53208323</v>
      </c>
      <c r="Q75" s="66"/>
      <c r="R75" s="67">
        <f t="shared" si="12"/>
        <v>121759794.80499987</v>
      </c>
      <c r="S75" s="73"/>
      <c r="U75" s="504"/>
    </row>
    <row r="76" spans="1:21" hidden="1" outlineLevel="1">
      <c r="A76" s="484"/>
      <c r="B76" s="80">
        <v>40786</v>
      </c>
      <c r="C76" s="80"/>
      <c r="D76" s="103">
        <v>787307.69</v>
      </c>
      <c r="E76" s="490">
        <f t="shared" si="3"/>
        <v>51186696.409999982</v>
      </c>
      <c r="F76" s="491">
        <f t="shared" si="4"/>
        <v>140186696.40999988</v>
      </c>
      <c r="G76" s="70">
        <f t="shared" si="5"/>
        <v>135462850.26999989</v>
      </c>
      <c r="H76" s="269"/>
      <c r="I76" s="70"/>
      <c r="J76" s="70"/>
      <c r="K76" s="70">
        <f t="shared" ref="K76:K78" si="13">G76+J76</f>
        <v>135462850.26999989</v>
      </c>
      <c r="L76" s="814">
        <f t="shared" si="2"/>
        <v>140186696.40999988</v>
      </c>
      <c r="M76" s="814">
        <f>-D76*0.35</f>
        <v>-275557.69149999996</v>
      </c>
      <c r="N76" s="70">
        <f t="shared" si="8"/>
        <v>-17915151.606500007</v>
      </c>
      <c r="O76" s="70">
        <f t="shared" si="10"/>
        <v>-16261953.694645837</v>
      </c>
      <c r="P76" s="492">
        <f t="shared" si="9"/>
        <v>119200896.57535405</v>
      </c>
      <c r="Q76" s="66"/>
      <c r="R76" s="67">
        <f>F76+I76+N76</f>
        <v>122271544.80349988</v>
      </c>
      <c r="S76" s="73"/>
      <c r="U76" s="120"/>
    </row>
    <row r="77" spans="1:21" hidden="1" outlineLevel="1">
      <c r="A77" s="484"/>
      <c r="B77" s="80">
        <v>40816</v>
      </c>
      <c r="C77" s="493"/>
      <c r="D77" s="103">
        <v>787307.69</v>
      </c>
      <c r="E77" s="490">
        <f t="shared" si="3"/>
        <v>51974004.099999979</v>
      </c>
      <c r="F77" s="491">
        <f t="shared" si="4"/>
        <v>140974004.09999987</v>
      </c>
      <c r="G77" s="70">
        <f t="shared" si="5"/>
        <v>136250157.95999989</v>
      </c>
      <c r="H77" s="269"/>
      <c r="I77" s="70"/>
      <c r="J77" s="70"/>
      <c r="K77" s="70">
        <f t="shared" si="13"/>
        <v>136250157.95999989</v>
      </c>
      <c r="L77" s="814">
        <f t="shared" ref="L77:L140" si="14">F77+I77</f>
        <v>140974004.09999987</v>
      </c>
      <c r="M77" s="814">
        <f>-D77*0.35</f>
        <v>-275557.69149999996</v>
      </c>
      <c r="N77" s="70">
        <f t="shared" si="8"/>
        <v>-18190709.298000008</v>
      </c>
      <c r="O77" s="70">
        <f t="shared" si="10"/>
        <v>-16537363.149000004</v>
      </c>
      <c r="P77" s="492">
        <f t="shared" si="9"/>
        <v>119712794.81099989</v>
      </c>
      <c r="Q77" s="66"/>
      <c r="R77" s="67">
        <f t="shared" si="12"/>
        <v>122783294.80199987</v>
      </c>
      <c r="S77" s="73"/>
    </row>
    <row r="78" spans="1:21" hidden="1" outlineLevel="1">
      <c r="A78" s="484"/>
      <c r="B78" s="80">
        <v>40847</v>
      </c>
      <c r="C78" s="80"/>
      <c r="D78" s="103">
        <v>787307.69</v>
      </c>
      <c r="E78" s="490">
        <f t="shared" ref="E78:E141" si="15">D78+E77</f>
        <v>52761311.789999977</v>
      </c>
      <c r="F78" s="491">
        <f>F77+D78</f>
        <v>141761311.78999987</v>
      </c>
      <c r="G78" s="70">
        <f>(F66+F78+SUM(F67:F77)*2)/24</f>
        <v>137037465.64999989</v>
      </c>
      <c r="H78" s="269"/>
      <c r="I78" s="70"/>
      <c r="J78" s="70"/>
      <c r="K78" s="70">
        <f t="shared" si="13"/>
        <v>137037465.64999989</v>
      </c>
      <c r="L78" s="814">
        <f t="shared" si="14"/>
        <v>141761311.78999987</v>
      </c>
      <c r="M78" s="814">
        <f>-D78*0.35</f>
        <v>-275557.69149999996</v>
      </c>
      <c r="N78" s="70">
        <f t="shared" si="8"/>
        <v>-18466266.989500009</v>
      </c>
      <c r="O78" s="70">
        <f t="shared" si="10"/>
        <v>-16812920.840500001</v>
      </c>
      <c r="P78" s="492">
        <f t="shared" si="9"/>
        <v>120224544.80949989</v>
      </c>
      <c r="Q78" s="66"/>
      <c r="R78" s="67">
        <f t="shared" si="12"/>
        <v>123295044.80049986</v>
      </c>
      <c r="S78" s="348">
        <f>E78</f>
        <v>52761311.789999977</v>
      </c>
      <c r="U78" s="504"/>
    </row>
    <row r="79" spans="1:21" hidden="1" outlineLevel="1">
      <c r="A79" s="494"/>
      <c r="B79" s="495">
        <v>40877</v>
      </c>
      <c r="C79" s="495"/>
      <c r="D79" s="103"/>
      <c r="E79" s="490">
        <f t="shared" si="15"/>
        <v>52761311.789999977</v>
      </c>
      <c r="F79" s="491">
        <f t="shared" ref="F79:F141" si="16">F78+D79</f>
        <v>141761311.78999987</v>
      </c>
      <c r="G79" s="70">
        <f t="shared" si="5"/>
        <v>137791968.85291657</v>
      </c>
      <c r="H79" s="70">
        <f t="shared" ref="H79:H86" si="17">F78/240</f>
        <v>590672.13245833281</v>
      </c>
      <c r="I79" s="70">
        <f>I78-H79</f>
        <v>-590672.13245833281</v>
      </c>
      <c r="J79" s="70">
        <f>($I$67+$I$79+SUM(I68:I78)*2)/24</f>
        <v>-24611.338852430534</v>
      </c>
      <c r="K79" s="70">
        <f t="shared" ref="K79:K84" si="18">G79+J79</f>
        <v>137767357.51406413</v>
      </c>
      <c r="L79" s="814">
        <f>F79+I79</f>
        <v>141170639.65754154</v>
      </c>
      <c r="M79" s="814">
        <f>(E79/240*0.35)</f>
        <v>76943.579693749954</v>
      </c>
      <c r="N79" s="70">
        <f>N78+M79</f>
        <v>-18389323.409806259</v>
      </c>
      <c r="O79" s="70">
        <f>(N67+N79+SUM(N68:N78)*2)/24</f>
        <v>-17073790.979033601</v>
      </c>
      <c r="P79" s="492">
        <f t="shared" ref="P79:P84" si="19">O79+K79</f>
        <v>120693566.53503053</v>
      </c>
      <c r="Q79" s="66"/>
      <c r="R79" s="67">
        <f>F79+I79+N79</f>
        <v>122781316.24773529</v>
      </c>
      <c r="S79" s="348">
        <f>$E$79-(SUM($H$79:H79)*$U$75)</f>
        <v>52761311.789999977</v>
      </c>
      <c r="T79" s="38"/>
      <c r="U79" s="504"/>
    </row>
    <row r="80" spans="1:21" hidden="1" outlineLevel="1">
      <c r="A80" s="484"/>
      <c r="B80" s="80">
        <v>40908</v>
      </c>
      <c r="C80" s="80"/>
      <c r="D80" s="103"/>
      <c r="E80" s="490">
        <f>D80+E79</f>
        <v>52761311.789999977</v>
      </c>
      <c r="F80" s="491">
        <f>F79+D80</f>
        <v>141761311.78999987</v>
      </c>
      <c r="G80" s="70">
        <f>(F68+F80+SUM(F69:F79)*2)/24</f>
        <v>138480863.08166656</v>
      </c>
      <c r="H80" s="70">
        <f t="shared" si="17"/>
        <v>590672.13245833281</v>
      </c>
      <c r="I80" s="70">
        <f>I79-H80</f>
        <v>-1181344.2649166656</v>
      </c>
      <c r="J80" s="70">
        <f>(I68+I80+SUM(I69:I79)*2)/24</f>
        <v>-98445.355409722135</v>
      </c>
      <c r="K80" s="70">
        <f t="shared" si="18"/>
        <v>138382417.72625685</v>
      </c>
      <c r="L80" s="814">
        <f t="shared" si="14"/>
        <v>140579967.52508321</v>
      </c>
      <c r="M80" s="814">
        <f>(E80/240*0.35)</f>
        <v>76943.579693749954</v>
      </c>
      <c r="N80" s="70">
        <f>N79+M80</f>
        <v>-18312379.830112509</v>
      </c>
      <c r="O80" s="70">
        <f>(N68+N80+SUM(N69:N79)*2)/24</f>
        <v>-17305286.01163438</v>
      </c>
      <c r="P80" s="492">
        <f>O80+K80</f>
        <v>121077131.71462247</v>
      </c>
      <c r="Q80" s="66"/>
      <c r="R80" s="67">
        <f>F80+I80+N80</f>
        <v>122267587.6949707</v>
      </c>
      <c r="S80" s="348">
        <f>$E$79-(SUM($H$79:H80)*$U$75)</f>
        <v>52761311.789999977</v>
      </c>
      <c r="T80" s="38"/>
      <c r="U80" s="504"/>
    </row>
    <row r="81" spans="1:21" hidden="1" outlineLevel="1">
      <c r="A81" s="484"/>
      <c r="B81" s="80">
        <v>40939</v>
      </c>
      <c r="C81" s="80"/>
      <c r="D81" s="103"/>
      <c r="E81" s="490">
        <f t="shared" si="15"/>
        <v>52761311.789999977</v>
      </c>
      <c r="F81" s="491">
        <f t="shared" si="16"/>
        <v>141761311.78999987</v>
      </c>
      <c r="G81" s="70">
        <f t="shared" si="5"/>
        <v>139104148.33624992</v>
      </c>
      <c r="H81" s="70">
        <f t="shared" si="17"/>
        <v>590672.13245833281</v>
      </c>
      <c r="I81" s="70">
        <f>I80-H81</f>
        <v>-1772016.3973749983</v>
      </c>
      <c r="J81" s="70">
        <f t="shared" ref="J81:J143" si="20">(I69+I81+SUM(I70:I80)*2)/24</f>
        <v>-221502.04967187476</v>
      </c>
      <c r="K81" s="70">
        <f t="shared" si="18"/>
        <v>138882646.28657803</v>
      </c>
      <c r="L81" s="814">
        <f t="shared" si="14"/>
        <v>139989295.39262488</v>
      </c>
      <c r="M81" s="814">
        <f t="shared" ref="M81:M143" si="21">(E81/240*0.35)</f>
        <v>76943.579693749954</v>
      </c>
      <c r="N81" s="70">
        <f t="shared" si="8"/>
        <v>-18235436.25041876</v>
      </c>
      <c r="O81" s="70">
        <f t="shared" ref="O81:O86" si="22">(N69+N81+SUM(N70:N80)*2)/24</f>
        <v>-17507405.938302349</v>
      </c>
      <c r="P81" s="492">
        <f t="shared" si="19"/>
        <v>121375240.34827568</v>
      </c>
      <c r="Q81" s="66"/>
      <c r="R81" s="67">
        <f t="shared" ref="R81:R144" si="23">F81+I81+N81</f>
        <v>121753859.14220613</v>
      </c>
      <c r="S81" s="348">
        <f>$E$79-(SUM($H$79:H81)*$U$75)</f>
        <v>52761311.789999977</v>
      </c>
      <c r="T81" s="38"/>
      <c r="U81" s="504"/>
    </row>
    <row r="82" spans="1:21" hidden="1" outlineLevel="1">
      <c r="A82" s="484"/>
      <c r="B82" s="80">
        <v>40967</v>
      </c>
      <c r="C82" s="80"/>
      <c r="D82" s="103"/>
      <c r="E82" s="490">
        <f t="shared" si="15"/>
        <v>52761311.789999977</v>
      </c>
      <c r="F82" s="491">
        <f t="shared" si="16"/>
        <v>141761311.78999987</v>
      </c>
      <c r="G82" s="70">
        <f t="shared" si="5"/>
        <v>139661824.61666659</v>
      </c>
      <c r="H82" s="70">
        <f t="shared" si="17"/>
        <v>590672.13245833281</v>
      </c>
      <c r="I82" s="70">
        <f t="shared" ref="I82:I138" si="24">I81-H82</f>
        <v>-2362688.5298333312</v>
      </c>
      <c r="J82" s="70">
        <f t="shared" si="20"/>
        <v>-393781.42163888854</v>
      </c>
      <c r="K82" s="70">
        <f t="shared" si="18"/>
        <v>139268043.19502771</v>
      </c>
      <c r="L82" s="814">
        <f t="shared" si="14"/>
        <v>139398623.26016656</v>
      </c>
      <c r="M82" s="814">
        <f t="shared" si="21"/>
        <v>76943.579693749954</v>
      </c>
      <c r="N82" s="70">
        <f>N81+M82</f>
        <v>-18158492.67072501</v>
      </c>
      <c r="O82" s="70">
        <f t="shared" si="22"/>
        <v>-17680150.759037506</v>
      </c>
      <c r="P82" s="492">
        <f t="shared" si="19"/>
        <v>121587892.4359902</v>
      </c>
      <c r="Q82" s="66"/>
      <c r="R82" s="67">
        <f t="shared" si="23"/>
        <v>121240130.58944154</v>
      </c>
      <c r="S82" s="348">
        <f>$E$79-(SUM($H$79:H82)*$U$75)</f>
        <v>52761311.789999977</v>
      </c>
      <c r="T82" s="38"/>
      <c r="U82" s="504"/>
    </row>
    <row r="83" spans="1:21" ht="12.75" hidden="1" customHeight="1" outlineLevel="1">
      <c r="A83" s="484"/>
      <c r="B83" s="80">
        <v>40999</v>
      </c>
      <c r="C83" s="80"/>
      <c r="D83" s="103"/>
      <c r="E83" s="490">
        <f t="shared" si="15"/>
        <v>52761311.789999977</v>
      </c>
      <c r="F83" s="491">
        <f t="shared" si="16"/>
        <v>141761311.78999987</v>
      </c>
      <c r="G83" s="70">
        <f t="shared" si="5"/>
        <v>140153891.92291656</v>
      </c>
      <c r="H83" s="70">
        <f t="shared" si="17"/>
        <v>590672.13245833281</v>
      </c>
      <c r="I83" s="70">
        <f t="shared" si="24"/>
        <v>-2953360.6622916642</v>
      </c>
      <c r="J83" s="70">
        <f t="shared" si="20"/>
        <v>-615283.47131076327</v>
      </c>
      <c r="K83" s="70">
        <f t="shared" si="18"/>
        <v>139538608.4516058</v>
      </c>
      <c r="L83" s="814">
        <f t="shared" si="14"/>
        <v>138807951.1277082</v>
      </c>
      <c r="M83" s="814">
        <f t="shared" si="21"/>
        <v>76943.579693749954</v>
      </c>
      <c r="N83" s="70">
        <f>N82+M83</f>
        <v>-18081549.091031261</v>
      </c>
      <c r="O83" s="70">
        <f t="shared" si="22"/>
        <v>-17823520.473839853</v>
      </c>
      <c r="P83" s="492">
        <f t="shared" si="19"/>
        <v>121715087.97776595</v>
      </c>
      <c r="Q83" s="66"/>
      <c r="R83" s="67">
        <f t="shared" si="23"/>
        <v>120726402.03667694</v>
      </c>
      <c r="S83" s="348">
        <f>$E$79-(SUM($H$79:H83)*$U$75)</f>
        <v>52761311.789999977</v>
      </c>
      <c r="T83" s="38"/>
      <c r="U83" s="504"/>
    </row>
    <row r="84" spans="1:21" ht="12.75" hidden="1" customHeight="1" outlineLevel="1">
      <c r="A84" s="484"/>
      <c r="B84" s="80">
        <v>41029</v>
      </c>
      <c r="C84" s="80"/>
      <c r="D84" s="103"/>
      <c r="E84" s="490">
        <f t="shared" si="15"/>
        <v>52761311.789999977</v>
      </c>
      <c r="F84" s="491">
        <f t="shared" si="16"/>
        <v>141761311.78999987</v>
      </c>
      <c r="G84" s="70">
        <f t="shared" si="5"/>
        <v>140580350.25499991</v>
      </c>
      <c r="H84" s="70">
        <f t="shared" si="17"/>
        <v>590672.13245833281</v>
      </c>
      <c r="I84" s="70">
        <f t="shared" si="24"/>
        <v>-3544032.7947499971</v>
      </c>
      <c r="J84" s="70">
        <f t="shared" si="20"/>
        <v>-886008.19868749927</v>
      </c>
      <c r="K84" s="70">
        <f t="shared" si="18"/>
        <v>139694342.05631241</v>
      </c>
      <c r="L84" s="814">
        <f t="shared" si="14"/>
        <v>138217278.99524987</v>
      </c>
      <c r="M84" s="814">
        <f t="shared" si="21"/>
        <v>76943.579693749954</v>
      </c>
      <c r="N84" s="70">
        <f t="shared" si="8"/>
        <v>-18004605.511337511</v>
      </c>
      <c r="O84" s="70">
        <f t="shared" si="22"/>
        <v>-17937515.082709383</v>
      </c>
      <c r="P84" s="492">
        <f t="shared" si="19"/>
        <v>121756826.97360303</v>
      </c>
      <c r="Q84" s="65"/>
      <c r="R84" s="67">
        <f t="shared" si="23"/>
        <v>120212673.48391235</v>
      </c>
      <c r="S84" s="348">
        <f>$E$79-(SUM($H$79:H84)*$U$75)</f>
        <v>52761311.789999977</v>
      </c>
      <c r="T84" s="38"/>
      <c r="U84" s="504"/>
    </row>
    <row r="85" spans="1:21" hidden="1" outlineLevel="1">
      <c r="A85" s="484"/>
      <c r="B85" s="495">
        <v>41060</v>
      </c>
      <c r="C85" s="80"/>
      <c r="D85" s="103"/>
      <c r="E85" s="490">
        <f t="shared" si="15"/>
        <v>52761311.789999977</v>
      </c>
      <c r="F85" s="491">
        <f t="shared" si="16"/>
        <v>141761311.78999987</v>
      </c>
      <c r="G85" s="70">
        <f t="shared" si="5"/>
        <v>140941199.61291656</v>
      </c>
      <c r="H85" s="70">
        <f t="shared" si="17"/>
        <v>590672.13245833281</v>
      </c>
      <c r="I85" s="70">
        <f t="shared" si="24"/>
        <v>-4134704.92720833</v>
      </c>
      <c r="J85" s="70">
        <f>(I73+I85+SUM(I74:I84)*2)/24</f>
        <v>-1205955.6037690963</v>
      </c>
      <c r="K85" s="70">
        <f t="shared" ref="K85:K148" si="25">G85+J85</f>
        <v>139735244.00914747</v>
      </c>
      <c r="L85" s="814">
        <f t="shared" si="14"/>
        <v>137626606.86279154</v>
      </c>
      <c r="M85" s="814">
        <f t="shared" si="21"/>
        <v>76943.579693749954</v>
      </c>
      <c r="N85" s="70">
        <f t="shared" si="8"/>
        <v>-17927661.931643762</v>
      </c>
      <c r="O85" s="70">
        <f t="shared" si="22"/>
        <v>-18022134.585646104</v>
      </c>
      <c r="P85" s="492">
        <f>O85+K85</f>
        <v>121713109.42350136</v>
      </c>
      <c r="Q85" s="65"/>
      <c r="R85" s="67">
        <f t="shared" si="23"/>
        <v>119698944.93114778</v>
      </c>
      <c r="S85" s="348">
        <f>$E$79-(SUM($H$79:H85)*$U$75)</f>
        <v>52761311.789999977</v>
      </c>
      <c r="T85" s="38"/>
      <c r="U85" s="504"/>
    </row>
    <row r="86" spans="1:21" hidden="1" outlineLevel="1">
      <c r="A86" s="484"/>
      <c r="B86" s="80">
        <v>41090</v>
      </c>
      <c r="C86" s="80"/>
      <c r="D86" s="103"/>
      <c r="E86" s="490">
        <f t="shared" si="15"/>
        <v>52761311.789999977</v>
      </c>
      <c r="F86" s="491">
        <f t="shared" si="16"/>
        <v>141761311.78999987</v>
      </c>
      <c r="G86" s="70">
        <f t="shared" si="5"/>
        <v>141236439.99666655</v>
      </c>
      <c r="H86" s="269">
        <f t="shared" si="17"/>
        <v>590672.13245833281</v>
      </c>
      <c r="I86" s="70">
        <f t="shared" si="24"/>
        <v>-4725377.0596666625</v>
      </c>
      <c r="J86" s="70">
        <f t="shared" si="20"/>
        <v>-1575125.6865555542</v>
      </c>
      <c r="K86" s="70">
        <f t="shared" si="25"/>
        <v>139661314.31011099</v>
      </c>
      <c r="L86" s="814">
        <f t="shared" si="14"/>
        <v>137035934.73033321</v>
      </c>
      <c r="M86" s="814">
        <f t="shared" si="21"/>
        <v>76943.579693749954</v>
      </c>
      <c r="N86" s="70">
        <f t="shared" si="8"/>
        <v>-17850718.351950012</v>
      </c>
      <c r="O86" s="70">
        <f t="shared" si="22"/>
        <v>-18077378.982650008</v>
      </c>
      <c r="P86" s="492">
        <f t="shared" ref="P86:P147" si="26">O86+K86</f>
        <v>121583935.32746097</v>
      </c>
      <c r="Q86" s="65"/>
      <c r="R86" s="67">
        <f t="shared" si="23"/>
        <v>119185216.37838319</v>
      </c>
      <c r="S86" s="348">
        <f>$E$79-(SUM($H$79:H86)*$U$75)</f>
        <v>52761311.789999977</v>
      </c>
      <c r="T86" s="38"/>
      <c r="U86" s="504"/>
    </row>
    <row r="87" spans="1:21" hidden="1" outlineLevel="1">
      <c r="A87" s="484"/>
      <c r="B87" s="80">
        <v>41121</v>
      </c>
      <c r="C87" s="80"/>
      <c r="D87" s="103"/>
      <c r="E87" s="490">
        <f t="shared" si="15"/>
        <v>52761311.789999977</v>
      </c>
      <c r="F87" s="491">
        <f t="shared" si="16"/>
        <v>141761311.78999987</v>
      </c>
      <c r="G87" s="70">
        <f t="shared" si="5"/>
        <v>141466071.40624988</v>
      </c>
      <c r="H87" s="269">
        <f t="shared" ref="H87:H150" si="27">F86/240</f>
        <v>590672.13245833281</v>
      </c>
      <c r="I87" s="70">
        <f t="shared" si="24"/>
        <v>-5316049.1921249954</v>
      </c>
      <c r="J87" s="70">
        <f t="shared" si="20"/>
        <v>-1993518.4470468732</v>
      </c>
      <c r="K87" s="70">
        <f>G87+J87</f>
        <v>139472552.959203</v>
      </c>
      <c r="L87" s="814">
        <f t="shared" si="14"/>
        <v>136445262.59787488</v>
      </c>
      <c r="M87" s="814">
        <f t="shared" si="21"/>
        <v>76943.579693749954</v>
      </c>
      <c r="N87" s="70">
        <f t="shared" si="8"/>
        <v>-17773774.772256263</v>
      </c>
      <c r="O87" s="70">
        <f t="shared" ref="O87:O147" si="28">(N75+N87+SUM(N76:N86)*2)/24</f>
        <v>-18103248.273721103</v>
      </c>
      <c r="P87" s="492">
        <f t="shared" si="26"/>
        <v>121369304.68548191</v>
      </c>
      <c r="Q87" s="65"/>
      <c r="R87" s="67">
        <f t="shared" si="23"/>
        <v>118671487.82561862</v>
      </c>
      <c r="S87" s="348">
        <f>$E$79-(SUM($H$79:H87)*$U$75)</f>
        <v>52761311.789999977</v>
      </c>
      <c r="T87" s="38"/>
      <c r="U87" s="504"/>
    </row>
    <row r="88" spans="1:21" hidden="1" outlineLevel="1">
      <c r="A88" s="484"/>
      <c r="B88" s="80">
        <v>41152</v>
      </c>
      <c r="C88" s="80"/>
      <c r="D88" s="103"/>
      <c r="E88" s="490">
        <f t="shared" si="15"/>
        <v>52761311.789999977</v>
      </c>
      <c r="F88" s="491">
        <f t="shared" si="16"/>
        <v>141761311.78999987</v>
      </c>
      <c r="G88" s="70">
        <f t="shared" si="5"/>
        <v>141630093.84166655</v>
      </c>
      <c r="H88" s="269">
        <f t="shared" si="27"/>
        <v>590672.13245833281</v>
      </c>
      <c r="I88" s="70">
        <f t="shared" si="24"/>
        <v>-5906721.3245833283</v>
      </c>
      <c r="J88" s="70">
        <f t="shared" si="20"/>
        <v>-2461133.8852430535</v>
      </c>
      <c r="K88" s="70">
        <f t="shared" si="25"/>
        <v>139168959.95642349</v>
      </c>
      <c r="L88" s="814">
        <f t="shared" si="14"/>
        <v>135854590.46541655</v>
      </c>
      <c r="M88" s="814">
        <f t="shared" si="21"/>
        <v>76943.579693749954</v>
      </c>
      <c r="N88" s="70">
        <f t="shared" si="8"/>
        <v>-17696831.192562513</v>
      </c>
      <c r="O88" s="70">
        <f t="shared" si="28"/>
        <v>-18099742.458859384</v>
      </c>
      <c r="P88" s="492">
        <f t="shared" si="26"/>
        <v>121069217.49756411</v>
      </c>
      <c r="Q88" s="65"/>
      <c r="R88" s="67">
        <f t="shared" si="23"/>
        <v>118157759.27285403</v>
      </c>
      <c r="S88" s="348">
        <f>$E$79-(SUM($H$79:H88)*$U$75)</f>
        <v>52761311.789999977</v>
      </c>
      <c r="T88" s="38"/>
      <c r="U88" s="504"/>
    </row>
    <row r="89" spans="1:21" hidden="1" outlineLevel="1">
      <c r="A89" s="484"/>
      <c r="B89" s="80">
        <v>41182</v>
      </c>
      <c r="C89" s="80"/>
      <c r="D89" s="103"/>
      <c r="E89" s="490">
        <f t="shared" si="15"/>
        <v>52761311.789999977</v>
      </c>
      <c r="F89" s="491">
        <f t="shared" si="16"/>
        <v>141761311.78999987</v>
      </c>
      <c r="G89" s="70">
        <f t="shared" ref="G89:G152" si="29">(F77+F89+SUM(F78:F88)*2)/24</f>
        <v>141728507.30291656</v>
      </c>
      <c r="H89" s="269">
        <f t="shared" si="27"/>
        <v>590672.13245833281</v>
      </c>
      <c r="I89" s="70">
        <f t="shared" si="24"/>
        <v>-6497393.4570416613</v>
      </c>
      <c r="J89" s="70">
        <f t="shared" si="20"/>
        <v>-2977972.0011440949</v>
      </c>
      <c r="K89" s="70">
        <f>G89+J89</f>
        <v>138750535.30177248</v>
      </c>
      <c r="L89" s="814">
        <f t="shared" si="14"/>
        <v>135263918.33295822</v>
      </c>
      <c r="M89" s="814">
        <f t="shared" si="21"/>
        <v>76943.579693749954</v>
      </c>
      <c r="N89" s="70">
        <f t="shared" si="8"/>
        <v>-17619887.612868764</v>
      </c>
      <c r="O89" s="70">
        <f t="shared" si="28"/>
        <v>-18066861.538064856</v>
      </c>
      <c r="P89" s="492">
        <f t="shared" si="26"/>
        <v>120683673.76370762</v>
      </c>
      <c r="Q89" s="65"/>
      <c r="R89" s="67">
        <f t="shared" si="23"/>
        <v>117644030.72008947</v>
      </c>
      <c r="S89" s="348">
        <f>$E$79-(SUM($H$79:H89)*$U$75)</f>
        <v>52761311.789999977</v>
      </c>
      <c r="T89" s="38"/>
      <c r="U89" s="504"/>
    </row>
    <row r="90" spans="1:21" hidden="1" outlineLevel="1">
      <c r="A90" s="484"/>
      <c r="B90" s="80">
        <v>41213</v>
      </c>
      <c r="C90" s="80"/>
      <c r="D90" s="103"/>
      <c r="E90" s="490">
        <f t="shared" si="15"/>
        <v>52761311.789999977</v>
      </c>
      <c r="F90" s="491">
        <f t="shared" si="16"/>
        <v>141761311.78999987</v>
      </c>
      <c r="G90" s="70">
        <f t="shared" si="29"/>
        <v>141761311.7899999</v>
      </c>
      <c r="H90" s="269">
        <f t="shared" si="27"/>
        <v>590672.13245833281</v>
      </c>
      <c r="I90" s="70">
        <f t="shared" si="24"/>
        <v>-7088065.5894999942</v>
      </c>
      <c r="J90" s="70">
        <f t="shared" si="20"/>
        <v>-3544032.7947499971</v>
      </c>
      <c r="K90" s="70">
        <f t="shared" si="25"/>
        <v>138217278.9952499</v>
      </c>
      <c r="L90" s="814">
        <f t="shared" si="14"/>
        <v>134673246.20049989</v>
      </c>
      <c r="M90" s="814">
        <f t="shared" si="21"/>
        <v>76943.579693749954</v>
      </c>
      <c r="N90" s="70">
        <f t="shared" si="8"/>
        <v>-17542944.033175014</v>
      </c>
      <c r="O90" s="70">
        <f t="shared" si="28"/>
        <v>-18004605.511337511</v>
      </c>
      <c r="P90" s="492">
        <f>O90+K90</f>
        <v>120212673.48391238</v>
      </c>
      <c r="Q90" s="65"/>
      <c r="R90" s="67">
        <f t="shared" si="23"/>
        <v>117130302.16732487</v>
      </c>
      <c r="S90" s="348">
        <f>$E$79-(SUM($H$79:H90)*$U$75)</f>
        <v>52761311.789999977</v>
      </c>
      <c r="T90" s="38"/>
      <c r="U90" s="504"/>
    </row>
    <row r="91" spans="1:21" hidden="1" outlineLevel="1">
      <c r="A91" s="484"/>
      <c r="B91" s="80">
        <v>41243</v>
      </c>
      <c r="C91" s="80"/>
      <c r="D91" s="103"/>
      <c r="E91" s="490">
        <f t="shared" si="15"/>
        <v>52761311.789999977</v>
      </c>
      <c r="F91" s="491">
        <f t="shared" si="16"/>
        <v>141761311.78999987</v>
      </c>
      <c r="G91" s="70">
        <f t="shared" si="29"/>
        <v>141761311.7899999</v>
      </c>
      <c r="H91" s="269">
        <f t="shared" si="27"/>
        <v>590672.13245833281</v>
      </c>
      <c r="I91" s="70">
        <f t="shared" si="24"/>
        <v>-7678737.7219583271</v>
      </c>
      <c r="J91" s="70">
        <f t="shared" si="20"/>
        <v>-4134704.92720833</v>
      </c>
      <c r="K91" s="70">
        <f t="shared" si="25"/>
        <v>137626606.86279157</v>
      </c>
      <c r="L91" s="814">
        <f t="shared" si="14"/>
        <v>134082574.06804155</v>
      </c>
      <c r="M91" s="814">
        <f t="shared" si="21"/>
        <v>76943.579693749954</v>
      </c>
      <c r="N91" s="70">
        <f t="shared" si="8"/>
        <v>-17466000.453481264</v>
      </c>
      <c r="O91" s="70">
        <f t="shared" si="28"/>
        <v>-17927661.931643762</v>
      </c>
      <c r="P91" s="492">
        <f t="shared" si="26"/>
        <v>119698944.93114781</v>
      </c>
      <c r="Q91" s="65"/>
      <c r="R91" s="67">
        <f t="shared" si="23"/>
        <v>116616573.61456028</v>
      </c>
      <c r="S91" s="348">
        <f>$E$79-(SUM($H$79:H91)*$U$75)</f>
        <v>52761311.789999977</v>
      </c>
      <c r="T91" s="38"/>
      <c r="U91" s="504"/>
    </row>
    <row r="92" spans="1:21" hidden="1" outlineLevel="1">
      <c r="A92" s="484"/>
      <c r="B92" s="80">
        <v>41274</v>
      </c>
      <c r="C92" s="80"/>
      <c r="D92" s="103"/>
      <c r="E92" s="490">
        <f t="shared" si="15"/>
        <v>52761311.789999977</v>
      </c>
      <c r="F92" s="491">
        <f t="shared" si="16"/>
        <v>141761311.78999987</v>
      </c>
      <c r="G92" s="70">
        <f t="shared" si="29"/>
        <v>141761311.7899999</v>
      </c>
      <c r="H92" s="269">
        <f t="shared" si="27"/>
        <v>590672.13245833281</v>
      </c>
      <c r="I92" s="70">
        <f t="shared" si="24"/>
        <v>-8269409.85441666</v>
      </c>
      <c r="J92" s="70">
        <f t="shared" si="20"/>
        <v>-4725377.0596666625</v>
      </c>
      <c r="K92" s="70">
        <f t="shared" si="25"/>
        <v>137035934.73033324</v>
      </c>
      <c r="L92" s="814">
        <f t="shared" si="14"/>
        <v>133491901.93558322</v>
      </c>
      <c r="M92" s="814">
        <f t="shared" si="21"/>
        <v>76943.579693749954</v>
      </c>
      <c r="N92" s="70">
        <f t="shared" si="8"/>
        <v>-17389056.873787515</v>
      </c>
      <c r="O92" s="70">
        <f t="shared" si="28"/>
        <v>-17850718.351950012</v>
      </c>
      <c r="P92" s="492">
        <f t="shared" si="26"/>
        <v>119185216.37838322</v>
      </c>
      <c r="Q92" s="65"/>
      <c r="R92" s="67">
        <f t="shared" si="23"/>
        <v>116102845.06179571</v>
      </c>
      <c r="S92" s="348">
        <f>$E$79-(SUM($H$79:H92)*$U$75)</f>
        <v>52761311.789999977</v>
      </c>
      <c r="T92" s="38"/>
      <c r="U92" s="504"/>
    </row>
    <row r="93" spans="1:21" hidden="1" outlineLevel="1">
      <c r="A93" s="484"/>
      <c r="B93" s="80">
        <v>41305</v>
      </c>
      <c r="C93" s="80"/>
      <c r="D93" s="103"/>
      <c r="E93" s="490">
        <f t="shared" si="15"/>
        <v>52761311.789999977</v>
      </c>
      <c r="F93" s="491">
        <f t="shared" si="16"/>
        <v>141761311.78999987</v>
      </c>
      <c r="G93" s="70">
        <f t="shared" si="29"/>
        <v>141761311.7899999</v>
      </c>
      <c r="H93" s="269">
        <f t="shared" si="27"/>
        <v>590672.13245833281</v>
      </c>
      <c r="I93" s="70">
        <f t="shared" si="24"/>
        <v>-8860081.986874992</v>
      </c>
      <c r="J93" s="70">
        <f t="shared" si="20"/>
        <v>-5316049.1921249954</v>
      </c>
      <c r="K93" s="70">
        <f t="shared" si="25"/>
        <v>136445262.59787491</v>
      </c>
      <c r="L93" s="814">
        <f t="shared" si="14"/>
        <v>132901229.80312487</v>
      </c>
      <c r="M93" s="814">
        <f t="shared" si="21"/>
        <v>76943.579693749954</v>
      </c>
      <c r="N93" s="70">
        <f t="shared" si="8"/>
        <v>-17312113.294093765</v>
      </c>
      <c r="O93" s="70">
        <f t="shared" si="28"/>
        <v>-17773774.772256263</v>
      </c>
      <c r="P93" s="492">
        <f t="shared" si="26"/>
        <v>118671487.82561865</v>
      </c>
      <c r="Q93" s="65"/>
      <c r="R93" s="67">
        <f t="shared" si="23"/>
        <v>115589116.50903112</v>
      </c>
      <c r="S93" s="348">
        <f>$E$79-(SUM($H$79:H93)*$U$75)</f>
        <v>52761311.789999977</v>
      </c>
      <c r="T93" s="38"/>
      <c r="U93" s="504"/>
    </row>
    <row r="94" spans="1:21" hidden="1" outlineLevel="1">
      <c r="A94" s="484"/>
      <c r="B94" s="80">
        <v>41333</v>
      </c>
      <c r="C94" s="80"/>
      <c r="D94" s="103"/>
      <c r="E94" s="490">
        <f t="shared" si="15"/>
        <v>52761311.789999977</v>
      </c>
      <c r="F94" s="491">
        <f t="shared" si="16"/>
        <v>141761311.78999987</v>
      </c>
      <c r="G94" s="70">
        <f t="shared" si="29"/>
        <v>141761311.7899999</v>
      </c>
      <c r="H94" s="269">
        <f t="shared" si="27"/>
        <v>590672.13245833281</v>
      </c>
      <c r="I94" s="70">
        <f t="shared" si="24"/>
        <v>-9450754.119333325</v>
      </c>
      <c r="J94" s="70">
        <f t="shared" si="20"/>
        <v>-5906721.3245833283</v>
      </c>
      <c r="K94" s="70">
        <f t="shared" si="25"/>
        <v>135854590.46541658</v>
      </c>
      <c r="L94" s="814">
        <f t="shared" si="14"/>
        <v>132310557.67066655</v>
      </c>
      <c r="M94" s="814">
        <f t="shared" si="21"/>
        <v>76943.579693749954</v>
      </c>
      <c r="N94" s="70">
        <f t="shared" si="8"/>
        <v>-17235169.714400016</v>
      </c>
      <c r="O94" s="70">
        <f t="shared" si="28"/>
        <v>-17696831.192562513</v>
      </c>
      <c r="P94" s="492">
        <f t="shared" si="26"/>
        <v>118157759.27285406</v>
      </c>
      <c r="Q94" s="65"/>
      <c r="R94" s="67">
        <f t="shared" si="23"/>
        <v>115075387.95626652</v>
      </c>
      <c r="S94" s="348">
        <f>$E$79-(SUM($H$79:H94)*$U$75)</f>
        <v>52761311.789999977</v>
      </c>
      <c r="T94" s="38"/>
      <c r="U94" s="504"/>
    </row>
    <row r="95" spans="1:21" hidden="1" outlineLevel="1">
      <c r="A95" s="484"/>
      <c r="B95" s="80">
        <v>41364</v>
      </c>
      <c r="C95" s="80"/>
      <c r="D95" s="103"/>
      <c r="E95" s="490">
        <f t="shared" si="15"/>
        <v>52761311.789999977</v>
      </c>
      <c r="F95" s="491">
        <f t="shared" si="16"/>
        <v>141761311.78999987</v>
      </c>
      <c r="G95" s="70">
        <f t="shared" si="29"/>
        <v>141761311.7899999</v>
      </c>
      <c r="H95" s="269">
        <f t="shared" si="27"/>
        <v>590672.13245833281</v>
      </c>
      <c r="I95" s="70">
        <f t="shared" si="24"/>
        <v>-10041426.251791658</v>
      </c>
      <c r="J95" s="70">
        <f t="shared" si="20"/>
        <v>-6497393.4570416613</v>
      </c>
      <c r="K95" s="70">
        <f t="shared" si="25"/>
        <v>135263918.33295825</v>
      </c>
      <c r="L95" s="814">
        <f t="shared" si="14"/>
        <v>131719885.53820822</v>
      </c>
      <c r="M95" s="814">
        <f t="shared" si="21"/>
        <v>76943.579693749954</v>
      </c>
      <c r="N95" s="70">
        <f t="shared" si="8"/>
        <v>-17158226.134706266</v>
      </c>
      <c r="O95" s="70">
        <f t="shared" si="28"/>
        <v>-17619887.612868764</v>
      </c>
      <c r="P95" s="492">
        <f t="shared" si="26"/>
        <v>117644030.7200895</v>
      </c>
      <c r="Q95" s="65"/>
      <c r="R95" s="67">
        <f t="shared" si="23"/>
        <v>114561659.40350196</v>
      </c>
      <c r="S95" s="348">
        <f>$E$79-(SUM($H$79:H95)*$U$75)</f>
        <v>52761311.789999977</v>
      </c>
      <c r="T95" s="38"/>
      <c r="U95" s="504"/>
    </row>
    <row r="96" spans="1:21" ht="12.75" hidden="1" customHeight="1" outlineLevel="1">
      <c r="A96" s="484"/>
      <c r="B96" s="80">
        <v>41394</v>
      </c>
      <c r="C96" s="80"/>
      <c r="D96" s="103"/>
      <c r="E96" s="490">
        <f t="shared" si="15"/>
        <v>52761311.789999977</v>
      </c>
      <c r="F96" s="491">
        <f t="shared" si="16"/>
        <v>141761311.78999987</v>
      </c>
      <c r="G96" s="70">
        <f t="shared" si="29"/>
        <v>141761311.7899999</v>
      </c>
      <c r="H96" s="269">
        <f t="shared" si="27"/>
        <v>590672.13245833281</v>
      </c>
      <c r="I96" s="70">
        <f t="shared" si="24"/>
        <v>-10632098.384249991</v>
      </c>
      <c r="J96" s="70">
        <f t="shared" si="20"/>
        <v>-7088065.5894999942</v>
      </c>
      <c r="K96" s="70">
        <f t="shared" si="25"/>
        <v>134673246.20049992</v>
      </c>
      <c r="L96" s="814">
        <f t="shared" si="14"/>
        <v>131129213.40574989</v>
      </c>
      <c r="M96" s="814">
        <f t="shared" si="21"/>
        <v>76943.579693749954</v>
      </c>
      <c r="N96" s="70">
        <f t="shared" si="8"/>
        <v>-17081282.555012517</v>
      </c>
      <c r="O96" s="70">
        <f t="shared" si="28"/>
        <v>-17542944.033175014</v>
      </c>
      <c r="P96" s="492">
        <f t="shared" si="26"/>
        <v>117130302.1673249</v>
      </c>
      <c r="Q96" s="65"/>
      <c r="R96" s="67">
        <f t="shared" si="23"/>
        <v>114047930.85073736</v>
      </c>
      <c r="S96" s="348">
        <f>$E$79-(SUM($H$79:H96)*$U$75)</f>
        <v>52761311.789999977</v>
      </c>
      <c r="T96" s="38"/>
      <c r="U96" s="504"/>
    </row>
    <row r="97" spans="1:21" hidden="1" outlineLevel="1">
      <c r="A97" s="484"/>
      <c r="B97" s="80">
        <v>41425</v>
      </c>
      <c r="C97" s="80"/>
      <c r="D97" s="103"/>
      <c r="E97" s="490">
        <f t="shared" si="15"/>
        <v>52761311.789999977</v>
      </c>
      <c r="F97" s="491">
        <f t="shared" si="16"/>
        <v>141761311.78999987</v>
      </c>
      <c r="G97" s="70">
        <f t="shared" si="29"/>
        <v>141761311.7899999</v>
      </c>
      <c r="H97" s="269">
        <f t="shared" si="27"/>
        <v>590672.13245833281</v>
      </c>
      <c r="I97" s="70">
        <f t="shared" si="24"/>
        <v>-11222770.516708324</v>
      </c>
      <c r="J97" s="70">
        <f t="shared" si="20"/>
        <v>-7678737.7219583271</v>
      </c>
      <c r="K97" s="70">
        <f t="shared" si="25"/>
        <v>134082574.06804158</v>
      </c>
      <c r="L97" s="814">
        <f t="shared" si="14"/>
        <v>130538541.27329154</v>
      </c>
      <c r="M97" s="814">
        <f t="shared" si="21"/>
        <v>76943.579693749954</v>
      </c>
      <c r="N97" s="70">
        <f t="shared" si="8"/>
        <v>-17004338.975318767</v>
      </c>
      <c r="O97" s="70">
        <f t="shared" si="28"/>
        <v>-17466000.453481264</v>
      </c>
      <c r="P97" s="492">
        <f t="shared" si="26"/>
        <v>116616573.61456031</v>
      </c>
      <c r="Q97" s="65"/>
      <c r="R97" s="67">
        <f t="shared" si="23"/>
        <v>113534202.29797277</v>
      </c>
      <c r="S97" s="348">
        <f>$E$79-(SUM($H$79:H97)*$U$75)</f>
        <v>52761311.789999977</v>
      </c>
      <c r="T97" s="38"/>
      <c r="U97" s="504"/>
    </row>
    <row r="98" spans="1:21" hidden="1" outlineLevel="1">
      <c r="A98" s="484"/>
      <c r="B98" s="80">
        <v>41455</v>
      </c>
      <c r="C98" s="80"/>
      <c r="D98" s="103"/>
      <c r="E98" s="490">
        <f t="shared" si="15"/>
        <v>52761311.789999977</v>
      </c>
      <c r="F98" s="491">
        <f t="shared" si="16"/>
        <v>141761311.78999987</v>
      </c>
      <c r="G98" s="70">
        <f t="shared" si="29"/>
        <v>141761311.7899999</v>
      </c>
      <c r="H98" s="269">
        <f t="shared" si="27"/>
        <v>590672.13245833281</v>
      </c>
      <c r="I98" s="70">
        <f t="shared" si="24"/>
        <v>-11813442.649166657</v>
      </c>
      <c r="J98" s="70">
        <f t="shared" si="20"/>
        <v>-8269409.85441666</v>
      </c>
      <c r="K98" s="70">
        <f t="shared" si="25"/>
        <v>133491901.93558325</v>
      </c>
      <c r="L98" s="814">
        <f t="shared" si="14"/>
        <v>129947869.14083321</v>
      </c>
      <c r="M98" s="814">
        <f t="shared" si="21"/>
        <v>76943.579693749954</v>
      </c>
      <c r="N98" s="70">
        <f t="shared" si="8"/>
        <v>-16927395.395625018</v>
      </c>
      <c r="O98" s="70">
        <f t="shared" si="28"/>
        <v>-17389056.873787515</v>
      </c>
      <c r="P98" s="492">
        <f t="shared" si="26"/>
        <v>116102845.06179574</v>
      </c>
      <c r="Q98" s="65"/>
      <c r="R98" s="67">
        <f t="shared" si="23"/>
        <v>113020473.7452082</v>
      </c>
      <c r="S98" s="348">
        <f>$E$79-(SUM($H$79:H98)*$U$75)</f>
        <v>52761311.789999977</v>
      </c>
      <c r="T98" s="38"/>
      <c r="U98" s="504"/>
    </row>
    <row r="99" spans="1:21" hidden="1" outlineLevel="1">
      <c r="A99" s="494"/>
      <c r="B99" s="80">
        <v>41486</v>
      </c>
      <c r="C99" s="495"/>
      <c r="D99" s="103"/>
      <c r="E99" s="490">
        <f t="shared" si="15"/>
        <v>52761311.789999977</v>
      </c>
      <c r="F99" s="491">
        <f t="shared" si="16"/>
        <v>141761311.78999987</v>
      </c>
      <c r="G99" s="70">
        <f t="shared" si="29"/>
        <v>141761311.7899999</v>
      </c>
      <c r="H99" s="269">
        <f t="shared" si="27"/>
        <v>590672.13245833281</v>
      </c>
      <c r="I99" s="70">
        <f t="shared" si="24"/>
        <v>-12404114.78162499</v>
      </c>
      <c r="J99" s="70">
        <f t="shared" si="20"/>
        <v>-8860081.986874992</v>
      </c>
      <c r="K99" s="70">
        <f t="shared" si="25"/>
        <v>132901229.8031249</v>
      </c>
      <c r="L99" s="814">
        <f t="shared" si="14"/>
        <v>129357197.00837488</v>
      </c>
      <c r="M99" s="814">
        <f t="shared" si="21"/>
        <v>76943.579693749954</v>
      </c>
      <c r="N99" s="70">
        <f t="shared" si="8"/>
        <v>-16850451.815931268</v>
      </c>
      <c r="O99" s="70">
        <f t="shared" si="28"/>
        <v>-17312113.294093765</v>
      </c>
      <c r="P99" s="492">
        <f t="shared" si="26"/>
        <v>115589116.50903115</v>
      </c>
      <c r="Q99" s="65"/>
      <c r="R99" s="67">
        <f t="shared" si="23"/>
        <v>112506745.19244361</v>
      </c>
      <c r="S99" s="348">
        <f>$E$79-(SUM($H$79:H99)*$U$75)</f>
        <v>52761311.789999977</v>
      </c>
      <c r="T99" s="38"/>
      <c r="U99" s="504"/>
    </row>
    <row r="100" spans="1:21" hidden="1" outlineLevel="1">
      <c r="A100" s="484"/>
      <c r="B100" s="80">
        <v>41517</v>
      </c>
      <c r="C100" s="80"/>
      <c r="D100" s="103"/>
      <c r="E100" s="490">
        <f t="shared" si="15"/>
        <v>52761311.789999977</v>
      </c>
      <c r="F100" s="491">
        <f t="shared" si="16"/>
        <v>141761311.78999987</v>
      </c>
      <c r="G100" s="70">
        <f t="shared" si="29"/>
        <v>141761311.7899999</v>
      </c>
      <c r="H100" s="269">
        <f t="shared" si="27"/>
        <v>590672.13245833281</v>
      </c>
      <c r="I100" s="70">
        <f t="shared" si="24"/>
        <v>-12994786.914083323</v>
      </c>
      <c r="J100" s="70">
        <f t="shared" si="20"/>
        <v>-9450754.119333325</v>
      </c>
      <c r="K100" s="70">
        <f t="shared" si="25"/>
        <v>132310557.67066658</v>
      </c>
      <c r="L100" s="814">
        <f t="shared" si="14"/>
        <v>128766524.87591656</v>
      </c>
      <c r="M100" s="814">
        <f t="shared" si="21"/>
        <v>76943.579693749954</v>
      </c>
      <c r="N100" s="70">
        <f t="shared" si="8"/>
        <v>-16773508.236237518</v>
      </c>
      <c r="O100" s="70">
        <f t="shared" si="28"/>
        <v>-17235169.714400016</v>
      </c>
      <c r="P100" s="492">
        <f t="shared" si="26"/>
        <v>115075387.95626655</v>
      </c>
      <c r="Q100" s="65"/>
      <c r="R100" s="67">
        <f t="shared" si="23"/>
        <v>111993016.63967904</v>
      </c>
      <c r="S100" s="348">
        <f>$E$79-(SUM($H$79:H100)*$U$75)</f>
        <v>52761311.789999977</v>
      </c>
      <c r="T100" s="38"/>
      <c r="U100" s="504"/>
    </row>
    <row r="101" spans="1:21" hidden="1" outlineLevel="1">
      <c r="A101" s="484"/>
      <c r="B101" s="80">
        <v>41547</v>
      </c>
      <c r="C101" s="80"/>
      <c r="D101" s="103"/>
      <c r="E101" s="490">
        <f t="shared" si="15"/>
        <v>52761311.789999977</v>
      </c>
      <c r="F101" s="491">
        <f t="shared" si="16"/>
        <v>141761311.78999987</v>
      </c>
      <c r="G101" s="70">
        <f t="shared" si="29"/>
        <v>141761311.7899999</v>
      </c>
      <c r="H101" s="269">
        <f t="shared" si="27"/>
        <v>590672.13245833281</v>
      </c>
      <c r="I101" s="70">
        <f t="shared" si="24"/>
        <v>-13585459.046541655</v>
      </c>
      <c r="J101" s="70">
        <f>(I89+I101+SUM(I90:I100)*2)/24</f>
        <v>-10041426.251791658</v>
      </c>
      <c r="K101" s="70">
        <f t="shared" si="25"/>
        <v>131719885.53820825</v>
      </c>
      <c r="L101" s="814">
        <f t="shared" si="14"/>
        <v>128175852.74345821</v>
      </c>
      <c r="M101" s="814">
        <f t="shared" si="21"/>
        <v>76943.579693749954</v>
      </c>
      <c r="N101" s="70">
        <f t="shared" si="8"/>
        <v>-16696564.656543769</v>
      </c>
      <c r="O101" s="70">
        <f t="shared" si="28"/>
        <v>-17158226.134706266</v>
      </c>
      <c r="P101" s="492">
        <f t="shared" si="26"/>
        <v>114561659.40350199</v>
      </c>
      <c r="Q101" s="65"/>
      <c r="R101" s="67">
        <f t="shared" si="23"/>
        <v>111479288.08691445</v>
      </c>
      <c r="S101" s="348">
        <f>$E$79-(SUM($H$79:H101)*$U$75)</f>
        <v>52761311.789999977</v>
      </c>
      <c r="T101" s="38"/>
      <c r="U101" s="504"/>
    </row>
    <row r="102" spans="1:21" ht="14.25" hidden="1" customHeight="1" outlineLevel="1">
      <c r="A102" s="484"/>
      <c r="B102" s="80">
        <v>41578</v>
      </c>
      <c r="C102" s="80"/>
      <c r="D102" s="103"/>
      <c r="E102" s="490">
        <f t="shared" si="15"/>
        <v>52761311.789999977</v>
      </c>
      <c r="F102" s="491">
        <f t="shared" si="16"/>
        <v>141761311.78999987</v>
      </c>
      <c r="G102" s="70">
        <f t="shared" si="29"/>
        <v>141761311.7899999</v>
      </c>
      <c r="H102" s="269">
        <f t="shared" si="27"/>
        <v>590672.13245833281</v>
      </c>
      <c r="I102" s="70">
        <f t="shared" si="24"/>
        <v>-14176131.178999988</v>
      </c>
      <c r="J102" s="70">
        <f t="shared" si="20"/>
        <v>-10632098.384249991</v>
      </c>
      <c r="K102" s="70">
        <f t="shared" si="25"/>
        <v>131129213.40574992</v>
      </c>
      <c r="L102" s="814">
        <f t="shared" si="14"/>
        <v>127585180.61099988</v>
      </c>
      <c r="M102" s="814">
        <f t="shared" si="21"/>
        <v>76943.579693749954</v>
      </c>
      <c r="N102" s="70">
        <f t="shared" si="8"/>
        <v>-16619621.076850019</v>
      </c>
      <c r="O102" s="70">
        <f t="shared" si="28"/>
        <v>-17081282.555012517</v>
      </c>
      <c r="P102" s="492">
        <f t="shared" si="26"/>
        <v>114047930.85073739</v>
      </c>
      <c r="Q102" s="79"/>
      <c r="R102" s="67">
        <f t="shared" si="23"/>
        <v>110965559.53414986</v>
      </c>
      <c r="S102" s="348">
        <f>$E$79-(SUM($H$79:H102)*$U$75)</f>
        <v>52761311.789999977</v>
      </c>
      <c r="T102" s="38"/>
      <c r="U102" s="504"/>
    </row>
    <row r="103" spans="1:21" hidden="1" outlineLevel="1">
      <c r="A103" s="484"/>
      <c r="B103" s="80">
        <v>41608</v>
      </c>
      <c r="C103" s="80"/>
      <c r="D103" s="103"/>
      <c r="E103" s="490">
        <f t="shared" si="15"/>
        <v>52761311.789999977</v>
      </c>
      <c r="F103" s="491">
        <f t="shared" si="16"/>
        <v>141761311.78999987</v>
      </c>
      <c r="G103" s="70">
        <f t="shared" si="29"/>
        <v>141761311.7899999</v>
      </c>
      <c r="H103" s="269">
        <f t="shared" si="27"/>
        <v>590672.13245833281</v>
      </c>
      <c r="I103" s="70">
        <f t="shared" si="24"/>
        <v>-14766803.311458321</v>
      </c>
      <c r="J103" s="70">
        <f t="shared" si="20"/>
        <v>-11222770.516708324</v>
      </c>
      <c r="K103" s="70">
        <f t="shared" si="25"/>
        <v>130538541.27329157</v>
      </c>
      <c r="L103" s="814">
        <f t="shared" si="14"/>
        <v>126994508.47854155</v>
      </c>
      <c r="M103" s="814">
        <f t="shared" si="21"/>
        <v>76943.579693749954</v>
      </c>
      <c r="N103" s="70">
        <f t="shared" si="8"/>
        <v>-16542677.49715627</v>
      </c>
      <c r="O103" s="70">
        <f t="shared" si="28"/>
        <v>-17004338.975318767</v>
      </c>
      <c r="P103" s="492">
        <f t="shared" si="26"/>
        <v>113534202.2979728</v>
      </c>
      <c r="Q103" s="65"/>
      <c r="R103" s="67">
        <f t="shared" si="23"/>
        <v>110451830.98138529</v>
      </c>
      <c r="S103" s="348">
        <f>$E$79-(SUM($H$79:H103)*$U$75)</f>
        <v>52761311.789999977</v>
      </c>
      <c r="T103" s="38"/>
      <c r="U103" s="504"/>
    </row>
    <row r="104" spans="1:21" hidden="1" outlineLevel="1">
      <c r="A104" s="484"/>
      <c r="B104" s="80">
        <v>41639</v>
      </c>
      <c r="C104" s="80"/>
      <c r="D104" s="103"/>
      <c r="E104" s="490">
        <f t="shared" si="15"/>
        <v>52761311.789999977</v>
      </c>
      <c r="F104" s="491">
        <f t="shared" si="16"/>
        <v>141761311.78999987</v>
      </c>
      <c r="G104" s="70">
        <f t="shared" si="29"/>
        <v>141761311.7899999</v>
      </c>
      <c r="H104" s="269">
        <f t="shared" si="27"/>
        <v>590672.13245833281</v>
      </c>
      <c r="I104" s="70">
        <f t="shared" si="24"/>
        <v>-15357475.443916654</v>
      </c>
      <c r="J104" s="70">
        <f t="shared" si="20"/>
        <v>-11813442.649166657</v>
      </c>
      <c r="K104" s="70">
        <f t="shared" si="25"/>
        <v>129947869.14083324</v>
      </c>
      <c r="L104" s="814">
        <f t="shared" si="14"/>
        <v>126403836.34608322</v>
      </c>
      <c r="M104" s="814">
        <f t="shared" si="21"/>
        <v>76943.579693749954</v>
      </c>
      <c r="N104" s="70">
        <f t="shared" si="8"/>
        <v>-16465733.91746252</v>
      </c>
      <c r="O104" s="70">
        <f t="shared" si="28"/>
        <v>-16927395.395625018</v>
      </c>
      <c r="P104" s="492">
        <f t="shared" si="26"/>
        <v>113020473.74520823</v>
      </c>
      <c r="Q104" s="65"/>
      <c r="R104" s="67">
        <f t="shared" si="23"/>
        <v>109938102.4286207</v>
      </c>
      <c r="S104" s="348">
        <f>$E$79-(SUM($H$79:H104)*$U$75)</f>
        <v>52761311.789999977</v>
      </c>
      <c r="T104" s="38"/>
      <c r="U104" s="504"/>
    </row>
    <row r="105" spans="1:21" ht="12.75" hidden="1" customHeight="1" outlineLevel="1">
      <c r="A105" s="484"/>
      <c r="B105" s="80">
        <v>41670</v>
      </c>
      <c r="C105" s="80"/>
      <c r="D105" s="103"/>
      <c r="E105" s="490">
        <f t="shared" si="15"/>
        <v>52761311.789999977</v>
      </c>
      <c r="F105" s="491">
        <f t="shared" si="16"/>
        <v>141761311.78999987</v>
      </c>
      <c r="G105" s="70">
        <f t="shared" si="29"/>
        <v>141761311.7899999</v>
      </c>
      <c r="H105" s="269">
        <f t="shared" si="27"/>
        <v>590672.13245833281</v>
      </c>
      <c r="I105" s="70">
        <f t="shared" si="24"/>
        <v>-15948147.576374987</v>
      </c>
      <c r="J105" s="70">
        <f t="shared" si="20"/>
        <v>-12404114.78162499</v>
      </c>
      <c r="K105" s="70">
        <f t="shared" si="25"/>
        <v>129357197.00837491</v>
      </c>
      <c r="L105" s="814">
        <f t="shared" si="14"/>
        <v>125813164.21362488</v>
      </c>
      <c r="M105" s="814">
        <f t="shared" si="21"/>
        <v>76943.579693749954</v>
      </c>
      <c r="N105" s="70">
        <f t="shared" ref="N105:N167" si="30">N104+M105</f>
        <v>-16388790.337768771</v>
      </c>
      <c r="O105" s="70">
        <f t="shared" si="28"/>
        <v>-16850451.815931268</v>
      </c>
      <c r="P105" s="492">
        <f t="shared" si="26"/>
        <v>112506745.19244364</v>
      </c>
      <c r="Q105" s="65"/>
      <c r="R105" s="67">
        <f t="shared" si="23"/>
        <v>109424373.8758561</v>
      </c>
      <c r="S105" s="348">
        <f>$E$79-(SUM($H$79:H105)*$U$75)</f>
        <v>52761311.789999977</v>
      </c>
      <c r="T105" s="38"/>
      <c r="U105" s="504"/>
    </row>
    <row r="106" spans="1:21" hidden="1" outlineLevel="1">
      <c r="A106" s="484"/>
      <c r="B106" s="80">
        <v>41698</v>
      </c>
      <c r="C106" s="80"/>
      <c r="D106" s="103"/>
      <c r="E106" s="490">
        <f t="shared" si="15"/>
        <v>52761311.789999977</v>
      </c>
      <c r="F106" s="491">
        <f t="shared" si="16"/>
        <v>141761311.78999987</v>
      </c>
      <c r="G106" s="70">
        <f t="shared" si="29"/>
        <v>141761311.7899999</v>
      </c>
      <c r="H106" s="269">
        <f t="shared" si="27"/>
        <v>590672.13245833281</v>
      </c>
      <c r="I106" s="70">
        <f t="shared" si="24"/>
        <v>-16538819.70883332</v>
      </c>
      <c r="J106" s="70">
        <f t="shared" si="20"/>
        <v>-12994786.914083323</v>
      </c>
      <c r="K106" s="70">
        <f t="shared" si="25"/>
        <v>128766524.87591659</v>
      </c>
      <c r="L106" s="814">
        <f t="shared" si="14"/>
        <v>125222492.08116655</v>
      </c>
      <c r="M106" s="814">
        <f t="shared" si="21"/>
        <v>76943.579693749954</v>
      </c>
      <c r="N106" s="70">
        <f t="shared" si="30"/>
        <v>-16311846.758075021</v>
      </c>
      <c r="O106" s="70">
        <f t="shared" si="28"/>
        <v>-16773508.236237518</v>
      </c>
      <c r="P106" s="492">
        <f t="shared" si="26"/>
        <v>111993016.63967907</v>
      </c>
      <c r="Q106" s="65"/>
      <c r="R106" s="67">
        <f t="shared" si="23"/>
        <v>108910645.32309154</v>
      </c>
      <c r="S106" s="348">
        <f>$E$79-(SUM($H$79:H106)*$U$75)</f>
        <v>52761311.789999977</v>
      </c>
      <c r="T106" s="38"/>
      <c r="U106" s="504"/>
    </row>
    <row r="107" spans="1:21" hidden="1" outlineLevel="1">
      <c r="A107" s="484"/>
      <c r="B107" s="80">
        <v>41729</v>
      </c>
      <c r="C107" s="80"/>
      <c r="D107" s="103"/>
      <c r="E107" s="490">
        <f t="shared" si="15"/>
        <v>52761311.789999977</v>
      </c>
      <c r="F107" s="491">
        <f t="shared" si="16"/>
        <v>141761311.78999987</v>
      </c>
      <c r="G107" s="70">
        <f t="shared" si="29"/>
        <v>141761311.7899999</v>
      </c>
      <c r="H107" s="269">
        <f t="shared" si="27"/>
        <v>590672.13245833281</v>
      </c>
      <c r="I107" s="70">
        <f t="shared" si="24"/>
        <v>-17129491.841291651</v>
      </c>
      <c r="J107" s="70">
        <f t="shared" si="20"/>
        <v>-13585459.046541655</v>
      </c>
      <c r="K107" s="70">
        <f t="shared" si="25"/>
        <v>128175852.74345824</v>
      </c>
      <c r="L107" s="814">
        <f t="shared" si="14"/>
        <v>124631819.94870822</v>
      </c>
      <c r="M107" s="814">
        <f t="shared" si="21"/>
        <v>76943.579693749954</v>
      </c>
      <c r="N107" s="70">
        <f t="shared" si="30"/>
        <v>-16234903.178381272</v>
      </c>
      <c r="O107" s="70">
        <f t="shared" si="28"/>
        <v>-16696564.656543769</v>
      </c>
      <c r="P107" s="492">
        <f t="shared" si="26"/>
        <v>111479288.08691448</v>
      </c>
      <c r="Q107" s="65"/>
      <c r="R107" s="67">
        <f t="shared" si="23"/>
        <v>108396916.77032694</v>
      </c>
      <c r="S107" s="348">
        <f>$E$79-(SUM($H$79:H107)*$U$75)</f>
        <v>52761311.789999977</v>
      </c>
      <c r="T107" s="38"/>
      <c r="U107" s="504"/>
    </row>
    <row r="108" spans="1:21" ht="12.75" hidden="1" customHeight="1" outlineLevel="1">
      <c r="A108" s="484"/>
      <c r="B108" s="80">
        <v>41759</v>
      </c>
      <c r="C108" s="80"/>
      <c r="D108" s="103"/>
      <c r="E108" s="490">
        <f t="shared" si="15"/>
        <v>52761311.789999977</v>
      </c>
      <c r="F108" s="491">
        <f t="shared" si="16"/>
        <v>141761311.78999987</v>
      </c>
      <c r="G108" s="70">
        <f t="shared" si="29"/>
        <v>141761311.7899999</v>
      </c>
      <c r="H108" s="269">
        <f t="shared" si="27"/>
        <v>590672.13245833281</v>
      </c>
      <c r="I108" s="70">
        <f t="shared" si="24"/>
        <v>-17720163.973749984</v>
      </c>
      <c r="J108" s="70">
        <f t="shared" si="20"/>
        <v>-14176131.178999988</v>
      </c>
      <c r="K108" s="70">
        <f t="shared" si="25"/>
        <v>127585180.61099991</v>
      </c>
      <c r="L108" s="814">
        <f t="shared" si="14"/>
        <v>124041147.81624989</v>
      </c>
      <c r="M108" s="814">
        <f t="shared" si="21"/>
        <v>76943.579693749954</v>
      </c>
      <c r="N108" s="70">
        <f t="shared" si="30"/>
        <v>-16157959.598687522</v>
      </c>
      <c r="O108" s="70">
        <f t="shared" si="28"/>
        <v>-16619621.076850019</v>
      </c>
      <c r="P108" s="492">
        <f t="shared" si="26"/>
        <v>110965559.53414989</v>
      </c>
      <c r="Q108" s="65"/>
      <c r="R108" s="67">
        <f t="shared" si="23"/>
        <v>107883188.21756238</v>
      </c>
      <c r="S108" s="348">
        <f>$E$79-(SUM($H$79:H108)*$U$75)</f>
        <v>52761311.789999977</v>
      </c>
      <c r="T108" s="38"/>
      <c r="U108" s="504"/>
    </row>
    <row r="109" spans="1:21" hidden="1" outlineLevel="1">
      <c r="A109" s="484"/>
      <c r="B109" s="80">
        <v>41790</v>
      </c>
      <c r="C109" s="80"/>
      <c r="D109" s="103"/>
      <c r="E109" s="490">
        <f t="shared" si="15"/>
        <v>52761311.789999977</v>
      </c>
      <c r="F109" s="491">
        <f t="shared" si="16"/>
        <v>141761311.78999987</v>
      </c>
      <c r="G109" s="70">
        <f t="shared" si="29"/>
        <v>141761311.7899999</v>
      </c>
      <c r="H109" s="269">
        <f t="shared" si="27"/>
        <v>590672.13245833281</v>
      </c>
      <c r="I109" s="70">
        <f t="shared" si="24"/>
        <v>-18310836.106208317</v>
      </c>
      <c r="J109" s="70">
        <f t="shared" si="20"/>
        <v>-14766803.311458321</v>
      </c>
      <c r="K109" s="70">
        <f t="shared" si="25"/>
        <v>126994508.47854158</v>
      </c>
      <c r="L109" s="814">
        <f t="shared" si="14"/>
        <v>123450475.68379155</v>
      </c>
      <c r="M109" s="814">
        <f t="shared" si="21"/>
        <v>76943.579693749954</v>
      </c>
      <c r="N109" s="70">
        <f t="shared" si="30"/>
        <v>-16081016.018993773</v>
      </c>
      <c r="O109" s="70">
        <f t="shared" si="28"/>
        <v>-16542677.49715627</v>
      </c>
      <c r="P109" s="492">
        <f t="shared" si="26"/>
        <v>110451830.98138532</v>
      </c>
      <c r="Q109" s="65"/>
      <c r="R109" s="67">
        <f t="shared" si="23"/>
        <v>107369459.66479778</v>
      </c>
      <c r="S109" s="348">
        <f>$E$79-(SUM($H$79:H109)*$U$75)</f>
        <v>52761311.789999977</v>
      </c>
      <c r="T109" s="38"/>
      <c r="U109" s="504"/>
    </row>
    <row r="110" spans="1:21" hidden="1" outlineLevel="1">
      <c r="A110" s="484"/>
      <c r="B110" s="80">
        <v>41820</v>
      </c>
      <c r="C110" s="80"/>
      <c r="D110" s="103"/>
      <c r="E110" s="490">
        <f t="shared" si="15"/>
        <v>52761311.789999977</v>
      </c>
      <c r="F110" s="491">
        <f t="shared" si="16"/>
        <v>141761311.78999987</v>
      </c>
      <c r="G110" s="70">
        <f t="shared" si="29"/>
        <v>141761311.7899999</v>
      </c>
      <c r="H110" s="269">
        <f t="shared" si="27"/>
        <v>590672.13245833281</v>
      </c>
      <c r="I110" s="70">
        <f t="shared" si="24"/>
        <v>-18901508.23866665</v>
      </c>
      <c r="J110" s="70">
        <f t="shared" si="20"/>
        <v>-15357475.443916654</v>
      </c>
      <c r="K110" s="70">
        <f t="shared" si="25"/>
        <v>126403836.34608325</v>
      </c>
      <c r="L110" s="814">
        <f t="shared" si="14"/>
        <v>122859803.55133322</v>
      </c>
      <c r="M110" s="814">
        <f t="shared" si="21"/>
        <v>76943.579693749954</v>
      </c>
      <c r="N110" s="70">
        <f t="shared" si="30"/>
        <v>-16004072.439300023</v>
      </c>
      <c r="O110" s="70">
        <f t="shared" si="28"/>
        <v>-16465733.91746252</v>
      </c>
      <c r="P110" s="492">
        <f t="shared" si="26"/>
        <v>109938102.42862073</v>
      </c>
      <c r="Q110" s="65"/>
      <c r="R110" s="67">
        <f t="shared" si="23"/>
        <v>106855731.11203319</v>
      </c>
      <c r="S110" s="348">
        <f>$E$79-(SUM($H$79:H110)*$U$75)</f>
        <v>52761311.789999977</v>
      </c>
      <c r="T110" s="38"/>
      <c r="U110" s="504"/>
    </row>
    <row r="111" spans="1:21" hidden="1" outlineLevel="1">
      <c r="A111" s="484"/>
      <c r="B111" s="80">
        <v>41851</v>
      </c>
      <c r="C111" s="80"/>
      <c r="D111" s="103"/>
      <c r="E111" s="490">
        <f t="shared" si="15"/>
        <v>52761311.789999977</v>
      </c>
      <c r="F111" s="491">
        <f t="shared" si="16"/>
        <v>141761311.78999987</v>
      </c>
      <c r="G111" s="70">
        <f t="shared" si="29"/>
        <v>141761311.7899999</v>
      </c>
      <c r="H111" s="269">
        <f t="shared" si="27"/>
        <v>590672.13245833281</v>
      </c>
      <c r="I111" s="70">
        <f t="shared" si="24"/>
        <v>-19492180.371124983</v>
      </c>
      <c r="J111" s="70">
        <f t="shared" si="20"/>
        <v>-15948147.576374987</v>
      </c>
      <c r="K111" s="70">
        <f t="shared" si="25"/>
        <v>125813164.21362491</v>
      </c>
      <c r="L111" s="814">
        <f t="shared" si="14"/>
        <v>122269131.41887489</v>
      </c>
      <c r="M111" s="814">
        <f t="shared" si="21"/>
        <v>76943.579693749954</v>
      </c>
      <c r="N111" s="70">
        <f t="shared" si="30"/>
        <v>-15927128.859606273</v>
      </c>
      <c r="O111" s="70">
        <f t="shared" si="28"/>
        <v>-16388790.337768771</v>
      </c>
      <c r="P111" s="492">
        <f t="shared" si="26"/>
        <v>109424373.87585613</v>
      </c>
      <c r="Q111" s="65"/>
      <c r="R111" s="67">
        <f t="shared" si="23"/>
        <v>106342002.55926862</v>
      </c>
      <c r="S111" s="348">
        <f>$E$79-(SUM($H$79:H111)*$U$75)</f>
        <v>52761311.789999977</v>
      </c>
      <c r="T111" s="38"/>
      <c r="U111" s="504"/>
    </row>
    <row r="112" spans="1:21" hidden="1" outlineLevel="1">
      <c r="A112" s="484"/>
      <c r="B112" s="80">
        <v>41882</v>
      </c>
      <c r="C112" s="80"/>
      <c r="D112" s="103"/>
      <c r="E112" s="490">
        <f t="shared" si="15"/>
        <v>52761311.789999977</v>
      </c>
      <c r="F112" s="491">
        <f t="shared" si="16"/>
        <v>141761311.78999987</v>
      </c>
      <c r="G112" s="70">
        <f t="shared" si="29"/>
        <v>141761311.7899999</v>
      </c>
      <c r="H112" s="269">
        <f t="shared" si="27"/>
        <v>590672.13245833281</v>
      </c>
      <c r="I112" s="70">
        <f t="shared" si="24"/>
        <v>-20082852.503583316</v>
      </c>
      <c r="J112" s="70">
        <f t="shared" si="20"/>
        <v>-16538819.70883332</v>
      </c>
      <c r="K112" s="70">
        <f t="shared" si="25"/>
        <v>125222492.08116658</v>
      </c>
      <c r="L112" s="814">
        <f t="shared" si="14"/>
        <v>121678459.28641656</v>
      </c>
      <c r="M112" s="814">
        <f t="shared" si="21"/>
        <v>76943.579693749954</v>
      </c>
      <c r="N112" s="70">
        <f t="shared" si="30"/>
        <v>-15850185.279912524</v>
      </c>
      <c r="O112" s="70">
        <f t="shared" si="28"/>
        <v>-16311846.758075021</v>
      </c>
      <c r="P112" s="492">
        <f>O112+K112</f>
        <v>108910645.32309157</v>
      </c>
      <c r="Q112" s="65"/>
      <c r="R112" s="67">
        <f t="shared" si="23"/>
        <v>105828274.00650403</v>
      </c>
      <c r="S112" s="348">
        <f>$E$79-(SUM($H$79:H112)*$U$75)</f>
        <v>52761311.789999977</v>
      </c>
      <c r="T112" s="38"/>
      <c r="U112" s="504"/>
    </row>
    <row r="113" spans="1:21" hidden="1" outlineLevel="1">
      <c r="A113" s="484"/>
      <c r="B113" s="80">
        <v>41912</v>
      </c>
      <c r="C113" s="80"/>
      <c r="D113" s="103"/>
      <c r="E113" s="490">
        <f t="shared" si="15"/>
        <v>52761311.789999977</v>
      </c>
      <c r="F113" s="491">
        <f t="shared" si="16"/>
        <v>141761311.78999987</v>
      </c>
      <c r="G113" s="70">
        <f t="shared" si="29"/>
        <v>141761311.7899999</v>
      </c>
      <c r="H113" s="269">
        <f t="shared" si="27"/>
        <v>590672.13245833281</v>
      </c>
      <c r="I113" s="70">
        <f t="shared" si="24"/>
        <v>-20673524.636041649</v>
      </c>
      <c r="J113" s="70">
        <f t="shared" si="20"/>
        <v>-17129491.841291651</v>
      </c>
      <c r="K113" s="70">
        <f t="shared" si="25"/>
        <v>124631819.94870825</v>
      </c>
      <c r="L113" s="814">
        <f t="shared" si="14"/>
        <v>121087787.15395823</v>
      </c>
      <c r="M113" s="814">
        <f t="shared" si="21"/>
        <v>76943.579693749954</v>
      </c>
      <c r="N113" s="70">
        <f t="shared" si="30"/>
        <v>-15773241.700218774</v>
      </c>
      <c r="O113" s="70">
        <f t="shared" si="28"/>
        <v>-16234903.178381272</v>
      </c>
      <c r="P113" s="492">
        <f t="shared" si="26"/>
        <v>108396916.77032697</v>
      </c>
      <c r="Q113" s="65"/>
      <c r="R113" s="67">
        <f t="shared" si="23"/>
        <v>105314545.45373946</v>
      </c>
      <c r="S113" s="348">
        <f>$E$79-(SUM($H$79:H113)*$U$75)</f>
        <v>52761311.789999977</v>
      </c>
      <c r="T113" s="38"/>
      <c r="U113" s="504"/>
    </row>
    <row r="114" spans="1:21" hidden="1" outlineLevel="1">
      <c r="A114" s="484"/>
      <c r="B114" s="80">
        <v>41943</v>
      </c>
      <c r="C114" s="80"/>
      <c r="D114" s="103"/>
      <c r="E114" s="490">
        <f t="shared" si="15"/>
        <v>52761311.789999977</v>
      </c>
      <c r="F114" s="491">
        <f t="shared" si="16"/>
        <v>141761311.78999987</v>
      </c>
      <c r="G114" s="70">
        <f t="shared" si="29"/>
        <v>141761311.7899999</v>
      </c>
      <c r="H114" s="269">
        <f t="shared" si="27"/>
        <v>590672.13245833281</v>
      </c>
      <c r="I114" s="70">
        <f t="shared" si="24"/>
        <v>-21264196.768499982</v>
      </c>
      <c r="J114" s="70">
        <f t="shared" si="20"/>
        <v>-17720163.973749984</v>
      </c>
      <c r="K114" s="70">
        <f t="shared" si="25"/>
        <v>124041147.81624992</v>
      </c>
      <c r="L114" s="814">
        <f t="shared" si="14"/>
        <v>120497115.02149989</v>
      </c>
      <c r="M114" s="814">
        <f t="shared" si="21"/>
        <v>76943.579693749954</v>
      </c>
      <c r="N114" s="70">
        <f t="shared" si="30"/>
        <v>-15696298.120525025</v>
      </c>
      <c r="O114" s="70">
        <f t="shared" si="28"/>
        <v>-16157959.598687522</v>
      </c>
      <c r="P114" s="492">
        <f t="shared" si="26"/>
        <v>107883188.21756241</v>
      </c>
      <c r="Q114" s="65"/>
      <c r="R114" s="67">
        <f t="shared" si="23"/>
        <v>104800816.90097487</v>
      </c>
      <c r="S114" s="348">
        <f>$E$79-(SUM($H$79:H114)*$U$75)</f>
        <v>52761311.789999977</v>
      </c>
      <c r="T114" s="38"/>
      <c r="U114" s="504"/>
    </row>
    <row r="115" spans="1:21" hidden="1" outlineLevel="1">
      <c r="A115" s="484"/>
      <c r="B115" s="80">
        <v>41973</v>
      </c>
      <c r="C115" s="80"/>
      <c r="D115" s="103"/>
      <c r="E115" s="490">
        <f t="shared" si="15"/>
        <v>52761311.789999977</v>
      </c>
      <c r="F115" s="491">
        <f t="shared" si="16"/>
        <v>141761311.78999987</v>
      </c>
      <c r="G115" s="70">
        <f t="shared" si="29"/>
        <v>141761311.7899999</v>
      </c>
      <c r="H115" s="269">
        <f t="shared" si="27"/>
        <v>590672.13245833281</v>
      </c>
      <c r="I115" s="70">
        <f t="shared" si="24"/>
        <v>-21854868.900958315</v>
      </c>
      <c r="J115" s="70">
        <f t="shared" si="20"/>
        <v>-18310836.106208317</v>
      </c>
      <c r="K115" s="70">
        <f t="shared" si="25"/>
        <v>123450475.68379158</v>
      </c>
      <c r="L115" s="814">
        <f t="shared" si="14"/>
        <v>119906442.88904156</v>
      </c>
      <c r="M115" s="814">
        <f t="shared" si="21"/>
        <v>76943.579693749954</v>
      </c>
      <c r="N115" s="70">
        <f t="shared" si="30"/>
        <v>-15619354.540831275</v>
      </c>
      <c r="O115" s="70">
        <f t="shared" si="28"/>
        <v>-16081016.018993773</v>
      </c>
      <c r="P115" s="492">
        <f t="shared" si="26"/>
        <v>107369459.66479781</v>
      </c>
      <c r="Q115" s="65"/>
      <c r="R115" s="67">
        <f t="shared" si="23"/>
        <v>104287088.34821028</v>
      </c>
      <c r="S115" s="348">
        <f>$E$79-(SUM($H$79:H115)*$U$75)</f>
        <v>52761311.789999977</v>
      </c>
      <c r="T115" s="38"/>
      <c r="U115" s="504"/>
    </row>
    <row r="116" spans="1:21" ht="12.75" hidden="1" customHeight="1" outlineLevel="1">
      <c r="A116" s="484"/>
      <c r="B116" s="80">
        <v>42004</v>
      </c>
      <c r="C116" s="80"/>
      <c r="D116" s="103"/>
      <c r="E116" s="490">
        <f t="shared" si="15"/>
        <v>52761311.789999977</v>
      </c>
      <c r="F116" s="491">
        <f t="shared" si="16"/>
        <v>141761311.78999987</v>
      </c>
      <c r="G116" s="70">
        <f t="shared" si="29"/>
        <v>141761311.7899999</v>
      </c>
      <c r="H116" s="269">
        <f t="shared" si="27"/>
        <v>590672.13245833281</v>
      </c>
      <c r="I116" s="70">
        <f t="shared" si="24"/>
        <v>-22445541.033416647</v>
      </c>
      <c r="J116" s="70">
        <f t="shared" si="20"/>
        <v>-18901508.23866665</v>
      </c>
      <c r="K116" s="70">
        <f t="shared" si="25"/>
        <v>122859803.55133325</v>
      </c>
      <c r="L116" s="814">
        <f t="shared" si="14"/>
        <v>119315770.75658323</v>
      </c>
      <c r="M116" s="814">
        <f t="shared" si="21"/>
        <v>76943.579693749954</v>
      </c>
      <c r="N116" s="70">
        <f t="shared" si="30"/>
        <v>-15542410.961137526</v>
      </c>
      <c r="O116" s="70">
        <f t="shared" si="28"/>
        <v>-16004072.439300023</v>
      </c>
      <c r="P116" s="492">
        <f t="shared" si="26"/>
        <v>106855731.11203322</v>
      </c>
      <c r="Q116" s="65"/>
      <c r="R116" s="67">
        <f t="shared" si="23"/>
        <v>103773359.79544571</v>
      </c>
      <c r="S116" s="348">
        <f>$E$79-(SUM($H$79:H116)*$U$75)</f>
        <v>52761311.789999977</v>
      </c>
      <c r="T116" s="38"/>
      <c r="U116" s="504"/>
    </row>
    <row r="117" spans="1:21" ht="12.75" hidden="1" customHeight="1" outlineLevel="1">
      <c r="A117" s="484"/>
      <c r="B117" s="80">
        <v>42035</v>
      </c>
      <c r="C117" s="80"/>
      <c r="D117" s="103"/>
      <c r="E117" s="490">
        <f t="shared" si="15"/>
        <v>52761311.789999977</v>
      </c>
      <c r="F117" s="491">
        <f t="shared" si="16"/>
        <v>141761311.78999987</v>
      </c>
      <c r="G117" s="70">
        <f t="shared" si="29"/>
        <v>141761311.7899999</v>
      </c>
      <c r="H117" s="269">
        <f t="shared" si="27"/>
        <v>590672.13245833281</v>
      </c>
      <c r="I117" s="70">
        <f>I116-H117</f>
        <v>-23036213.16587498</v>
      </c>
      <c r="J117" s="70">
        <f t="shared" si="20"/>
        <v>-19492180.371124979</v>
      </c>
      <c r="K117" s="70">
        <f t="shared" si="25"/>
        <v>122269131.41887492</v>
      </c>
      <c r="L117" s="814">
        <f t="shared" si="14"/>
        <v>118725098.62412488</v>
      </c>
      <c r="M117" s="814">
        <f t="shared" si="21"/>
        <v>76943.579693749954</v>
      </c>
      <c r="N117" s="70">
        <f t="shared" si="30"/>
        <v>-15465467.381443776</v>
      </c>
      <c r="O117" s="70">
        <f t="shared" si="28"/>
        <v>-15927128.859606273</v>
      </c>
      <c r="P117" s="492">
        <f t="shared" si="26"/>
        <v>106342002.55926865</v>
      </c>
      <c r="Q117" s="65"/>
      <c r="R117" s="67">
        <f t="shared" si="23"/>
        <v>103259631.24268112</v>
      </c>
      <c r="S117" s="348">
        <f>$E$79-(SUM($H$79:H117)*$U$75)</f>
        <v>52761311.789999977</v>
      </c>
      <c r="T117" s="38"/>
      <c r="U117" s="504"/>
    </row>
    <row r="118" spans="1:21" hidden="1" outlineLevel="1">
      <c r="A118" s="484"/>
      <c r="B118" s="80">
        <v>42063</v>
      </c>
      <c r="C118" s="80"/>
      <c r="D118" s="103"/>
      <c r="E118" s="490">
        <f t="shared" si="15"/>
        <v>52761311.789999977</v>
      </c>
      <c r="F118" s="491">
        <f t="shared" si="16"/>
        <v>141761311.78999987</v>
      </c>
      <c r="G118" s="70">
        <f t="shared" si="29"/>
        <v>141761311.7899999</v>
      </c>
      <c r="H118" s="269">
        <f t="shared" si="27"/>
        <v>590672.13245833281</v>
      </c>
      <c r="I118" s="70">
        <f t="shared" si="24"/>
        <v>-23626885.298333313</v>
      </c>
      <c r="J118" s="70">
        <f t="shared" si="20"/>
        <v>-20082852.503583316</v>
      </c>
      <c r="K118" s="70">
        <f t="shared" si="25"/>
        <v>121678459.28641659</v>
      </c>
      <c r="L118" s="814">
        <f t="shared" si="14"/>
        <v>118134426.49166656</v>
      </c>
      <c r="M118" s="814">
        <f t="shared" si="21"/>
        <v>76943.579693749954</v>
      </c>
      <c r="N118" s="70">
        <f t="shared" si="30"/>
        <v>-15388523.801750027</v>
      </c>
      <c r="O118" s="70">
        <f t="shared" si="28"/>
        <v>-15850185.279912524</v>
      </c>
      <c r="P118" s="492">
        <f t="shared" si="26"/>
        <v>105828274.00650406</v>
      </c>
      <c r="Q118" s="65"/>
      <c r="R118" s="67">
        <f t="shared" si="23"/>
        <v>102745902.68991652</v>
      </c>
      <c r="S118" s="348">
        <f>$E$79-(SUM($H$79:H118)*$U$75)</f>
        <v>52761311.789999977</v>
      </c>
      <c r="T118" s="38"/>
      <c r="U118" s="504"/>
    </row>
    <row r="119" spans="1:21" hidden="1" outlineLevel="1">
      <c r="A119" s="484"/>
      <c r="B119" s="80">
        <v>42094</v>
      </c>
      <c r="C119" s="80"/>
      <c r="D119" s="103"/>
      <c r="E119" s="490">
        <f t="shared" si="15"/>
        <v>52761311.789999977</v>
      </c>
      <c r="F119" s="491">
        <f t="shared" si="16"/>
        <v>141761311.78999987</v>
      </c>
      <c r="G119" s="70">
        <f t="shared" si="29"/>
        <v>141761311.7899999</v>
      </c>
      <c r="H119" s="269">
        <f t="shared" si="27"/>
        <v>590672.13245833281</v>
      </c>
      <c r="I119" s="70">
        <f t="shared" si="24"/>
        <v>-24217557.430791646</v>
      </c>
      <c r="J119" s="70">
        <f t="shared" si="20"/>
        <v>-20673524.636041649</v>
      </c>
      <c r="K119" s="70">
        <f t="shared" si="25"/>
        <v>121087787.15395826</v>
      </c>
      <c r="L119" s="814">
        <f t="shared" si="14"/>
        <v>117543754.35920823</v>
      </c>
      <c r="M119" s="814">
        <f t="shared" si="21"/>
        <v>76943.579693749954</v>
      </c>
      <c r="N119" s="70">
        <f t="shared" si="30"/>
        <v>-15311580.222056277</v>
      </c>
      <c r="O119" s="70">
        <f t="shared" si="28"/>
        <v>-15773241.700218774</v>
      </c>
      <c r="P119" s="492">
        <f t="shared" si="26"/>
        <v>105314545.45373949</v>
      </c>
      <c r="Q119" s="65"/>
      <c r="R119" s="67">
        <f t="shared" si="23"/>
        <v>102232174.13715196</v>
      </c>
      <c r="S119" s="348">
        <f>$E$79-(SUM($H$79:H119)*$U$75)</f>
        <v>52761311.789999977</v>
      </c>
      <c r="T119" s="38"/>
      <c r="U119" s="504"/>
    </row>
    <row r="120" spans="1:21" ht="12.75" hidden="1" customHeight="1" outlineLevel="1">
      <c r="A120" s="484"/>
      <c r="B120" s="80">
        <v>42124</v>
      </c>
      <c r="C120" s="80"/>
      <c r="D120" s="103"/>
      <c r="E120" s="490">
        <f t="shared" si="15"/>
        <v>52761311.789999977</v>
      </c>
      <c r="F120" s="491">
        <f t="shared" si="16"/>
        <v>141761311.78999987</v>
      </c>
      <c r="G120" s="70">
        <f t="shared" si="29"/>
        <v>141761311.7899999</v>
      </c>
      <c r="H120" s="269">
        <f t="shared" si="27"/>
        <v>590672.13245833281</v>
      </c>
      <c r="I120" s="70">
        <f t="shared" si="24"/>
        <v>-24808229.563249979</v>
      </c>
      <c r="J120" s="70">
        <f t="shared" si="20"/>
        <v>-21264196.768499982</v>
      </c>
      <c r="K120" s="70">
        <f t="shared" si="25"/>
        <v>120497115.02149992</v>
      </c>
      <c r="L120" s="814">
        <f t="shared" si="14"/>
        <v>116953082.2267499</v>
      </c>
      <c r="M120" s="814">
        <f t="shared" si="21"/>
        <v>76943.579693749954</v>
      </c>
      <c r="N120" s="70">
        <f t="shared" si="30"/>
        <v>-15234636.642362528</v>
      </c>
      <c r="O120" s="70">
        <f t="shared" si="28"/>
        <v>-15696298.120525025</v>
      </c>
      <c r="P120" s="492">
        <f t="shared" si="26"/>
        <v>104800816.9009749</v>
      </c>
      <c r="Q120" s="65"/>
      <c r="R120" s="67">
        <f t="shared" si="23"/>
        <v>101718445.58438736</v>
      </c>
      <c r="S120" s="348">
        <f>$E$79-(SUM($H$79:H120)*$U$75)</f>
        <v>52761311.789999977</v>
      </c>
      <c r="T120" s="38"/>
      <c r="U120" s="504"/>
    </row>
    <row r="121" spans="1:21" hidden="1" outlineLevel="1">
      <c r="A121" s="484"/>
      <c r="B121" s="80">
        <v>42155</v>
      </c>
      <c r="C121" s="80"/>
      <c r="D121" s="103"/>
      <c r="E121" s="490">
        <f t="shared" si="15"/>
        <v>52761311.789999977</v>
      </c>
      <c r="F121" s="491">
        <f t="shared" si="16"/>
        <v>141761311.78999987</v>
      </c>
      <c r="G121" s="70">
        <f t="shared" si="29"/>
        <v>141761311.7899999</v>
      </c>
      <c r="H121" s="269">
        <f t="shared" si="27"/>
        <v>590672.13245833281</v>
      </c>
      <c r="I121" s="70">
        <f t="shared" si="24"/>
        <v>-25398901.695708312</v>
      </c>
      <c r="J121" s="70">
        <f t="shared" si="20"/>
        <v>-21854868.900958315</v>
      </c>
      <c r="K121" s="70">
        <f t="shared" si="25"/>
        <v>119906442.88904159</v>
      </c>
      <c r="L121" s="814">
        <f t="shared" si="14"/>
        <v>116362410.09429157</v>
      </c>
      <c r="M121" s="814">
        <f t="shared" si="21"/>
        <v>76943.579693749954</v>
      </c>
      <c r="N121" s="70">
        <f t="shared" si="30"/>
        <v>-15157693.062668778</v>
      </c>
      <c r="O121" s="70">
        <f t="shared" si="28"/>
        <v>-15619354.540831275</v>
      </c>
      <c r="P121" s="492">
        <f>O121+K121</f>
        <v>104287088.3482103</v>
      </c>
      <c r="Q121" s="65"/>
      <c r="R121" s="67">
        <f t="shared" si="23"/>
        <v>101204717.0316228</v>
      </c>
      <c r="S121" s="348">
        <f>$E$79-(SUM($H$79:H121)*$U$75)</f>
        <v>52761311.789999977</v>
      </c>
      <c r="T121" s="38"/>
      <c r="U121" s="504"/>
    </row>
    <row r="122" spans="1:21" hidden="1" outlineLevel="1">
      <c r="A122" s="484"/>
      <c r="B122" s="80">
        <v>42185</v>
      </c>
      <c r="C122" s="80"/>
      <c r="D122" s="103"/>
      <c r="E122" s="490">
        <f t="shared" si="15"/>
        <v>52761311.789999977</v>
      </c>
      <c r="F122" s="491">
        <f t="shared" si="16"/>
        <v>141761311.78999987</v>
      </c>
      <c r="G122" s="70">
        <f t="shared" si="29"/>
        <v>141761311.7899999</v>
      </c>
      <c r="H122" s="269">
        <f t="shared" si="27"/>
        <v>590672.13245833281</v>
      </c>
      <c r="I122" s="70">
        <f t="shared" si="24"/>
        <v>-25989573.828166645</v>
      </c>
      <c r="J122" s="70">
        <f t="shared" si="20"/>
        <v>-22445541.033416644</v>
      </c>
      <c r="K122" s="70">
        <f t="shared" si="25"/>
        <v>119315770.75658326</v>
      </c>
      <c r="L122" s="814">
        <f t="shared" si="14"/>
        <v>115771737.96183322</v>
      </c>
      <c r="M122" s="814">
        <f t="shared" si="21"/>
        <v>76943.579693749954</v>
      </c>
      <c r="N122" s="70">
        <f t="shared" si="30"/>
        <v>-15080749.482975028</v>
      </c>
      <c r="O122" s="70">
        <f t="shared" si="28"/>
        <v>-15542410.961137526</v>
      </c>
      <c r="P122" s="492">
        <f t="shared" si="26"/>
        <v>103773359.79544574</v>
      </c>
      <c r="Q122" s="65"/>
      <c r="R122" s="67">
        <f t="shared" si="23"/>
        <v>100690988.4788582</v>
      </c>
      <c r="S122" s="348">
        <f>$E$79-(SUM($H$79:H122)*$U$75)</f>
        <v>52761311.789999977</v>
      </c>
      <c r="T122" s="38"/>
      <c r="U122" s="504"/>
    </row>
    <row r="123" spans="1:21" hidden="1" outlineLevel="1">
      <c r="A123" s="484"/>
      <c r="B123" s="80">
        <v>42216</v>
      </c>
      <c r="C123" s="80"/>
      <c r="D123" s="103"/>
      <c r="E123" s="490">
        <f t="shared" si="15"/>
        <v>52761311.789999977</v>
      </c>
      <c r="F123" s="491">
        <f t="shared" si="16"/>
        <v>141761311.78999987</v>
      </c>
      <c r="G123" s="70">
        <f t="shared" si="29"/>
        <v>141761311.7899999</v>
      </c>
      <c r="H123" s="269">
        <f t="shared" si="27"/>
        <v>590672.13245833281</v>
      </c>
      <c r="I123" s="70">
        <f t="shared" si="24"/>
        <v>-26580245.960624978</v>
      </c>
      <c r="J123" s="70">
        <f t="shared" si="20"/>
        <v>-23036213.165874977</v>
      </c>
      <c r="K123" s="70">
        <f t="shared" si="25"/>
        <v>118725098.62412493</v>
      </c>
      <c r="L123" s="814">
        <f t="shared" si="14"/>
        <v>115181065.82937489</v>
      </c>
      <c r="M123" s="814">
        <f t="shared" si="21"/>
        <v>76943.579693749954</v>
      </c>
      <c r="N123" s="70">
        <f t="shared" si="30"/>
        <v>-15003805.903281279</v>
      </c>
      <c r="O123" s="70">
        <f t="shared" si="28"/>
        <v>-15465467.381443776</v>
      </c>
      <c r="P123" s="492">
        <f t="shared" si="26"/>
        <v>103259631.24268115</v>
      </c>
      <c r="Q123" s="65"/>
      <c r="R123" s="67">
        <f t="shared" si="23"/>
        <v>100177259.92609361</v>
      </c>
      <c r="S123" s="348">
        <f>$E$79-(SUM($H$79:H123)*$U$75)</f>
        <v>52761311.789999977</v>
      </c>
      <c r="T123" s="38"/>
      <c r="U123" s="504"/>
    </row>
    <row r="124" spans="1:21" hidden="1" outlineLevel="1">
      <c r="A124" s="484"/>
      <c r="B124" s="80">
        <v>42247</v>
      </c>
      <c r="C124" s="80"/>
      <c r="D124" s="103"/>
      <c r="E124" s="490">
        <f t="shared" si="15"/>
        <v>52761311.789999977</v>
      </c>
      <c r="F124" s="491">
        <f t="shared" si="16"/>
        <v>141761311.78999987</v>
      </c>
      <c r="G124" s="70">
        <f t="shared" si="29"/>
        <v>141761311.7899999</v>
      </c>
      <c r="H124" s="269">
        <f t="shared" si="27"/>
        <v>590672.13245833281</v>
      </c>
      <c r="I124" s="70">
        <f t="shared" si="24"/>
        <v>-27170918.093083311</v>
      </c>
      <c r="J124" s="70">
        <f t="shared" si="20"/>
        <v>-23626885.298333306</v>
      </c>
      <c r="K124" s="70">
        <f t="shared" si="25"/>
        <v>118134426.4916666</v>
      </c>
      <c r="L124" s="814">
        <f t="shared" si="14"/>
        <v>114590393.69691657</v>
      </c>
      <c r="M124" s="814">
        <f t="shared" si="21"/>
        <v>76943.579693749954</v>
      </c>
      <c r="N124" s="70">
        <f t="shared" si="30"/>
        <v>-14926862.323587529</v>
      </c>
      <c r="O124" s="70">
        <f t="shared" si="28"/>
        <v>-15388523.801750027</v>
      </c>
      <c r="P124" s="492">
        <f t="shared" si="26"/>
        <v>102745902.68991658</v>
      </c>
      <c r="Q124" s="65"/>
      <c r="R124" s="67">
        <f t="shared" si="23"/>
        <v>99663531.373329043</v>
      </c>
      <c r="S124" s="348">
        <f>$E$79-(SUM($H$79:H124)*$U$75)</f>
        <v>52761311.789999977</v>
      </c>
      <c r="T124" s="38"/>
      <c r="U124" s="504"/>
    </row>
    <row r="125" spans="1:21" hidden="1" outlineLevel="1">
      <c r="A125" s="484"/>
      <c r="B125" s="80">
        <v>42277</v>
      </c>
      <c r="C125" s="80"/>
      <c r="D125" s="103"/>
      <c r="E125" s="490">
        <f t="shared" si="15"/>
        <v>52761311.789999977</v>
      </c>
      <c r="F125" s="491">
        <f t="shared" si="16"/>
        <v>141761311.78999987</v>
      </c>
      <c r="G125" s="70">
        <f t="shared" si="29"/>
        <v>141761311.7899999</v>
      </c>
      <c r="H125" s="269">
        <f t="shared" si="27"/>
        <v>590672.13245833281</v>
      </c>
      <c r="I125" s="70">
        <f t="shared" si="24"/>
        <v>-27761590.225541644</v>
      </c>
      <c r="J125" s="70">
        <f t="shared" si="20"/>
        <v>-24217557.430791646</v>
      </c>
      <c r="K125" s="70">
        <f t="shared" si="25"/>
        <v>117543754.35920826</v>
      </c>
      <c r="L125" s="814">
        <f t="shared" si="14"/>
        <v>113999721.56445822</v>
      </c>
      <c r="M125" s="814">
        <f t="shared" si="21"/>
        <v>76943.579693749954</v>
      </c>
      <c r="N125" s="70">
        <f t="shared" si="30"/>
        <v>-14849918.74389378</v>
      </c>
      <c r="O125" s="70">
        <f t="shared" si="28"/>
        <v>-15311580.222056277</v>
      </c>
      <c r="P125" s="492">
        <f t="shared" si="26"/>
        <v>102232174.13715199</v>
      </c>
      <c r="Q125" s="65"/>
      <c r="R125" s="67">
        <f t="shared" si="23"/>
        <v>99149802.820564449</v>
      </c>
      <c r="S125" s="348">
        <f>$E$79-(SUM($H$79:H125)*$U$75)</f>
        <v>52761311.789999977</v>
      </c>
      <c r="T125" s="38"/>
      <c r="U125" s="504"/>
    </row>
    <row r="126" spans="1:21" hidden="1" outlineLevel="1">
      <c r="A126" s="484"/>
      <c r="B126" s="80">
        <v>42308</v>
      </c>
      <c r="C126" s="80"/>
      <c r="D126" s="103"/>
      <c r="E126" s="490">
        <f t="shared" si="15"/>
        <v>52761311.789999977</v>
      </c>
      <c r="F126" s="491">
        <f t="shared" si="16"/>
        <v>141761311.78999987</v>
      </c>
      <c r="G126" s="70">
        <f t="shared" si="29"/>
        <v>141761311.7899999</v>
      </c>
      <c r="H126" s="269">
        <f t="shared" si="27"/>
        <v>590672.13245833281</v>
      </c>
      <c r="I126" s="70">
        <f t="shared" si="24"/>
        <v>-28352262.357999977</v>
      </c>
      <c r="J126" s="70">
        <f t="shared" si="20"/>
        <v>-24808229.563249979</v>
      </c>
      <c r="K126" s="70">
        <f t="shared" si="25"/>
        <v>116953082.22674993</v>
      </c>
      <c r="L126" s="814">
        <f t="shared" si="14"/>
        <v>113409049.43199989</v>
      </c>
      <c r="M126" s="814">
        <f t="shared" si="21"/>
        <v>76943.579693749954</v>
      </c>
      <c r="N126" s="70">
        <f t="shared" si="30"/>
        <v>-14772975.16420003</v>
      </c>
      <c r="O126" s="70">
        <f t="shared" si="28"/>
        <v>-15234636.642362528</v>
      </c>
      <c r="P126" s="492">
        <f t="shared" si="26"/>
        <v>101718445.58438739</v>
      </c>
      <c r="Q126" s="65"/>
      <c r="R126" s="67">
        <f t="shared" si="23"/>
        <v>98636074.267799854</v>
      </c>
      <c r="S126" s="348">
        <f>$E$79-(SUM($H$79:H126)*$U$75)</f>
        <v>52761311.789999977</v>
      </c>
      <c r="T126" s="38"/>
      <c r="U126" s="504"/>
    </row>
    <row r="127" spans="1:21" hidden="1" outlineLevel="1">
      <c r="A127" s="484"/>
      <c r="B127" s="80">
        <v>42338</v>
      </c>
      <c r="C127" s="80"/>
      <c r="D127" s="103"/>
      <c r="E127" s="490">
        <f t="shared" si="15"/>
        <v>52761311.789999977</v>
      </c>
      <c r="F127" s="491">
        <f t="shared" si="16"/>
        <v>141761311.78999987</v>
      </c>
      <c r="G127" s="70">
        <f t="shared" si="29"/>
        <v>141761311.7899999</v>
      </c>
      <c r="H127" s="269">
        <f t="shared" si="27"/>
        <v>590672.13245833281</v>
      </c>
      <c r="I127" s="70">
        <f t="shared" si="24"/>
        <v>-28942934.49045831</v>
      </c>
      <c r="J127" s="70">
        <f t="shared" si="20"/>
        <v>-25398901.695708316</v>
      </c>
      <c r="K127" s="70">
        <f t="shared" si="25"/>
        <v>116362410.09429158</v>
      </c>
      <c r="L127" s="814">
        <f t="shared" si="14"/>
        <v>112818377.29954156</v>
      </c>
      <c r="M127" s="814">
        <f t="shared" si="21"/>
        <v>76943.579693749954</v>
      </c>
      <c r="N127" s="70">
        <f t="shared" si="30"/>
        <v>-14696031.584506281</v>
      </c>
      <c r="O127" s="70">
        <f t="shared" si="28"/>
        <v>-15157693.062668778</v>
      </c>
      <c r="P127" s="492">
        <f t="shared" si="26"/>
        <v>101204717.0316228</v>
      </c>
      <c r="Q127" s="65"/>
      <c r="R127" s="67">
        <f t="shared" si="23"/>
        <v>98122345.71503529</v>
      </c>
      <c r="S127" s="348">
        <f>$E$79-(SUM($H$79:H127)*$U$75)</f>
        <v>52761311.789999977</v>
      </c>
      <c r="T127" s="38"/>
      <c r="U127" s="504"/>
    </row>
    <row r="128" spans="1:21" s="81" customFormat="1" hidden="1" outlineLevel="1">
      <c r="A128" s="494"/>
      <c r="B128" s="495">
        <v>42369</v>
      </c>
      <c r="C128" s="495"/>
      <c r="D128" s="104"/>
      <c r="E128" s="491">
        <f t="shared" si="15"/>
        <v>52761311.789999977</v>
      </c>
      <c r="F128" s="491">
        <f t="shared" si="16"/>
        <v>141761311.78999987</v>
      </c>
      <c r="G128" s="630">
        <f t="shared" si="29"/>
        <v>141761311.7899999</v>
      </c>
      <c r="H128" s="630">
        <f t="shared" si="27"/>
        <v>590672.13245833281</v>
      </c>
      <c r="I128" s="630">
        <f t="shared" si="24"/>
        <v>-29533606.622916643</v>
      </c>
      <c r="J128" s="630">
        <f t="shared" si="20"/>
        <v>-25989573.828166649</v>
      </c>
      <c r="K128" s="630">
        <f t="shared" si="25"/>
        <v>115771737.96183325</v>
      </c>
      <c r="L128" s="814">
        <f t="shared" si="14"/>
        <v>112227705.16708323</v>
      </c>
      <c r="M128" s="814">
        <f t="shared" si="21"/>
        <v>76943.579693749954</v>
      </c>
      <c r="N128" s="630">
        <f t="shared" si="30"/>
        <v>-14619088.004812531</v>
      </c>
      <c r="O128" s="630">
        <f t="shared" si="28"/>
        <v>-15080749.482975028</v>
      </c>
      <c r="P128" s="868">
        <f t="shared" si="26"/>
        <v>100690988.47885823</v>
      </c>
      <c r="Q128" s="394"/>
      <c r="R128" s="630">
        <f t="shared" si="23"/>
        <v>97608617.162270695</v>
      </c>
      <c r="S128" s="855">
        <f>$E$79-(SUM($H$79:H128)*$U$75)</f>
        <v>52761311.789999977</v>
      </c>
      <c r="T128" s="737"/>
      <c r="U128" s="504"/>
    </row>
    <row r="129" spans="1:21" s="81" customFormat="1" hidden="1" outlineLevel="1">
      <c r="A129" s="494"/>
      <c r="B129" s="495">
        <v>42400</v>
      </c>
      <c r="C129" s="495"/>
      <c r="D129" s="104"/>
      <c r="E129" s="491">
        <f>D129+E128</f>
        <v>52761311.789999977</v>
      </c>
      <c r="F129" s="491">
        <f>F128+D129</f>
        <v>141761311.78999987</v>
      </c>
      <c r="G129" s="630">
        <f t="shared" si="29"/>
        <v>141761311.7899999</v>
      </c>
      <c r="H129" s="630">
        <f t="shared" si="27"/>
        <v>590672.13245833281</v>
      </c>
      <c r="I129" s="630">
        <f t="shared" si="24"/>
        <v>-30124278.755374976</v>
      </c>
      <c r="J129" s="630">
        <f t="shared" si="20"/>
        <v>-26580245.960624982</v>
      </c>
      <c r="K129" s="630">
        <f t="shared" si="25"/>
        <v>115181065.82937492</v>
      </c>
      <c r="L129" s="814">
        <f t="shared" si="14"/>
        <v>111637033.0346249</v>
      </c>
      <c r="M129" s="814">
        <f t="shared" si="21"/>
        <v>76943.579693749954</v>
      </c>
      <c r="N129" s="630">
        <f t="shared" si="30"/>
        <v>-14542144.425118782</v>
      </c>
      <c r="O129" s="630">
        <f t="shared" si="28"/>
        <v>-15003805.903281279</v>
      </c>
      <c r="P129" s="868">
        <f t="shared" si="26"/>
        <v>100177259.92609364</v>
      </c>
      <c r="Q129" s="394"/>
      <c r="R129" s="630">
        <f t="shared" si="23"/>
        <v>97094888.60950613</v>
      </c>
      <c r="S129" s="855">
        <f>$E$79-(SUM($H$79:H129)*$U$75)</f>
        <v>52761311.789999977</v>
      </c>
      <c r="T129" s="737"/>
      <c r="U129" s="504"/>
    </row>
    <row r="130" spans="1:21" s="81" customFormat="1" hidden="1" outlineLevel="1">
      <c r="A130" s="494"/>
      <c r="B130" s="495">
        <v>42428</v>
      </c>
      <c r="C130" s="495"/>
      <c r="D130" s="104"/>
      <c r="E130" s="491">
        <f t="shared" si="15"/>
        <v>52761311.789999977</v>
      </c>
      <c r="F130" s="491">
        <f t="shared" si="16"/>
        <v>141761311.78999987</v>
      </c>
      <c r="G130" s="630">
        <f t="shared" si="29"/>
        <v>141761311.7899999</v>
      </c>
      <c r="H130" s="630">
        <f t="shared" si="27"/>
        <v>590672.13245833281</v>
      </c>
      <c r="I130" s="630">
        <f t="shared" si="24"/>
        <v>-30714950.887833308</v>
      </c>
      <c r="J130" s="630">
        <f t="shared" si="20"/>
        <v>-27170918.093083311</v>
      </c>
      <c r="K130" s="630">
        <f t="shared" si="25"/>
        <v>114590393.6969166</v>
      </c>
      <c r="L130" s="814">
        <f t="shared" si="14"/>
        <v>111046360.90216656</v>
      </c>
      <c r="M130" s="814">
        <f t="shared" si="21"/>
        <v>76943.579693749954</v>
      </c>
      <c r="N130" s="630">
        <f t="shared" si="30"/>
        <v>-14465200.845425032</v>
      </c>
      <c r="O130" s="630">
        <f t="shared" si="28"/>
        <v>-14926862.323587529</v>
      </c>
      <c r="P130" s="868">
        <f t="shared" si="26"/>
        <v>99663531.373329073</v>
      </c>
      <c r="Q130" s="394"/>
      <c r="R130" s="630">
        <f t="shared" si="23"/>
        <v>96581160.056741536</v>
      </c>
      <c r="S130" s="855">
        <f>$E$79-(SUM($H$79:H130)*$U$75)</f>
        <v>52761311.789999977</v>
      </c>
      <c r="T130" s="737"/>
      <c r="U130" s="504"/>
    </row>
    <row r="131" spans="1:21" s="81" customFormat="1" hidden="1" outlineLevel="1">
      <c r="A131" s="494"/>
      <c r="B131" s="495">
        <v>42460</v>
      </c>
      <c r="C131" s="495"/>
      <c r="D131" s="104"/>
      <c r="E131" s="491">
        <f t="shared" si="15"/>
        <v>52761311.789999977</v>
      </c>
      <c r="F131" s="491">
        <f t="shared" si="16"/>
        <v>141761311.78999987</v>
      </c>
      <c r="G131" s="630">
        <f t="shared" si="29"/>
        <v>141761311.7899999</v>
      </c>
      <c r="H131" s="630">
        <f t="shared" si="27"/>
        <v>590672.13245833281</v>
      </c>
      <c r="I131" s="630">
        <f t="shared" si="24"/>
        <v>-31305623.020291641</v>
      </c>
      <c r="J131" s="630">
        <f t="shared" si="20"/>
        <v>-27761590.225541648</v>
      </c>
      <c r="K131" s="630">
        <f t="shared" si="25"/>
        <v>113999721.56445825</v>
      </c>
      <c r="L131" s="814">
        <f t="shared" si="14"/>
        <v>110455688.76970823</v>
      </c>
      <c r="M131" s="814">
        <f t="shared" si="21"/>
        <v>76943.579693749954</v>
      </c>
      <c r="N131" s="630">
        <f t="shared" si="30"/>
        <v>-14388257.265731283</v>
      </c>
      <c r="O131" s="630">
        <f t="shared" si="28"/>
        <v>-14849918.74389378</v>
      </c>
      <c r="P131" s="868">
        <f t="shared" si="26"/>
        <v>99149802.820564479</v>
      </c>
      <c r="Q131" s="394"/>
      <c r="R131" s="630">
        <f t="shared" si="23"/>
        <v>96067431.503976941</v>
      </c>
      <c r="S131" s="855">
        <f>$E$79-(SUM($H$79:H131)*$U$75)</f>
        <v>52761311.789999977</v>
      </c>
      <c r="T131" s="737"/>
      <c r="U131" s="504"/>
    </row>
    <row r="132" spans="1:21" s="81" customFormat="1" hidden="1" outlineLevel="1">
      <c r="A132" s="494"/>
      <c r="B132" s="495">
        <v>42490</v>
      </c>
      <c r="C132" s="495"/>
      <c r="D132" s="104"/>
      <c r="E132" s="491">
        <f t="shared" si="15"/>
        <v>52761311.789999977</v>
      </c>
      <c r="F132" s="491">
        <f t="shared" si="16"/>
        <v>141761311.78999987</v>
      </c>
      <c r="G132" s="630">
        <f t="shared" si="29"/>
        <v>141761311.7899999</v>
      </c>
      <c r="H132" s="630">
        <f t="shared" si="27"/>
        <v>590672.13245833281</v>
      </c>
      <c r="I132" s="630">
        <f t="shared" si="24"/>
        <v>-31896295.152749974</v>
      </c>
      <c r="J132" s="630">
        <f t="shared" si="20"/>
        <v>-28352262.357999977</v>
      </c>
      <c r="K132" s="630">
        <f t="shared" si="25"/>
        <v>113409049.43199992</v>
      </c>
      <c r="L132" s="814">
        <f t="shared" si="14"/>
        <v>109865016.6372499</v>
      </c>
      <c r="M132" s="814">
        <f t="shared" si="21"/>
        <v>76943.579693749954</v>
      </c>
      <c r="N132" s="630">
        <f t="shared" si="30"/>
        <v>-14311313.686037533</v>
      </c>
      <c r="O132" s="630">
        <f t="shared" si="28"/>
        <v>-14772975.16420003</v>
      </c>
      <c r="P132" s="868">
        <f t="shared" si="26"/>
        <v>98636074.267799884</v>
      </c>
      <c r="Q132" s="394"/>
      <c r="R132" s="630">
        <f t="shared" si="23"/>
        <v>95553702.951212376</v>
      </c>
      <c r="S132" s="855">
        <f>$E$79-(SUM($H$79:H132)*$U$75)</f>
        <v>52761311.789999977</v>
      </c>
      <c r="T132" s="737"/>
      <c r="U132" s="504"/>
    </row>
    <row r="133" spans="1:21" s="81" customFormat="1" hidden="1" outlineLevel="1">
      <c r="A133" s="494"/>
      <c r="B133" s="495">
        <v>42521</v>
      </c>
      <c r="C133" s="495"/>
      <c r="D133" s="104"/>
      <c r="E133" s="491">
        <f t="shared" si="15"/>
        <v>52761311.789999977</v>
      </c>
      <c r="F133" s="491">
        <f t="shared" si="16"/>
        <v>141761311.78999987</v>
      </c>
      <c r="G133" s="630">
        <f t="shared" si="29"/>
        <v>141761311.7899999</v>
      </c>
      <c r="H133" s="630">
        <f t="shared" si="27"/>
        <v>590672.13245833281</v>
      </c>
      <c r="I133" s="630">
        <f t="shared" si="24"/>
        <v>-32486967.285208307</v>
      </c>
      <c r="J133" s="630">
        <f t="shared" si="20"/>
        <v>-28942934.490458306</v>
      </c>
      <c r="K133" s="630">
        <f t="shared" si="25"/>
        <v>112818377.29954159</v>
      </c>
      <c r="L133" s="814">
        <f t="shared" si="14"/>
        <v>109274344.50479156</v>
      </c>
      <c r="M133" s="814">
        <f t="shared" si="21"/>
        <v>76943.579693749954</v>
      </c>
      <c r="N133" s="630">
        <f t="shared" si="30"/>
        <v>-14234370.106343783</v>
      </c>
      <c r="O133" s="630">
        <f t="shared" si="28"/>
        <v>-14696031.584506281</v>
      </c>
      <c r="P133" s="868">
        <f t="shared" si="26"/>
        <v>98122345.715035319</v>
      </c>
      <c r="Q133" s="394"/>
      <c r="R133" s="630">
        <f t="shared" si="23"/>
        <v>95039974.398447782</v>
      </c>
      <c r="S133" s="855">
        <f>$E$79-(SUM($H$79:H133)*$U$75)</f>
        <v>52761311.789999977</v>
      </c>
      <c r="T133" s="737"/>
      <c r="U133" s="504"/>
    </row>
    <row r="134" spans="1:21" s="81" customFormat="1" hidden="1" outlineLevel="1">
      <c r="A134" s="494"/>
      <c r="B134" s="495">
        <v>42551</v>
      </c>
      <c r="C134" s="495"/>
      <c r="D134" s="104"/>
      <c r="E134" s="491">
        <f t="shared" si="15"/>
        <v>52761311.789999977</v>
      </c>
      <c r="F134" s="491">
        <f t="shared" si="16"/>
        <v>141761311.78999987</v>
      </c>
      <c r="G134" s="630">
        <f t="shared" si="29"/>
        <v>141761311.7899999</v>
      </c>
      <c r="H134" s="630">
        <f t="shared" si="27"/>
        <v>590672.13245833281</v>
      </c>
      <c r="I134" s="630">
        <f t="shared" si="24"/>
        <v>-33077639.41766664</v>
      </c>
      <c r="J134" s="630">
        <f t="shared" si="20"/>
        <v>-29533606.622916639</v>
      </c>
      <c r="K134" s="630">
        <f t="shared" si="25"/>
        <v>112227705.16708326</v>
      </c>
      <c r="L134" s="814">
        <f t="shared" si="14"/>
        <v>108683672.37233323</v>
      </c>
      <c r="M134" s="814">
        <f t="shared" si="21"/>
        <v>76943.579693749954</v>
      </c>
      <c r="N134" s="630">
        <f t="shared" si="30"/>
        <v>-14157426.526650034</v>
      </c>
      <c r="O134" s="630">
        <f t="shared" si="28"/>
        <v>-14619088.004812531</v>
      </c>
      <c r="P134" s="868">
        <f t="shared" si="26"/>
        <v>97608617.162270725</v>
      </c>
      <c r="Q134" s="394"/>
      <c r="R134" s="630">
        <f t="shared" si="23"/>
        <v>94526245.845683187</v>
      </c>
      <c r="S134" s="855">
        <f>$E$79-(SUM($H$79:H134)*$U$75)</f>
        <v>52761311.789999977</v>
      </c>
      <c r="T134" s="737"/>
      <c r="U134" s="504"/>
    </row>
    <row r="135" spans="1:21" s="81" customFormat="1" hidden="1" outlineLevel="1">
      <c r="A135" s="494"/>
      <c r="B135" s="495">
        <v>42582</v>
      </c>
      <c r="C135" s="495"/>
      <c r="D135" s="104"/>
      <c r="E135" s="491">
        <f t="shared" si="15"/>
        <v>52761311.789999977</v>
      </c>
      <c r="F135" s="491">
        <f t="shared" si="16"/>
        <v>141761311.78999987</v>
      </c>
      <c r="G135" s="630">
        <f t="shared" si="29"/>
        <v>141761311.7899999</v>
      </c>
      <c r="H135" s="630">
        <f t="shared" si="27"/>
        <v>590672.13245833281</v>
      </c>
      <c r="I135" s="630">
        <f t="shared" si="24"/>
        <v>-33668311.550124973</v>
      </c>
      <c r="J135" s="630">
        <f t="shared" si="20"/>
        <v>-30124278.755374972</v>
      </c>
      <c r="K135" s="630">
        <f t="shared" si="25"/>
        <v>111637033.03462493</v>
      </c>
      <c r="L135" s="814">
        <f t="shared" si="14"/>
        <v>108093000.2398749</v>
      </c>
      <c r="M135" s="814">
        <f t="shared" si="21"/>
        <v>76943.579693749954</v>
      </c>
      <c r="N135" s="630">
        <f t="shared" si="30"/>
        <v>-14080482.946956284</v>
      </c>
      <c r="O135" s="630">
        <f t="shared" si="28"/>
        <v>-14542144.425118782</v>
      </c>
      <c r="P135" s="868">
        <f t="shared" si="26"/>
        <v>97094888.60950616</v>
      </c>
      <c r="Q135" s="394"/>
      <c r="R135" s="630">
        <f t="shared" si="23"/>
        <v>94012517.292918622</v>
      </c>
      <c r="S135" s="855">
        <f>$E$79-(SUM($H$79:H135)*$U$75)</f>
        <v>52761311.789999977</v>
      </c>
      <c r="T135" s="737"/>
      <c r="U135" s="504"/>
    </row>
    <row r="136" spans="1:21" s="81" customFormat="1" hidden="1" outlineLevel="1">
      <c r="A136" s="494"/>
      <c r="B136" s="495">
        <v>42613</v>
      </c>
      <c r="C136" s="495"/>
      <c r="D136" s="104"/>
      <c r="E136" s="491">
        <f t="shared" si="15"/>
        <v>52761311.789999977</v>
      </c>
      <c r="F136" s="491">
        <f t="shared" si="16"/>
        <v>141761311.78999987</v>
      </c>
      <c r="G136" s="630">
        <f t="shared" si="29"/>
        <v>141761311.7899999</v>
      </c>
      <c r="H136" s="630">
        <f t="shared" si="27"/>
        <v>590672.13245833281</v>
      </c>
      <c r="I136" s="630">
        <f t="shared" si="24"/>
        <v>-34258983.682583302</v>
      </c>
      <c r="J136" s="630">
        <f t="shared" si="20"/>
        <v>-30714950.887833301</v>
      </c>
      <c r="K136" s="630">
        <f t="shared" si="25"/>
        <v>111046360.9021666</v>
      </c>
      <c r="L136" s="814">
        <f t="shared" si="14"/>
        <v>107502328.10741657</v>
      </c>
      <c r="M136" s="814">
        <f t="shared" si="21"/>
        <v>76943.579693749954</v>
      </c>
      <c r="N136" s="630">
        <f t="shared" si="30"/>
        <v>-14003539.367262535</v>
      </c>
      <c r="O136" s="630">
        <f t="shared" si="28"/>
        <v>-14465200.845425032</v>
      </c>
      <c r="P136" s="868">
        <f t="shared" si="26"/>
        <v>96581160.056741565</v>
      </c>
      <c r="Q136" s="394"/>
      <c r="R136" s="630">
        <f t="shared" si="23"/>
        <v>93498788.740154028</v>
      </c>
      <c r="S136" s="855">
        <f>$E$79-(SUM($H$79:H136)*$U$75)</f>
        <v>52761311.789999977</v>
      </c>
      <c r="T136" s="737"/>
      <c r="U136" s="504"/>
    </row>
    <row r="137" spans="1:21" s="81" customFormat="1" hidden="1" outlineLevel="1">
      <c r="A137" s="494"/>
      <c r="B137" s="495">
        <v>42643</v>
      </c>
      <c r="C137" s="495"/>
      <c r="D137" s="104"/>
      <c r="E137" s="491">
        <f t="shared" si="15"/>
        <v>52761311.789999977</v>
      </c>
      <c r="F137" s="491">
        <f t="shared" si="16"/>
        <v>141761311.78999987</v>
      </c>
      <c r="G137" s="630">
        <f t="shared" si="29"/>
        <v>141761311.7899999</v>
      </c>
      <c r="H137" s="630">
        <f t="shared" si="27"/>
        <v>590672.13245833281</v>
      </c>
      <c r="I137" s="630">
        <f t="shared" si="24"/>
        <v>-34849655.815041631</v>
      </c>
      <c r="J137" s="630">
        <f t="shared" si="20"/>
        <v>-31305623.020291641</v>
      </c>
      <c r="K137" s="630">
        <f t="shared" si="25"/>
        <v>110455688.76970826</v>
      </c>
      <c r="L137" s="814">
        <f t="shared" si="14"/>
        <v>106911655.97495824</v>
      </c>
      <c r="M137" s="814">
        <f t="shared" si="21"/>
        <v>76943.579693749954</v>
      </c>
      <c r="N137" s="630">
        <f t="shared" si="30"/>
        <v>-13926595.787568785</v>
      </c>
      <c r="O137" s="630">
        <f t="shared" si="28"/>
        <v>-14388257.265731283</v>
      </c>
      <c r="P137" s="868">
        <f t="shared" si="26"/>
        <v>96067431.503976971</v>
      </c>
      <c r="Q137" s="394"/>
      <c r="R137" s="630">
        <f t="shared" si="23"/>
        <v>92985060.187389463</v>
      </c>
      <c r="S137" s="855">
        <f>$E$79-(SUM($H$79:H137)*$U$75)</f>
        <v>52761311.789999977</v>
      </c>
      <c r="T137" s="737"/>
      <c r="U137" s="504"/>
    </row>
    <row r="138" spans="1:21" s="81" customFormat="1" hidden="1" outlineLevel="1">
      <c r="A138" s="494"/>
      <c r="B138" s="495">
        <v>42674</v>
      </c>
      <c r="C138" s="495"/>
      <c r="D138" s="104"/>
      <c r="E138" s="491">
        <f t="shared" si="15"/>
        <v>52761311.789999977</v>
      </c>
      <c r="F138" s="491">
        <f t="shared" si="16"/>
        <v>141761311.78999987</v>
      </c>
      <c r="G138" s="630">
        <f t="shared" si="29"/>
        <v>141761311.7899999</v>
      </c>
      <c r="H138" s="630">
        <f t="shared" si="27"/>
        <v>590672.13245833281</v>
      </c>
      <c r="I138" s="630">
        <f t="shared" si="24"/>
        <v>-35440327.947499961</v>
      </c>
      <c r="J138" s="630">
        <f t="shared" si="20"/>
        <v>-31896295.152749982</v>
      </c>
      <c r="K138" s="630">
        <f t="shared" si="25"/>
        <v>109865016.63724992</v>
      </c>
      <c r="L138" s="814">
        <f t="shared" si="14"/>
        <v>106320983.84249991</v>
      </c>
      <c r="M138" s="814">
        <f t="shared" si="21"/>
        <v>76943.579693749954</v>
      </c>
      <c r="N138" s="630">
        <f t="shared" si="30"/>
        <v>-13849652.207875036</v>
      </c>
      <c r="O138" s="630">
        <f t="shared" si="28"/>
        <v>-14311313.686037533</v>
      </c>
      <c r="P138" s="868">
        <f t="shared" si="26"/>
        <v>95553702.951212376</v>
      </c>
      <c r="Q138" s="394"/>
      <c r="R138" s="630">
        <f t="shared" si="23"/>
        <v>92471331.634624869</v>
      </c>
      <c r="S138" s="855">
        <f>$E$79-(SUM($H$79:H138)*$U$75)</f>
        <v>52761311.789999977</v>
      </c>
      <c r="T138" s="737"/>
      <c r="U138" s="504"/>
    </row>
    <row r="139" spans="1:21" s="81" customFormat="1" hidden="1" outlineLevel="1">
      <c r="A139" s="494"/>
      <c r="B139" s="495">
        <v>42704</v>
      </c>
      <c r="C139" s="495"/>
      <c r="D139" s="104"/>
      <c r="E139" s="491">
        <f t="shared" si="15"/>
        <v>52761311.789999977</v>
      </c>
      <c r="F139" s="491">
        <f t="shared" si="16"/>
        <v>141761311.78999987</v>
      </c>
      <c r="G139" s="630">
        <f t="shared" si="29"/>
        <v>141761311.7899999</v>
      </c>
      <c r="H139" s="630">
        <f t="shared" si="27"/>
        <v>590672.13245833281</v>
      </c>
      <c r="I139" s="630">
        <f t="shared" ref="I139:I202" si="31">I138-H139</f>
        <v>-36031000.07995829</v>
      </c>
      <c r="J139" s="630">
        <f t="shared" si="20"/>
        <v>-32486967.285208311</v>
      </c>
      <c r="K139" s="630">
        <f t="shared" si="25"/>
        <v>109274344.50479159</v>
      </c>
      <c r="L139" s="814">
        <f t="shared" si="14"/>
        <v>105730311.71004158</v>
      </c>
      <c r="M139" s="814">
        <f t="shared" si="21"/>
        <v>76943.579693749954</v>
      </c>
      <c r="N139" s="630">
        <f t="shared" si="30"/>
        <v>-13772708.628181286</v>
      </c>
      <c r="O139" s="630">
        <f t="shared" si="28"/>
        <v>-14234370.106343783</v>
      </c>
      <c r="P139" s="868">
        <f t="shared" si="26"/>
        <v>95039974.398447812</v>
      </c>
      <c r="Q139" s="394"/>
      <c r="R139" s="630">
        <f t="shared" si="23"/>
        <v>91957603.081860304</v>
      </c>
      <c r="S139" s="855">
        <f>$E$79-(SUM($H$79:H139)*$U$75)</f>
        <v>52761311.789999977</v>
      </c>
      <c r="T139" s="737"/>
      <c r="U139" s="504"/>
    </row>
    <row r="140" spans="1:21" s="81" customFormat="1" hidden="1" outlineLevel="1">
      <c r="A140" s="494"/>
      <c r="B140" s="495">
        <v>42735</v>
      </c>
      <c r="C140" s="495"/>
      <c r="D140" s="104"/>
      <c r="E140" s="491">
        <f t="shared" si="15"/>
        <v>52761311.789999977</v>
      </c>
      <c r="F140" s="491">
        <f t="shared" si="16"/>
        <v>141761311.78999987</v>
      </c>
      <c r="G140" s="630">
        <f t="shared" si="29"/>
        <v>141761311.7899999</v>
      </c>
      <c r="H140" s="630">
        <f t="shared" si="27"/>
        <v>590672.13245833281</v>
      </c>
      <c r="I140" s="630">
        <f t="shared" si="31"/>
        <v>-36621672.212416619</v>
      </c>
      <c r="J140" s="630">
        <f t="shared" si="20"/>
        <v>-33077639.41766664</v>
      </c>
      <c r="K140" s="630">
        <f t="shared" si="25"/>
        <v>108683672.37233326</v>
      </c>
      <c r="L140" s="814">
        <f t="shared" si="14"/>
        <v>105139639.57758325</v>
      </c>
      <c r="M140" s="814">
        <f t="shared" si="21"/>
        <v>76943.579693749954</v>
      </c>
      <c r="N140" s="630">
        <f t="shared" si="30"/>
        <v>-13695765.048487537</v>
      </c>
      <c r="O140" s="630">
        <f t="shared" si="28"/>
        <v>-14157426.526650034</v>
      </c>
      <c r="P140" s="868">
        <f t="shared" si="26"/>
        <v>94526245.845683217</v>
      </c>
      <c r="Q140" s="394"/>
      <c r="R140" s="630">
        <f t="shared" si="23"/>
        <v>91443874.529095709</v>
      </c>
      <c r="S140" s="855">
        <f>$E$79-(SUM($H$79:H140)*$U$75)</f>
        <v>52761311.789999977</v>
      </c>
      <c r="T140" s="737"/>
      <c r="U140" s="504"/>
    </row>
    <row r="141" spans="1:21" s="81" customFormat="1" hidden="1" outlineLevel="1">
      <c r="A141" s="494"/>
      <c r="B141" s="495">
        <v>42766</v>
      </c>
      <c r="C141" s="495"/>
      <c r="D141" s="104"/>
      <c r="E141" s="491">
        <f t="shared" si="15"/>
        <v>52761311.789999977</v>
      </c>
      <c r="F141" s="491">
        <f t="shared" si="16"/>
        <v>141761311.78999987</v>
      </c>
      <c r="G141" s="630">
        <f t="shared" si="29"/>
        <v>141761311.7899999</v>
      </c>
      <c r="H141" s="630">
        <f t="shared" si="27"/>
        <v>590672.13245833281</v>
      </c>
      <c r="I141" s="630">
        <f t="shared" si="31"/>
        <v>-37212344.344874948</v>
      </c>
      <c r="J141" s="630">
        <f t="shared" si="20"/>
        <v>-33668311.550124966</v>
      </c>
      <c r="K141" s="630">
        <f t="shared" si="25"/>
        <v>108093000.23987493</v>
      </c>
      <c r="L141" s="814">
        <f t="shared" ref="L141:L204" si="32">F141+I141</f>
        <v>104548967.44512492</v>
      </c>
      <c r="M141" s="814">
        <f t="shared" si="21"/>
        <v>76943.579693749954</v>
      </c>
      <c r="N141" s="630">
        <f t="shared" si="30"/>
        <v>-13618821.468793787</v>
      </c>
      <c r="O141" s="630">
        <f t="shared" si="28"/>
        <v>-14080482.946956284</v>
      </c>
      <c r="P141" s="868">
        <f t="shared" si="26"/>
        <v>94012517.292918652</v>
      </c>
      <c r="Q141" s="394"/>
      <c r="R141" s="630">
        <f t="shared" si="23"/>
        <v>90930145.976331145</v>
      </c>
      <c r="S141" s="855">
        <f>$E$79-(SUM($H$79:H141)*$U$75)</f>
        <v>52761311.789999977</v>
      </c>
      <c r="T141" s="737"/>
      <c r="U141" s="504"/>
    </row>
    <row r="142" spans="1:21" s="81" customFormat="1" ht="12.75" hidden="1" customHeight="1" outlineLevel="1">
      <c r="A142" s="494"/>
      <c r="B142" s="495">
        <v>42794</v>
      </c>
      <c r="C142" s="495"/>
      <c r="D142" s="104"/>
      <c r="E142" s="491">
        <f t="shared" ref="E142:E205" si="33">D142+E141</f>
        <v>52761311.789999977</v>
      </c>
      <c r="F142" s="491">
        <f t="shared" ref="F142:F205" si="34">F141+D142</f>
        <v>141761311.78999987</v>
      </c>
      <c r="G142" s="630">
        <f t="shared" si="29"/>
        <v>141761311.7899999</v>
      </c>
      <c r="H142" s="630">
        <f t="shared" si="27"/>
        <v>590672.13245833281</v>
      </c>
      <c r="I142" s="630">
        <f t="shared" si="31"/>
        <v>-37803016.477333277</v>
      </c>
      <c r="J142" s="630">
        <f t="shared" si="20"/>
        <v>-34258983.682583295</v>
      </c>
      <c r="K142" s="630">
        <f t="shared" si="25"/>
        <v>107502328.1074166</v>
      </c>
      <c r="L142" s="814">
        <f t="shared" si="32"/>
        <v>103958295.31266659</v>
      </c>
      <c r="M142" s="814">
        <f t="shared" si="21"/>
        <v>76943.579693749954</v>
      </c>
      <c r="N142" s="630">
        <f t="shared" si="30"/>
        <v>-13541877.889100038</v>
      </c>
      <c r="O142" s="630">
        <f t="shared" si="28"/>
        <v>-14003539.367262535</v>
      </c>
      <c r="P142" s="868">
        <f t="shared" si="26"/>
        <v>93498788.740154058</v>
      </c>
      <c r="Q142" s="394"/>
      <c r="R142" s="630">
        <f t="shared" si="23"/>
        <v>90416417.42356655</v>
      </c>
      <c r="S142" s="855">
        <f>$E$79-(SUM($H$79:H142)*$U$75)</f>
        <v>52761311.789999977</v>
      </c>
      <c r="T142" s="737"/>
      <c r="U142" s="504"/>
    </row>
    <row r="143" spans="1:21" s="81" customFormat="1" ht="12.75" hidden="1" customHeight="1" outlineLevel="1">
      <c r="A143" s="494"/>
      <c r="B143" s="495">
        <v>42825</v>
      </c>
      <c r="C143" s="495"/>
      <c r="D143" s="104"/>
      <c r="E143" s="491">
        <f t="shared" si="33"/>
        <v>52761311.789999977</v>
      </c>
      <c r="F143" s="491">
        <f t="shared" si="34"/>
        <v>141761311.78999987</v>
      </c>
      <c r="G143" s="630">
        <f t="shared" si="29"/>
        <v>141761311.7899999</v>
      </c>
      <c r="H143" s="630">
        <f t="shared" si="27"/>
        <v>590672.13245833281</v>
      </c>
      <c r="I143" s="630">
        <f t="shared" si="31"/>
        <v>-38393688.609791607</v>
      </c>
      <c r="J143" s="630">
        <f t="shared" si="20"/>
        <v>-34849655.815041639</v>
      </c>
      <c r="K143" s="630">
        <f t="shared" si="25"/>
        <v>106911655.97495827</v>
      </c>
      <c r="L143" s="814">
        <f t="shared" si="32"/>
        <v>103367623.18020827</v>
      </c>
      <c r="M143" s="814">
        <f t="shared" si="21"/>
        <v>76943.579693749954</v>
      </c>
      <c r="N143" s="630">
        <f t="shared" si="30"/>
        <v>-13464934.309406288</v>
      </c>
      <c r="O143" s="630">
        <f t="shared" si="28"/>
        <v>-13926595.787568785</v>
      </c>
      <c r="P143" s="868">
        <f t="shared" si="26"/>
        <v>92985060.187389493</v>
      </c>
      <c r="Q143" s="394"/>
      <c r="R143" s="630">
        <f t="shared" si="23"/>
        <v>89902688.870801985</v>
      </c>
      <c r="S143" s="855">
        <f>$E$79-(SUM($H$79:H143)*$U$75)</f>
        <v>52761311.789999977</v>
      </c>
      <c r="T143" s="737"/>
      <c r="U143" s="504"/>
    </row>
    <row r="144" spans="1:21" s="81" customFormat="1" hidden="1" outlineLevel="1">
      <c r="A144" s="494"/>
      <c r="B144" s="495">
        <v>42855</v>
      </c>
      <c r="C144" s="495"/>
      <c r="D144" s="104"/>
      <c r="E144" s="491">
        <f t="shared" si="33"/>
        <v>52761311.789999977</v>
      </c>
      <c r="F144" s="491">
        <f t="shared" si="34"/>
        <v>141761311.78999987</v>
      </c>
      <c r="G144" s="630">
        <f t="shared" si="29"/>
        <v>141761311.7899999</v>
      </c>
      <c r="H144" s="630">
        <f t="shared" si="27"/>
        <v>590672.13245833281</v>
      </c>
      <c r="I144" s="630">
        <f t="shared" si="31"/>
        <v>-38984360.742249936</v>
      </c>
      <c r="J144" s="630">
        <f t="shared" ref="J144:J207" si="35">(I132+I144+SUM(I133:I143)*2)/24</f>
        <v>-35440327.947499968</v>
      </c>
      <c r="K144" s="630">
        <f t="shared" si="25"/>
        <v>106320983.84249994</v>
      </c>
      <c r="L144" s="814">
        <f t="shared" si="32"/>
        <v>102776951.04774994</v>
      </c>
      <c r="M144" s="814">
        <f t="shared" ref="M144:M152" si="36">(E144/240*0.35)</f>
        <v>76943.579693749954</v>
      </c>
      <c r="N144" s="630">
        <f t="shared" si="30"/>
        <v>-13387990.729712538</v>
      </c>
      <c r="O144" s="630">
        <f t="shared" si="28"/>
        <v>-13849652.207875036</v>
      </c>
      <c r="P144" s="868">
        <f t="shared" si="26"/>
        <v>92471331.634624898</v>
      </c>
      <c r="Q144" s="394"/>
      <c r="R144" s="630">
        <f t="shared" si="23"/>
        <v>89388960.318037391</v>
      </c>
      <c r="S144" s="855">
        <f>$E$79-(SUM($H$79:H144)*$U$75)</f>
        <v>52761311.789999977</v>
      </c>
      <c r="T144" s="737"/>
      <c r="U144" s="504"/>
    </row>
    <row r="145" spans="1:21" s="81" customFormat="1" hidden="1" outlineLevel="1">
      <c r="A145" s="494"/>
      <c r="B145" s="495">
        <v>42886</v>
      </c>
      <c r="C145" s="495"/>
      <c r="D145" s="104"/>
      <c r="E145" s="491">
        <f t="shared" si="33"/>
        <v>52761311.789999977</v>
      </c>
      <c r="F145" s="491">
        <f t="shared" si="34"/>
        <v>141761311.78999987</v>
      </c>
      <c r="G145" s="630">
        <f t="shared" si="29"/>
        <v>141761311.7899999</v>
      </c>
      <c r="H145" s="630">
        <f t="shared" si="27"/>
        <v>590672.13245833281</v>
      </c>
      <c r="I145" s="630">
        <f t="shared" si="31"/>
        <v>-39575032.874708265</v>
      </c>
      <c r="J145" s="630">
        <f t="shared" si="35"/>
        <v>-36031000.079958297</v>
      </c>
      <c r="K145" s="630">
        <f t="shared" si="25"/>
        <v>105730311.71004161</v>
      </c>
      <c r="L145" s="814">
        <f t="shared" si="32"/>
        <v>102186278.91529161</v>
      </c>
      <c r="M145" s="814">
        <f t="shared" si="36"/>
        <v>76943.579693749954</v>
      </c>
      <c r="N145" s="630">
        <f>N144+M145</f>
        <v>-13311047.150018789</v>
      </c>
      <c r="O145" s="630">
        <f t="shared" si="28"/>
        <v>-13772708.628181286</v>
      </c>
      <c r="P145" s="868">
        <f t="shared" si="26"/>
        <v>91957603.081860334</v>
      </c>
      <c r="Q145" s="394"/>
      <c r="R145" s="630">
        <f t="shared" ref="R145:R208" si="37">F145+I145+N145</f>
        <v>88875231.765272826</v>
      </c>
      <c r="S145" s="855">
        <f>$E$79-(SUM($H$79:H145)*$U$75)</f>
        <v>52761311.789999977</v>
      </c>
      <c r="T145" s="737"/>
      <c r="U145" s="504"/>
    </row>
    <row r="146" spans="1:21" s="81" customFormat="1" ht="12.75" hidden="1" customHeight="1" outlineLevel="1">
      <c r="A146" s="494"/>
      <c r="B146" s="495">
        <v>42916</v>
      </c>
      <c r="C146" s="495"/>
      <c r="D146" s="104"/>
      <c r="E146" s="491">
        <f t="shared" si="33"/>
        <v>52761311.789999977</v>
      </c>
      <c r="F146" s="491">
        <f t="shared" si="34"/>
        <v>141761311.78999987</v>
      </c>
      <c r="G146" s="630">
        <f t="shared" si="29"/>
        <v>141761311.7899999</v>
      </c>
      <c r="H146" s="630">
        <f t="shared" si="27"/>
        <v>590672.13245833281</v>
      </c>
      <c r="I146" s="630">
        <f t="shared" si="31"/>
        <v>-40165705.007166594</v>
      </c>
      <c r="J146" s="630">
        <f t="shared" si="35"/>
        <v>-36621672.212416627</v>
      </c>
      <c r="K146" s="630">
        <f t="shared" si="25"/>
        <v>105139639.57758328</v>
      </c>
      <c r="L146" s="814">
        <f t="shared" si="32"/>
        <v>101595606.78283328</v>
      </c>
      <c r="M146" s="814">
        <f t="shared" si="36"/>
        <v>76943.579693749954</v>
      </c>
      <c r="N146" s="630">
        <f t="shared" si="30"/>
        <v>-13234103.570325039</v>
      </c>
      <c r="O146" s="630">
        <f t="shared" si="28"/>
        <v>-13695765.048487537</v>
      </c>
      <c r="P146" s="868">
        <f t="shared" si="26"/>
        <v>91443874.529095739</v>
      </c>
      <c r="Q146" s="394"/>
      <c r="R146" s="630">
        <f t="shared" si="37"/>
        <v>88361503.212508231</v>
      </c>
      <c r="S146" s="855">
        <f>$E$79-(SUM($H$79:H146)*$U$75)</f>
        <v>52761311.789999977</v>
      </c>
      <c r="T146" s="737"/>
      <c r="U146" s="504"/>
    </row>
    <row r="147" spans="1:21" s="81" customFormat="1" hidden="1" outlineLevel="1">
      <c r="A147" s="494"/>
      <c r="B147" s="495">
        <v>42947</v>
      </c>
      <c r="C147" s="495"/>
      <c r="D147" s="104"/>
      <c r="E147" s="491">
        <f t="shared" si="33"/>
        <v>52761311.789999977</v>
      </c>
      <c r="F147" s="491">
        <f t="shared" si="34"/>
        <v>141761311.78999987</v>
      </c>
      <c r="G147" s="630">
        <f t="shared" si="29"/>
        <v>141761311.7899999</v>
      </c>
      <c r="H147" s="630">
        <f t="shared" si="27"/>
        <v>590672.13245833281</v>
      </c>
      <c r="I147" s="630">
        <f t="shared" si="31"/>
        <v>-40756377.139624923</v>
      </c>
      <c r="J147" s="630">
        <f t="shared" si="35"/>
        <v>-37212344.344874956</v>
      </c>
      <c r="K147" s="630">
        <f t="shared" si="25"/>
        <v>104548967.44512495</v>
      </c>
      <c r="L147" s="814">
        <f t="shared" si="32"/>
        <v>101004934.65037495</v>
      </c>
      <c r="M147" s="814">
        <f t="shared" si="36"/>
        <v>76943.579693749954</v>
      </c>
      <c r="N147" s="630">
        <f t="shared" si="30"/>
        <v>-13157159.99063129</v>
      </c>
      <c r="O147" s="630">
        <f t="shared" si="28"/>
        <v>-13618821.468793787</v>
      </c>
      <c r="P147" s="868">
        <f t="shared" si="26"/>
        <v>90930145.976331174</v>
      </c>
      <c r="Q147" s="394"/>
      <c r="R147" s="630">
        <f t="shared" si="37"/>
        <v>87847774.659743667</v>
      </c>
      <c r="S147" s="855">
        <f>$E$79-(SUM($H$79:H147)*$U$75)</f>
        <v>52761311.789999977</v>
      </c>
      <c r="T147" s="737"/>
      <c r="U147" s="504"/>
    </row>
    <row r="148" spans="1:21" s="81" customFormat="1" hidden="1" outlineLevel="1">
      <c r="A148" s="494"/>
      <c r="B148" s="495">
        <v>42978</v>
      </c>
      <c r="C148" s="495"/>
      <c r="D148" s="104"/>
      <c r="E148" s="491">
        <f t="shared" si="33"/>
        <v>52761311.789999977</v>
      </c>
      <c r="F148" s="491">
        <f t="shared" si="34"/>
        <v>141761311.78999987</v>
      </c>
      <c r="G148" s="630">
        <f t="shared" si="29"/>
        <v>141761311.7899999</v>
      </c>
      <c r="H148" s="630">
        <f t="shared" si="27"/>
        <v>590672.13245833281</v>
      </c>
      <c r="I148" s="630">
        <f t="shared" si="31"/>
        <v>-41347049.272083253</v>
      </c>
      <c r="J148" s="630">
        <f t="shared" si="35"/>
        <v>-37803016.477333285</v>
      </c>
      <c r="K148" s="630">
        <f t="shared" si="25"/>
        <v>103958295.31266662</v>
      </c>
      <c r="L148" s="814">
        <f t="shared" si="32"/>
        <v>100414262.51791662</v>
      </c>
      <c r="M148" s="814">
        <f t="shared" si="36"/>
        <v>76943.579693749954</v>
      </c>
      <c r="N148" s="630">
        <f t="shared" si="30"/>
        <v>-13080216.41093754</v>
      </c>
      <c r="O148" s="630">
        <f t="shared" ref="O148:O211" si="38">(N136+N148+SUM(N137:N147)*2)/24</f>
        <v>-13541877.889100038</v>
      </c>
      <c r="P148" s="868">
        <f t="shared" ref="P148:P211" si="39">O148+K148</f>
        <v>90416417.42356658</v>
      </c>
      <c r="Q148" s="394"/>
      <c r="R148" s="630">
        <f t="shared" si="37"/>
        <v>87334046.106979072</v>
      </c>
      <c r="S148" s="855">
        <f>$E$79-(SUM($H$79:H148)*$U$75)</f>
        <v>52761311.789999977</v>
      </c>
      <c r="T148" s="737"/>
      <c r="U148" s="504"/>
    </row>
    <row r="149" spans="1:21" s="81" customFormat="1" hidden="1" outlineLevel="1">
      <c r="A149" s="494"/>
      <c r="B149" s="495">
        <v>43008</v>
      </c>
      <c r="C149" s="495"/>
      <c r="D149" s="104"/>
      <c r="E149" s="491">
        <f t="shared" si="33"/>
        <v>52761311.789999977</v>
      </c>
      <c r="F149" s="491">
        <f t="shared" si="34"/>
        <v>141761311.78999987</v>
      </c>
      <c r="G149" s="630">
        <f t="shared" si="29"/>
        <v>141761311.7899999</v>
      </c>
      <c r="H149" s="630">
        <f t="shared" si="27"/>
        <v>590672.13245833281</v>
      </c>
      <c r="I149" s="630">
        <f t="shared" si="31"/>
        <v>-41937721.404541582</v>
      </c>
      <c r="J149" s="630">
        <f t="shared" si="35"/>
        <v>-38393688.609791614</v>
      </c>
      <c r="K149" s="630">
        <f t="shared" ref="K149:K212" si="40">G149+J149</f>
        <v>103367623.1802083</v>
      </c>
      <c r="L149" s="814">
        <f t="shared" si="32"/>
        <v>99823590.385458291</v>
      </c>
      <c r="M149" s="814">
        <f t="shared" si="36"/>
        <v>76943.579693749954</v>
      </c>
      <c r="N149" s="630">
        <f t="shared" si="30"/>
        <v>-13003272.831243791</v>
      </c>
      <c r="O149" s="630">
        <f t="shared" si="38"/>
        <v>-13464934.309406288</v>
      </c>
      <c r="P149" s="868">
        <f t="shared" si="39"/>
        <v>89902688.870802015</v>
      </c>
      <c r="Q149" s="394"/>
      <c r="R149" s="630">
        <f t="shared" si="37"/>
        <v>86820317.554214507</v>
      </c>
      <c r="S149" s="855">
        <f>$E$79-(SUM($H$79:H149)*$U$75)</f>
        <v>52761311.789999977</v>
      </c>
      <c r="T149" s="737"/>
      <c r="U149" s="504"/>
    </row>
    <row r="150" spans="1:21" s="81" customFormat="1" hidden="1" outlineLevel="1">
      <c r="A150" s="494"/>
      <c r="B150" s="495">
        <v>43039</v>
      </c>
      <c r="C150" s="495"/>
      <c r="D150" s="104"/>
      <c r="E150" s="491">
        <f t="shared" si="33"/>
        <v>52761311.789999977</v>
      </c>
      <c r="F150" s="491">
        <f t="shared" si="34"/>
        <v>141761311.78999987</v>
      </c>
      <c r="G150" s="630">
        <f t="shared" si="29"/>
        <v>141761311.7899999</v>
      </c>
      <c r="H150" s="630">
        <f t="shared" si="27"/>
        <v>590672.13245833281</v>
      </c>
      <c r="I150" s="630">
        <f t="shared" si="31"/>
        <v>-42528393.536999911</v>
      </c>
      <c r="J150" s="630">
        <f t="shared" si="35"/>
        <v>-38984360.742249943</v>
      </c>
      <c r="K150" s="630">
        <f t="shared" si="40"/>
        <v>102776951.04774997</v>
      </c>
      <c r="L150" s="814">
        <f t="shared" si="32"/>
        <v>99232918.252999961</v>
      </c>
      <c r="M150" s="814">
        <f t="shared" si="36"/>
        <v>76943.579693749954</v>
      </c>
      <c r="N150" s="630">
        <f t="shared" si="30"/>
        <v>-12926329.251550041</v>
      </c>
      <c r="O150" s="630">
        <f t="shared" si="38"/>
        <v>-13387990.729712538</v>
      </c>
      <c r="P150" s="868">
        <f t="shared" si="39"/>
        <v>89388960.318037421</v>
      </c>
      <c r="Q150" s="394"/>
      <c r="R150" s="630">
        <f t="shared" si="37"/>
        <v>86306589.001449913</v>
      </c>
      <c r="S150" s="855">
        <f>$E$79-(SUM($H$79:H150)*$U$75)</f>
        <v>52761311.789999977</v>
      </c>
      <c r="T150" s="737"/>
      <c r="U150" s="504"/>
    </row>
    <row r="151" spans="1:21" s="81" customFormat="1" hidden="1" outlineLevel="1">
      <c r="A151" s="494"/>
      <c r="B151" s="495">
        <v>43069</v>
      </c>
      <c r="C151" s="495"/>
      <c r="D151" s="104"/>
      <c r="E151" s="491">
        <f t="shared" si="33"/>
        <v>52761311.789999977</v>
      </c>
      <c r="F151" s="491">
        <f t="shared" si="34"/>
        <v>141761311.78999987</v>
      </c>
      <c r="G151" s="630">
        <f t="shared" si="29"/>
        <v>141761311.7899999</v>
      </c>
      <c r="H151" s="630">
        <f t="shared" ref="H151:H214" si="41">F150/240</f>
        <v>590672.13245833281</v>
      </c>
      <c r="I151" s="630">
        <f t="shared" si="31"/>
        <v>-43119065.66945824</v>
      </c>
      <c r="J151" s="630">
        <f t="shared" si="35"/>
        <v>-39575032.874708273</v>
      </c>
      <c r="K151" s="630">
        <f t="shared" si="40"/>
        <v>102186278.91529164</v>
      </c>
      <c r="L151" s="814">
        <f t="shared" si="32"/>
        <v>98642246.120541632</v>
      </c>
      <c r="M151" s="814">
        <f t="shared" si="36"/>
        <v>76943.579693749954</v>
      </c>
      <c r="N151" s="630">
        <f t="shared" si="30"/>
        <v>-12849385.671856292</v>
      </c>
      <c r="O151" s="630">
        <f t="shared" si="38"/>
        <v>-13311047.150018789</v>
      </c>
      <c r="P151" s="868">
        <f t="shared" si="39"/>
        <v>88875231.765272856</v>
      </c>
      <c r="Q151" s="394"/>
      <c r="R151" s="630">
        <f t="shared" si="37"/>
        <v>85792860.448685348</v>
      </c>
      <c r="S151" s="855">
        <f>$E$79-(SUM($H$79:H151)*$U$75)</f>
        <v>52761311.789999977</v>
      </c>
      <c r="T151" s="737"/>
      <c r="U151" s="504"/>
    </row>
    <row r="152" spans="1:21" s="81" customFormat="1" hidden="1" outlineLevel="1">
      <c r="A152" s="494"/>
      <c r="B152" s="495">
        <v>43100</v>
      </c>
      <c r="C152" s="495"/>
      <c r="D152" s="104"/>
      <c r="E152" s="491">
        <f t="shared" si="33"/>
        <v>52761311.789999977</v>
      </c>
      <c r="F152" s="491">
        <f t="shared" si="34"/>
        <v>141761311.78999987</v>
      </c>
      <c r="G152" s="630">
        <f t="shared" si="29"/>
        <v>141761311.7899999</v>
      </c>
      <c r="H152" s="630">
        <f t="shared" si="41"/>
        <v>590672.13245833281</v>
      </c>
      <c r="I152" s="630">
        <f t="shared" si="31"/>
        <v>-43709737.801916569</v>
      </c>
      <c r="J152" s="630">
        <f t="shared" si="35"/>
        <v>-40165705.007166602</v>
      </c>
      <c r="K152" s="630">
        <f t="shared" si="40"/>
        <v>101595606.78283331</v>
      </c>
      <c r="L152" s="814">
        <f t="shared" si="32"/>
        <v>98051573.988083303</v>
      </c>
      <c r="M152" s="814">
        <f t="shared" si="36"/>
        <v>76943.579693749954</v>
      </c>
      <c r="N152" s="630">
        <f t="shared" si="30"/>
        <v>-12772442.092162542</v>
      </c>
      <c r="O152" s="630">
        <f t="shared" si="38"/>
        <v>-13234103.570325039</v>
      </c>
      <c r="P152" s="868">
        <f t="shared" si="39"/>
        <v>88361503.212508261</v>
      </c>
      <c r="Q152" s="394"/>
      <c r="R152" s="630">
        <f t="shared" si="37"/>
        <v>85279131.895920753</v>
      </c>
      <c r="S152" s="855">
        <f>$E$79-(SUM($H$79:H152)*$U$75)</f>
        <v>52761311.789999977</v>
      </c>
      <c r="T152" s="737"/>
      <c r="U152" s="504"/>
    </row>
    <row r="153" spans="1:21" s="81" customFormat="1" collapsed="1">
      <c r="A153" s="494"/>
      <c r="B153" s="495">
        <v>43131</v>
      </c>
      <c r="C153" s="495"/>
      <c r="D153" s="104"/>
      <c r="E153" s="491">
        <f t="shared" si="33"/>
        <v>52761311.789999977</v>
      </c>
      <c r="F153" s="491">
        <f t="shared" si="34"/>
        <v>141761311.78999987</v>
      </c>
      <c r="G153" s="630">
        <f t="shared" ref="G153:G216" si="42">(F141+F153+SUM(F142:F152)*2)/24</f>
        <v>141761311.7899999</v>
      </c>
      <c r="H153" s="630">
        <f t="shared" si="41"/>
        <v>590672.13245833281</v>
      </c>
      <c r="I153" s="630">
        <f t="shared" si="31"/>
        <v>-44300409.934374899</v>
      </c>
      <c r="J153" s="630">
        <f t="shared" si="35"/>
        <v>-40756377.139624931</v>
      </c>
      <c r="K153" s="630">
        <f t="shared" si="40"/>
        <v>101004934.65037498</v>
      </c>
      <c r="L153" s="814">
        <f t="shared" si="32"/>
        <v>97460901.855624974</v>
      </c>
      <c r="M153" s="814">
        <f>(E153/240*0.21)</f>
        <v>46166.147816249977</v>
      </c>
      <c r="N153" s="630">
        <f t="shared" si="30"/>
        <v>-12726275.944346292</v>
      </c>
      <c r="O153" s="630">
        <f t="shared" si="38"/>
        <v>-13158442.383626185</v>
      </c>
      <c r="P153" s="868">
        <f t="shared" si="39"/>
        <v>87846492.266748786</v>
      </c>
      <c r="Q153" s="394"/>
      <c r="R153" s="630">
        <f t="shared" si="37"/>
        <v>84734625.91127868</v>
      </c>
      <c r="S153" s="855">
        <f>$E$79-(SUM($H$79:H153)*$U$75)</f>
        <v>52761311.789999977</v>
      </c>
      <c r="T153" s="737"/>
      <c r="U153" s="504"/>
    </row>
    <row r="154" spans="1:21" s="81" customFormat="1" ht="12.75" customHeight="1">
      <c r="A154" s="494"/>
      <c r="B154" s="495">
        <v>43159</v>
      </c>
      <c r="C154" s="495"/>
      <c r="D154" s="104"/>
      <c r="E154" s="491">
        <f t="shared" si="33"/>
        <v>52761311.789999977</v>
      </c>
      <c r="F154" s="491">
        <f t="shared" si="34"/>
        <v>141761311.78999987</v>
      </c>
      <c r="G154" s="630">
        <f t="shared" si="42"/>
        <v>141761311.7899999</v>
      </c>
      <c r="H154" s="630">
        <f t="shared" si="41"/>
        <v>590672.13245833281</v>
      </c>
      <c r="I154" s="630">
        <f t="shared" si="31"/>
        <v>-44891082.066833228</v>
      </c>
      <c r="J154" s="630">
        <f t="shared" si="35"/>
        <v>-41347049.27208326</v>
      </c>
      <c r="K154" s="630">
        <f t="shared" si="40"/>
        <v>100414262.51791665</v>
      </c>
      <c r="L154" s="814">
        <f t="shared" si="32"/>
        <v>96870229.723166645</v>
      </c>
      <c r="M154" s="814">
        <f t="shared" ref="M154:M217" si="43">(E154/240*0.21)</f>
        <v>46166.147816249977</v>
      </c>
      <c r="N154" s="630">
        <f t="shared" si="30"/>
        <v>-12680109.796530042</v>
      </c>
      <c r="O154" s="630">
        <f t="shared" si="38"/>
        <v>-13085345.982917123</v>
      </c>
      <c r="P154" s="868">
        <f t="shared" si="39"/>
        <v>87328916.53499952</v>
      </c>
      <c r="Q154" s="394"/>
      <c r="R154" s="630">
        <f t="shared" si="37"/>
        <v>84190119.926636606</v>
      </c>
      <c r="S154" s="855">
        <f>$E$79-(SUM($H$79:H154)*$U$75)</f>
        <v>52761311.789999977</v>
      </c>
      <c r="T154" s="737"/>
      <c r="U154" s="504"/>
    </row>
    <row r="155" spans="1:21" s="81" customFormat="1" ht="12.75" customHeight="1">
      <c r="A155" s="494"/>
      <c r="B155" s="495">
        <v>43190</v>
      </c>
      <c r="C155" s="495"/>
      <c r="D155" s="104"/>
      <c r="E155" s="491">
        <f t="shared" si="33"/>
        <v>52761311.789999977</v>
      </c>
      <c r="F155" s="491">
        <f t="shared" si="34"/>
        <v>141761311.78999987</v>
      </c>
      <c r="G155" s="630">
        <f t="shared" si="42"/>
        <v>141761311.7899999</v>
      </c>
      <c r="H155" s="630">
        <f t="shared" si="41"/>
        <v>590672.13245833281</v>
      </c>
      <c r="I155" s="630">
        <f t="shared" si="31"/>
        <v>-45481754.199291557</v>
      </c>
      <c r="J155" s="630">
        <f t="shared" si="35"/>
        <v>-41937721.404541589</v>
      </c>
      <c r="K155" s="630">
        <f t="shared" si="40"/>
        <v>99823590.38545832</v>
      </c>
      <c r="L155" s="814">
        <f t="shared" si="32"/>
        <v>96279557.590708315</v>
      </c>
      <c r="M155" s="814">
        <f t="shared" si="43"/>
        <v>46166.147816249977</v>
      </c>
      <c r="N155" s="630">
        <f t="shared" si="30"/>
        <v>-12633943.648713792</v>
      </c>
      <c r="O155" s="630">
        <f t="shared" si="38"/>
        <v>-13014814.368197853</v>
      </c>
      <c r="P155" s="868">
        <f t="shared" si="39"/>
        <v>86808776.017260462</v>
      </c>
      <c r="Q155" s="394"/>
      <c r="R155" s="630">
        <f t="shared" si="37"/>
        <v>83645613.941994518</v>
      </c>
      <c r="S155" s="855">
        <f>$E$79-(SUM($H$79:H155)*$U$75)</f>
        <v>52761311.789999977</v>
      </c>
      <c r="T155" s="737"/>
      <c r="U155" s="504"/>
    </row>
    <row r="156" spans="1:21">
      <c r="A156" s="484"/>
      <c r="B156" s="80">
        <v>43220</v>
      </c>
      <c r="C156" s="80"/>
      <c r="D156" s="103"/>
      <c r="E156" s="490">
        <f t="shared" si="33"/>
        <v>52761311.789999977</v>
      </c>
      <c r="F156" s="491">
        <f t="shared" si="34"/>
        <v>141761311.78999987</v>
      </c>
      <c r="G156" s="70">
        <f t="shared" si="42"/>
        <v>141761311.7899999</v>
      </c>
      <c r="H156" s="269">
        <f t="shared" si="41"/>
        <v>590672.13245833281</v>
      </c>
      <c r="I156" s="70">
        <f t="shared" si="31"/>
        <v>-46072426.331749886</v>
      </c>
      <c r="J156" s="70">
        <f t="shared" si="35"/>
        <v>-42528393.536999919</v>
      </c>
      <c r="K156" s="70">
        <f t="shared" si="40"/>
        <v>99232918.252999991</v>
      </c>
      <c r="L156" s="814">
        <f t="shared" si="32"/>
        <v>95688885.458249986</v>
      </c>
      <c r="M156" s="814">
        <f t="shared" si="43"/>
        <v>46166.147816249977</v>
      </c>
      <c r="N156" s="70">
        <f t="shared" si="30"/>
        <v>-12587777.500897542</v>
      </c>
      <c r="O156" s="70">
        <f t="shared" si="38"/>
        <v>-12946847.539468372</v>
      </c>
      <c r="P156" s="492">
        <f t="shared" si="39"/>
        <v>86286070.713531613</v>
      </c>
      <c r="Q156" s="76"/>
      <c r="R156" s="67">
        <f t="shared" si="37"/>
        <v>83101107.957352445</v>
      </c>
      <c r="S156" s="348">
        <f>$E$79-(SUM($H$79:H156)*$U$75)</f>
        <v>52761311.789999977</v>
      </c>
      <c r="T156" s="38"/>
      <c r="U156" s="504"/>
    </row>
    <row r="157" spans="1:21" s="81" customFormat="1">
      <c r="A157" s="494"/>
      <c r="B157" s="495">
        <v>43251</v>
      </c>
      <c r="C157" s="495"/>
      <c r="D157" s="104"/>
      <c r="E157" s="491">
        <f t="shared" si="33"/>
        <v>52761311.789999977</v>
      </c>
      <c r="F157" s="491">
        <f t="shared" si="34"/>
        <v>141761311.78999987</v>
      </c>
      <c r="G157" s="630">
        <f t="shared" si="42"/>
        <v>141761311.7899999</v>
      </c>
      <c r="H157" s="630">
        <f t="shared" si="41"/>
        <v>590672.13245833281</v>
      </c>
      <c r="I157" s="630">
        <f t="shared" si="31"/>
        <v>-46663098.464208215</v>
      </c>
      <c r="J157" s="630">
        <f t="shared" si="35"/>
        <v>-43119065.669458248</v>
      </c>
      <c r="K157" s="630">
        <f t="shared" si="40"/>
        <v>98642246.120541662</v>
      </c>
      <c r="L157" s="814">
        <f t="shared" si="32"/>
        <v>95098213.325791657</v>
      </c>
      <c r="M157" s="814">
        <f t="shared" si="43"/>
        <v>46166.147816249977</v>
      </c>
      <c r="N157" s="630">
        <f t="shared" si="30"/>
        <v>-12541611.353081292</v>
      </c>
      <c r="O157" s="630">
        <f t="shared" si="38"/>
        <v>-12881445.496728688</v>
      </c>
      <c r="P157" s="868">
        <f t="shared" si="39"/>
        <v>85760800.623812973</v>
      </c>
      <c r="Q157" s="394"/>
      <c r="R157" s="630">
        <f t="shared" si="37"/>
        <v>82556601.972710371</v>
      </c>
      <c r="S157" s="855">
        <f>$E$79-(SUM($H$79:H157)*$U$75)</f>
        <v>52761311.789999977</v>
      </c>
      <c r="T157" s="737"/>
      <c r="U157" s="504"/>
    </row>
    <row r="158" spans="1:21" s="81" customFormat="1" ht="12.75" customHeight="1">
      <c r="A158" s="494"/>
      <c r="B158" s="495">
        <v>43281</v>
      </c>
      <c r="C158" s="495"/>
      <c r="D158" s="104"/>
      <c r="E158" s="491">
        <f t="shared" si="33"/>
        <v>52761311.789999977</v>
      </c>
      <c r="F158" s="491">
        <f t="shared" si="34"/>
        <v>141761311.78999987</v>
      </c>
      <c r="G158" s="630">
        <f t="shared" si="42"/>
        <v>141761311.7899999</v>
      </c>
      <c r="H158" s="630">
        <f t="shared" si="41"/>
        <v>590672.13245833281</v>
      </c>
      <c r="I158" s="630">
        <f t="shared" si="31"/>
        <v>-47253770.596666545</v>
      </c>
      <c r="J158" s="630">
        <f t="shared" si="35"/>
        <v>-43709737.801916577</v>
      </c>
      <c r="K158" s="630">
        <f t="shared" si="40"/>
        <v>98051573.988083333</v>
      </c>
      <c r="L158" s="814">
        <f t="shared" si="32"/>
        <v>94507541.193333328</v>
      </c>
      <c r="M158" s="814">
        <f t="shared" si="43"/>
        <v>46166.147816249977</v>
      </c>
      <c r="N158" s="630">
        <f t="shared" si="30"/>
        <v>-12495445.205265041</v>
      </c>
      <c r="O158" s="630">
        <f t="shared" si="38"/>
        <v>-12818608.23997879</v>
      </c>
      <c r="P158" s="868">
        <f t="shared" si="39"/>
        <v>85232965.748104542</v>
      </c>
      <c r="Q158" s="394"/>
      <c r="R158" s="630">
        <f t="shared" si="37"/>
        <v>82012095.988068283</v>
      </c>
      <c r="S158" s="855">
        <f>$E$79-(SUM($H$79:H158)*$U$75)</f>
        <v>52761311.789999977</v>
      </c>
      <c r="T158" s="737"/>
      <c r="U158" s="504"/>
    </row>
    <row r="159" spans="1:21" s="81" customFormat="1">
      <c r="A159" s="494"/>
      <c r="B159" s="495">
        <v>43312</v>
      </c>
      <c r="C159" s="495"/>
      <c r="D159" s="104"/>
      <c r="E159" s="491">
        <f t="shared" si="33"/>
        <v>52761311.789999977</v>
      </c>
      <c r="F159" s="491">
        <f t="shared" si="34"/>
        <v>141761311.78999987</v>
      </c>
      <c r="G159" s="630">
        <f t="shared" si="42"/>
        <v>141761311.7899999</v>
      </c>
      <c r="H159" s="630">
        <f t="shared" si="41"/>
        <v>590672.13245833281</v>
      </c>
      <c r="I159" s="630">
        <f t="shared" si="31"/>
        <v>-47844442.729124874</v>
      </c>
      <c r="J159" s="630">
        <f t="shared" si="35"/>
        <v>-44300409.934374906</v>
      </c>
      <c r="K159" s="630">
        <f t="shared" si="40"/>
        <v>97460901.855625004</v>
      </c>
      <c r="L159" s="814">
        <f t="shared" si="32"/>
        <v>93916869.060874999</v>
      </c>
      <c r="M159" s="814">
        <f t="shared" si="43"/>
        <v>46166.147816249977</v>
      </c>
      <c r="N159" s="630">
        <f>N158+M159</f>
        <v>-12449279.057448791</v>
      </c>
      <c r="O159" s="630">
        <f t="shared" si="38"/>
        <v>-12758335.769218685</v>
      </c>
      <c r="P159" s="868">
        <f t="shared" si="39"/>
        <v>84702566.08640632</v>
      </c>
      <c r="Q159" s="394"/>
      <c r="R159" s="630">
        <f t="shared" si="37"/>
        <v>81467590.003426209</v>
      </c>
      <c r="S159" s="855">
        <f>$E$79-(SUM($H$79:H159)*$U$75)</f>
        <v>52761311.789999977</v>
      </c>
      <c r="T159" s="737"/>
      <c r="U159" s="504"/>
    </row>
    <row r="160" spans="1:21" s="81" customFormat="1">
      <c r="A160" s="494"/>
      <c r="B160" s="495">
        <v>43343</v>
      </c>
      <c r="C160" s="495"/>
      <c r="D160" s="104"/>
      <c r="E160" s="491">
        <f t="shared" si="33"/>
        <v>52761311.789999977</v>
      </c>
      <c r="F160" s="491">
        <f t="shared" si="34"/>
        <v>141761311.78999987</v>
      </c>
      <c r="G160" s="630">
        <f t="shared" si="42"/>
        <v>141761311.7899999</v>
      </c>
      <c r="H160" s="630">
        <f t="shared" si="41"/>
        <v>590672.13245833281</v>
      </c>
      <c r="I160" s="630">
        <f t="shared" si="31"/>
        <v>-48435114.861583203</v>
      </c>
      <c r="J160" s="630">
        <f t="shared" si="35"/>
        <v>-44891082.066833235</v>
      </c>
      <c r="K160" s="630">
        <f t="shared" si="40"/>
        <v>96870229.723166674</v>
      </c>
      <c r="L160" s="814">
        <f t="shared" si="32"/>
        <v>93326196.928416669</v>
      </c>
      <c r="M160" s="814">
        <f t="shared" si="43"/>
        <v>46166.147816249977</v>
      </c>
      <c r="N160" s="630">
        <f t="shared" si="30"/>
        <v>-12403112.909632541</v>
      </c>
      <c r="O160" s="630">
        <f>(N148+N160+SUM(N149:N159)*2)/24</f>
        <v>-12700628.084448377</v>
      </c>
      <c r="P160" s="868">
        <f t="shared" si="39"/>
        <v>84169601.638718292</v>
      </c>
      <c r="Q160" s="394"/>
      <c r="R160" s="630">
        <f t="shared" si="37"/>
        <v>80923084.018784136</v>
      </c>
      <c r="S160" s="855">
        <f>$E$79-(SUM($H$79:H160)*$U$75)</f>
        <v>52761311.789999977</v>
      </c>
      <c r="T160" s="737"/>
      <c r="U160" s="504"/>
    </row>
    <row r="161" spans="1:22" s="81" customFormat="1">
      <c r="A161" s="494"/>
      <c r="B161" s="495">
        <v>43373</v>
      </c>
      <c r="C161" s="495"/>
      <c r="D161" s="104"/>
      <c r="E161" s="491">
        <f t="shared" si="33"/>
        <v>52761311.789999977</v>
      </c>
      <c r="F161" s="491">
        <f t="shared" si="34"/>
        <v>141761311.78999987</v>
      </c>
      <c r="G161" s="630">
        <f t="shared" si="42"/>
        <v>141761311.7899999</v>
      </c>
      <c r="H161" s="630">
        <f t="shared" si="41"/>
        <v>590672.13245833281</v>
      </c>
      <c r="I161" s="630">
        <f t="shared" si="31"/>
        <v>-49025786.994041532</v>
      </c>
      <c r="J161" s="630">
        <f t="shared" si="35"/>
        <v>-45481754.199291565</v>
      </c>
      <c r="K161" s="630">
        <f t="shared" si="40"/>
        <v>96279557.590708345</v>
      </c>
      <c r="L161" s="814">
        <f t="shared" si="32"/>
        <v>92735524.79595834</v>
      </c>
      <c r="M161" s="814">
        <f t="shared" si="43"/>
        <v>46166.147816249977</v>
      </c>
      <c r="N161" s="630">
        <f t="shared" si="30"/>
        <v>-12356946.761816291</v>
      </c>
      <c r="O161" s="630">
        <f t="shared" si="38"/>
        <v>-12645485.185667856</v>
      </c>
      <c r="P161" s="868">
        <f t="shared" si="39"/>
        <v>83634072.405040488</v>
      </c>
      <c r="Q161" s="394"/>
      <c r="R161" s="630">
        <f t="shared" si="37"/>
        <v>80378578.034142047</v>
      </c>
      <c r="S161" s="855">
        <f>$E$79-(SUM($H$79:H161)*$U$75)</f>
        <v>52761311.789999977</v>
      </c>
      <c r="T161" s="737"/>
      <c r="U161" s="504"/>
    </row>
    <row r="162" spans="1:22" s="81" customFormat="1">
      <c r="A162" s="494"/>
      <c r="B162" s="495">
        <v>43404</v>
      </c>
      <c r="C162" s="495"/>
      <c r="D162" s="104"/>
      <c r="E162" s="491">
        <f t="shared" si="33"/>
        <v>52761311.789999977</v>
      </c>
      <c r="F162" s="491">
        <f t="shared" si="34"/>
        <v>141761311.78999987</v>
      </c>
      <c r="G162" s="630">
        <f t="shared" si="42"/>
        <v>141761311.7899999</v>
      </c>
      <c r="H162" s="630">
        <f t="shared" si="41"/>
        <v>590672.13245833281</v>
      </c>
      <c r="I162" s="630">
        <f t="shared" si="31"/>
        <v>-49616459.126499861</v>
      </c>
      <c r="J162" s="630">
        <f t="shared" si="35"/>
        <v>-46072426.331749894</v>
      </c>
      <c r="K162" s="630">
        <f t="shared" si="40"/>
        <v>95688885.458250016</v>
      </c>
      <c r="L162" s="814">
        <f t="shared" si="32"/>
        <v>92144852.663500011</v>
      </c>
      <c r="M162" s="814">
        <f t="shared" si="43"/>
        <v>46166.147816249977</v>
      </c>
      <c r="N162" s="630">
        <f>N161+M162</f>
        <v>-12310780.614000041</v>
      </c>
      <c r="O162" s="630">
        <f t="shared" si="38"/>
        <v>-12592907.072877126</v>
      </c>
      <c r="P162" s="868">
        <f t="shared" si="39"/>
        <v>83095978.385372892</v>
      </c>
      <c r="Q162" s="394"/>
      <c r="R162" s="630">
        <f t="shared" si="37"/>
        <v>79834072.049499974</v>
      </c>
      <c r="S162" s="855">
        <f>$E$79-(SUM($H$79:H162)*$U$75)</f>
        <v>52761311.789999977</v>
      </c>
      <c r="T162" s="737"/>
      <c r="U162" s="504"/>
    </row>
    <row r="163" spans="1:22" s="81" customFormat="1">
      <c r="A163" s="494"/>
      <c r="B163" s="495">
        <v>43434</v>
      </c>
      <c r="C163" s="495"/>
      <c r="D163" s="104"/>
      <c r="E163" s="491">
        <f t="shared" si="33"/>
        <v>52761311.789999977</v>
      </c>
      <c r="F163" s="491">
        <f t="shared" si="34"/>
        <v>141761311.78999987</v>
      </c>
      <c r="G163" s="630">
        <f t="shared" si="42"/>
        <v>141761311.7899999</v>
      </c>
      <c r="H163" s="630">
        <f t="shared" si="41"/>
        <v>590672.13245833281</v>
      </c>
      <c r="I163" s="630">
        <f t="shared" si="31"/>
        <v>-50207131.258958191</v>
      </c>
      <c r="J163" s="630">
        <f t="shared" si="35"/>
        <v>-46663098.464208223</v>
      </c>
      <c r="K163" s="630">
        <f t="shared" si="40"/>
        <v>95098213.325791687</v>
      </c>
      <c r="L163" s="814">
        <f t="shared" si="32"/>
        <v>91554180.531041682</v>
      </c>
      <c r="M163" s="814">
        <f t="shared" si="43"/>
        <v>46166.147816249977</v>
      </c>
      <c r="N163" s="630">
        <f>N162+M163</f>
        <v>-12264614.466183791</v>
      </c>
      <c r="O163" s="630">
        <f t="shared" si="38"/>
        <v>-12542893.746076189</v>
      </c>
      <c r="P163" s="868">
        <f t="shared" si="39"/>
        <v>82555319.57971549</v>
      </c>
      <c r="Q163" s="394"/>
      <c r="R163" s="630">
        <f t="shared" si="37"/>
        <v>79289566.064857885</v>
      </c>
      <c r="S163" s="855">
        <f>$E$79-(SUM($H$79:H163)*$U$75)</f>
        <v>52761311.789999977</v>
      </c>
      <c r="T163" s="737"/>
      <c r="U163" s="504"/>
      <c r="V163" s="910"/>
    </row>
    <row r="164" spans="1:22" s="81" customFormat="1">
      <c r="A164" s="494"/>
      <c r="B164" s="495">
        <v>43465</v>
      </c>
      <c r="C164" s="495"/>
      <c r="D164" s="104"/>
      <c r="E164" s="491">
        <f t="shared" si="33"/>
        <v>52761311.789999977</v>
      </c>
      <c r="F164" s="491">
        <f t="shared" si="34"/>
        <v>141761311.78999987</v>
      </c>
      <c r="G164" s="630">
        <f t="shared" si="42"/>
        <v>141761311.7899999</v>
      </c>
      <c r="H164" s="630">
        <f t="shared" si="41"/>
        <v>590672.13245833281</v>
      </c>
      <c r="I164" s="630">
        <f t="shared" si="31"/>
        <v>-50797803.39141652</v>
      </c>
      <c r="J164" s="630">
        <f t="shared" si="35"/>
        <v>-47253770.596666552</v>
      </c>
      <c r="K164" s="630">
        <f t="shared" si="40"/>
        <v>94507541.193333358</v>
      </c>
      <c r="L164" s="814">
        <f t="shared" si="32"/>
        <v>90963508.398583353</v>
      </c>
      <c r="M164" s="814">
        <f t="shared" si="43"/>
        <v>46166.147816249977</v>
      </c>
      <c r="N164" s="630">
        <f t="shared" si="30"/>
        <v>-12218448.318367541</v>
      </c>
      <c r="O164" s="630">
        <f t="shared" si="38"/>
        <v>-12495445.205265043</v>
      </c>
      <c r="P164" s="926">
        <f t="shared" si="39"/>
        <v>82012095.988068312</v>
      </c>
      <c r="Q164" s="394"/>
      <c r="R164" s="630">
        <f t="shared" si="37"/>
        <v>78745060.080215812</v>
      </c>
      <c r="S164" s="855">
        <f>$E$79-(SUM($H$79:H164)*$U$75)</f>
        <v>52761311.789999977</v>
      </c>
      <c r="T164" s="737"/>
      <c r="U164" s="504"/>
    </row>
    <row r="165" spans="1:22" s="81" customFormat="1">
      <c r="A165" s="494"/>
      <c r="B165" s="495">
        <v>43496</v>
      </c>
      <c r="C165" s="495"/>
      <c r="D165" s="104"/>
      <c r="E165" s="491">
        <f t="shared" si="33"/>
        <v>52761311.789999977</v>
      </c>
      <c r="F165" s="491">
        <f t="shared" si="34"/>
        <v>141761311.78999987</v>
      </c>
      <c r="G165" s="630">
        <f t="shared" si="42"/>
        <v>141761311.7899999</v>
      </c>
      <c r="H165" s="630">
        <f t="shared" si="41"/>
        <v>590672.13245833281</v>
      </c>
      <c r="I165" s="630">
        <f t="shared" si="31"/>
        <v>-51388475.523874849</v>
      </c>
      <c r="J165" s="630">
        <f t="shared" si="35"/>
        <v>-47844442.729124881</v>
      </c>
      <c r="K165" s="630">
        <f t="shared" si="40"/>
        <v>93916869.060875028</v>
      </c>
      <c r="L165" s="814">
        <f t="shared" si="32"/>
        <v>90372836.266125023</v>
      </c>
      <c r="M165" s="814">
        <f t="shared" si="43"/>
        <v>46166.147816249977</v>
      </c>
      <c r="N165" s="630">
        <f>N164+M165</f>
        <v>-12172282.170551291</v>
      </c>
      <c r="O165" s="630">
        <f t="shared" si="38"/>
        <v>-12449279.057448791</v>
      </c>
      <c r="P165" s="868">
        <f t="shared" si="39"/>
        <v>81467590.003426239</v>
      </c>
      <c r="Q165" s="394"/>
      <c r="R165" s="630">
        <f t="shared" si="37"/>
        <v>78200554.095573738</v>
      </c>
      <c r="S165" s="855">
        <f>$E$79-(SUM($H$79:H165)*$U$75)</f>
        <v>52761311.789999977</v>
      </c>
      <c r="T165" s="737"/>
      <c r="U165" s="504"/>
    </row>
    <row r="166" spans="1:22" s="81" customFormat="1" ht="12.75" customHeight="1">
      <c r="A166" s="494"/>
      <c r="B166" s="495">
        <v>43524</v>
      </c>
      <c r="C166" s="495"/>
      <c r="D166" s="104"/>
      <c r="E166" s="491">
        <f t="shared" si="33"/>
        <v>52761311.789999977</v>
      </c>
      <c r="F166" s="491">
        <f t="shared" si="34"/>
        <v>141761311.78999987</v>
      </c>
      <c r="G166" s="630">
        <f t="shared" si="42"/>
        <v>141761311.7899999</v>
      </c>
      <c r="H166" s="630">
        <f t="shared" si="41"/>
        <v>590672.13245833281</v>
      </c>
      <c r="I166" s="630">
        <f t="shared" si="31"/>
        <v>-51979147.656333178</v>
      </c>
      <c r="J166" s="630">
        <f t="shared" si="35"/>
        <v>-48435114.861583211</v>
      </c>
      <c r="K166" s="630">
        <f t="shared" si="40"/>
        <v>93326196.928416699</v>
      </c>
      <c r="L166" s="814">
        <f t="shared" si="32"/>
        <v>89782164.133666694</v>
      </c>
      <c r="M166" s="814">
        <f t="shared" si="43"/>
        <v>46166.147816249977</v>
      </c>
      <c r="N166" s="630">
        <f t="shared" si="30"/>
        <v>-12126116.022735041</v>
      </c>
      <c r="O166" s="630">
        <f t="shared" si="38"/>
        <v>-12403112.909632541</v>
      </c>
      <c r="P166" s="868">
        <f t="shared" si="39"/>
        <v>80923084.018784165</v>
      </c>
      <c r="Q166" s="394"/>
      <c r="R166" s="630">
        <f t="shared" si="37"/>
        <v>77656048.11093165</v>
      </c>
      <c r="S166" s="855">
        <f>$E$79-(SUM($H$79:H166)*$U$75)</f>
        <v>52761311.789999977</v>
      </c>
      <c r="T166" s="737"/>
      <c r="U166" s="504"/>
    </row>
    <row r="167" spans="1:22" s="81" customFormat="1" ht="12.75" customHeight="1">
      <c r="A167" s="494"/>
      <c r="B167" s="495">
        <v>43555</v>
      </c>
      <c r="C167" s="495"/>
      <c r="D167" s="104"/>
      <c r="E167" s="491">
        <f t="shared" si="33"/>
        <v>52761311.789999977</v>
      </c>
      <c r="F167" s="491">
        <f t="shared" si="34"/>
        <v>141761311.78999987</v>
      </c>
      <c r="G167" s="630">
        <f t="shared" si="42"/>
        <v>141761311.7899999</v>
      </c>
      <c r="H167" s="630">
        <f t="shared" si="41"/>
        <v>590672.13245833281</v>
      </c>
      <c r="I167" s="630">
        <f t="shared" si="31"/>
        <v>-52569819.788791507</v>
      </c>
      <c r="J167" s="630">
        <f t="shared" si="35"/>
        <v>-49025786.99404154</v>
      </c>
      <c r="K167" s="630">
        <f t="shared" si="40"/>
        <v>92735524.79595837</v>
      </c>
      <c r="L167" s="814">
        <f t="shared" si="32"/>
        <v>89191492.001208365</v>
      </c>
      <c r="M167" s="814">
        <f t="shared" si="43"/>
        <v>46166.147816249977</v>
      </c>
      <c r="N167" s="630">
        <f t="shared" si="30"/>
        <v>-12079949.874918791</v>
      </c>
      <c r="O167" s="630">
        <f t="shared" si="38"/>
        <v>-12356946.761816291</v>
      </c>
      <c r="P167" s="868">
        <f t="shared" si="39"/>
        <v>80378578.034142077</v>
      </c>
      <c r="Q167" s="394"/>
      <c r="R167" s="630">
        <f t="shared" si="37"/>
        <v>77111542.126289576</v>
      </c>
      <c r="S167" s="855">
        <f>$E$79-(SUM($H$79:H167)*$U$75)</f>
        <v>52761311.789999977</v>
      </c>
      <c r="T167" s="737"/>
      <c r="U167" s="504"/>
    </row>
    <row r="168" spans="1:22">
      <c r="A168" s="484"/>
      <c r="B168" s="80">
        <v>43585</v>
      </c>
      <c r="C168" s="80"/>
      <c r="D168" s="103"/>
      <c r="E168" s="490">
        <f t="shared" si="33"/>
        <v>52761311.789999977</v>
      </c>
      <c r="F168" s="491">
        <f t="shared" si="34"/>
        <v>141761311.78999987</v>
      </c>
      <c r="G168" s="70">
        <f t="shared" si="42"/>
        <v>141761311.7899999</v>
      </c>
      <c r="H168" s="269">
        <f t="shared" si="41"/>
        <v>590672.13245833281</v>
      </c>
      <c r="I168" s="70">
        <f t="shared" si="31"/>
        <v>-53160491.921249837</v>
      </c>
      <c r="J168" s="70">
        <f t="shared" si="35"/>
        <v>-49616459.126499869</v>
      </c>
      <c r="K168" s="70">
        <f t="shared" si="40"/>
        <v>92144852.663500041</v>
      </c>
      <c r="L168" s="814">
        <f t="shared" si="32"/>
        <v>88600819.868750036</v>
      </c>
      <c r="M168" s="814">
        <f t="shared" si="43"/>
        <v>46166.147816249977</v>
      </c>
      <c r="N168" s="70">
        <f>N167+M168</f>
        <v>-12033783.72710254</v>
      </c>
      <c r="O168" s="70">
        <f t="shared" si="38"/>
        <v>-12310780.614000043</v>
      </c>
      <c r="P168" s="492">
        <f t="shared" si="39"/>
        <v>79834072.049500003</v>
      </c>
      <c r="Q168" s="76"/>
      <c r="R168" s="67">
        <f t="shared" si="37"/>
        <v>76567036.141647488</v>
      </c>
      <c r="S168" s="348">
        <f>$E$79-(SUM($H$79:H168)*$U$75)</f>
        <v>52761311.789999977</v>
      </c>
      <c r="T168" s="38"/>
      <c r="U168" s="504"/>
    </row>
    <row r="169" spans="1:22">
      <c r="A169" s="484"/>
      <c r="B169" s="80">
        <v>43616</v>
      </c>
      <c r="C169" s="80"/>
      <c r="D169" s="103"/>
      <c r="E169" s="490">
        <f t="shared" si="33"/>
        <v>52761311.789999977</v>
      </c>
      <c r="F169" s="491">
        <f t="shared" si="34"/>
        <v>141761311.78999987</v>
      </c>
      <c r="G169" s="70">
        <f t="shared" si="42"/>
        <v>141761311.7899999</v>
      </c>
      <c r="H169" s="269">
        <f t="shared" si="41"/>
        <v>590672.13245833281</v>
      </c>
      <c r="I169" s="70">
        <f t="shared" si="31"/>
        <v>-53751164.053708166</v>
      </c>
      <c r="J169" s="70">
        <f t="shared" si="35"/>
        <v>-50207131.258958198</v>
      </c>
      <c r="K169" s="70">
        <f t="shared" si="40"/>
        <v>91554180.531041712</v>
      </c>
      <c r="L169" s="814">
        <f t="shared" si="32"/>
        <v>88010147.736291707</v>
      </c>
      <c r="M169" s="814">
        <f t="shared" si="43"/>
        <v>46166.147816249977</v>
      </c>
      <c r="N169" s="70">
        <f>N168+M169</f>
        <v>-11987617.57928629</v>
      </c>
      <c r="O169" s="70">
        <f t="shared" si="38"/>
        <v>-12264614.466183791</v>
      </c>
      <c r="P169" s="492">
        <f t="shared" si="39"/>
        <v>79289566.064857915</v>
      </c>
      <c r="Q169" s="76"/>
      <c r="R169" s="67">
        <f t="shared" si="37"/>
        <v>76022530.157005414</v>
      </c>
      <c r="S169" s="348">
        <f>$E$79-(SUM($H$79:H169)*$U$75)</f>
        <v>52761311.789999977</v>
      </c>
      <c r="T169" s="38"/>
      <c r="U169" s="504"/>
    </row>
    <row r="170" spans="1:22" ht="12.75" customHeight="1">
      <c r="A170" s="484"/>
      <c r="B170" s="80">
        <v>43646</v>
      </c>
      <c r="C170" s="80"/>
      <c r="D170" s="103"/>
      <c r="E170" s="490">
        <f t="shared" si="33"/>
        <v>52761311.789999977</v>
      </c>
      <c r="F170" s="491">
        <f t="shared" si="34"/>
        <v>141761311.78999987</v>
      </c>
      <c r="G170" s="70">
        <f t="shared" si="42"/>
        <v>141761311.7899999</v>
      </c>
      <c r="H170" s="269">
        <f t="shared" si="41"/>
        <v>590672.13245833281</v>
      </c>
      <c r="I170" s="70">
        <f t="shared" si="31"/>
        <v>-54341836.186166495</v>
      </c>
      <c r="J170" s="70">
        <f t="shared" si="35"/>
        <v>-50797803.391416527</v>
      </c>
      <c r="K170" s="70">
        <f t="shared" si="40"/>
        <v>90963508.398583382</v>
      </c>
      <c r="L170" s="814">
        <f t="shared" si="32"/>
        <v>87419475.603833377</v>
      </c>
      <c r="M170" s="814">
        <f t="shared" si="43"/>
        <v>46166.147816249977</v>
      </c>
      <c r="N170" s="70">
        <f t="shared" ref="N170:N232" si="44">N169+M170</f>
        <v>-11941451.43147004</v>
      </c>
      <c r="O170" s="70">
        <f t="shared" si="38"/>
        <v>-12218448.318367541</v>
      </c>
      <c r="P170" s="492">
        <f t="shared" si="39"/>
        <v>78745060.080215842</v>
      </c>
      <c r="Q170" s="76"/>
      <c r="R170" s="67">
        <f t="shared" si="37"/>
        <v>75478024.172363341</v>
      </c>
      <c r="S170" s="348">
        <f>$E$79-(SUM($H$79:H170)*$U$75)</f>
        <v>52761311.789999977</v>
      </c>
      <c r="T170" s="38"/>
      <c r="U170" s="504"/>
    </row>
    <row r="171" spans="1:22">
      <c r="A171" s="484"/>
      <c r="B171" s="80">
        <v>43677</v>
      </c>
      <c r="C171" s="80"/>
      <c r="D171" s="103"/>
      <c r="E171" s="490">
        <f t="shared" si="33"/>
        <v>52761311.789999977</v>
      </c>
      <c r="F171" s="491">
        <f t="shared" si="34"/>
        <v>141761311.78999987</v>
      </c>
      <c r="G171" s="70">
        <f t="shared" si="42"/>
        <v>141761311.7899999</v>
      </c>
      <c r="H171" s="269">
        <f t="shared" si="41"/>
        <v>590672.13245833281</v>
      </c>
      <c r="I171" s="70">
        <f t="shared" si="31"/>
        <v>-54932508.318624824</v>
      </c>
      <c r="J171" s="70">
        <f t="shared" si="35"/>
        <v>-51388475.523874857</v>
      </c>
      <c r="K171" s="70">
        <f t="shared" si="40"/>
        <v>90372836.266125053</v>
      </c>
      <c r="L171" s="814">
        <f t="shared" si="32"/>
        <v>86828803.471375048</v>
      </c>
      <c r="M171" s="814">
        <f t="shared" si="43"/>
        <v>46166.147816249977</v>
      </c>
      <c r="N171" s="70">
        <f t="shared" si="44"/>
        <v>-11895285.28365379</v>
      </c>
      <c r="O171" s="70">
        <f t="shared" si="38"/>
        <v>-12172282.170551291</v>
      </c>
      <c r="P171" s="492">
        <f t="shared" si="39"/>
        <v>78200554.095573768</v>
      </c>
      <c r="Q171" s="76"/>
      <c r="R171" s="67">
        <f t="shared" si="37"/>
        <v>74933518.187721252</v>
      </c>
      <c r="S171" s="348">
        <f>$E$79-(SUM($H$79:H171)*$U$75)</f>
        <v>52761311.789999977</v>
      </c>
      <c r="T171" s="38"/>
      <c r="U171" s="504"/>
    </row>
    <row r="172" spans="1:22">
      <c r="A172" s="484"/>
      <c r="B172" s="80">
        <v>43708</v>
      </c>
      <c r="C172" s="80"/>
      <c r="D172" s="103"/>
      <c r="E172" s="490">
        <f t="shared" si="33"/>
        <v>52761311.789999977</v>
      </c>
      <c r="F172" s="491">
        <f t="shared" si="34"/>
        <v>141761311.78999987</v>
      </c>
      <c r="G172" s="70">
        <f t="shared" si="42"/>
        <v>141761311.7899999</v>
      </c>
      <c r="H172" s="269">
        <f t="shared" si="41"/>
        <v>590672.13245833281</v>
      </c>
      <c r="I172" s="70">
        <f t="shared" si="31"/>
        <v>-55523180.451083153</v>
      </c>
      <c r="J172" s="70">
        <f t="shared" si="35"/>
        <v>-51979147.656333186</v>
      </c>
      <c r="K172" s="70">
        <f t="shared" si="40"/>
        <v>89782164.133666724</v>
      </c>
      <c r="L172" s="814">
        <f t="shared" si="32"/>
        <v>86238131.338916719</v>
      </c>
      <c r="M172" s="814">
        <f t="shared" si="43"/>
        <v>46166.147816249977</v>
      </c>
      <c r="N172" s="70">
        <f t="shared" si="44"/>
        <v>-11849119.13583754</v>
      </c>
      <c r="O172" s="70">
        <f t="shared" si="38"/>
        <v>-12126116.022735042</v>
      </c>
      <c r="P172" s="492">
        <f t="shared" si="39"/>
        <v>77656048.11093168</v>
      </c>
      <c r="Q172" s="76"/>
      <c r="R172" s="67">
        <f t="shared" si="37"/>
        <v>74389012.203079179</v>
      </c>
      <c r="S172" s="348">
        <f>$E$79-(SUM($H$79:H172)*$U$75)</f>
        <v>52761311.789999977</v>
      </c>
      <c r="T172" s="38"/>
      <c r="U172" s="504"/>
    </row>
    <row r="173" spans="1:22">
      <c r="A173" s="484"/>
      <c r="B173" s="80">
        <v>43738</v>
      </c>
      <c r="C173" s="80"/>
      <c r="D173" s="103"/>
      <c r="E173" s="490">
        <f t="shared" si="33"/>
        <v>52761311.789999977</v>
      </c>
      <c r="F173" s="491">
        <f t="shared" si="34"/>
        <v>141761311.78999987</v>
      </c>
      <c r="G173" s="70">
        <f t="shared" si="42"/>
        <v>141761311.7899999</v>
      </c>
      <c r="H173" s="269">
        <f t="shared" si="41"/>
        <v>590672.13245833281</v>
      </c>
      <c r="I173" s="70">
        <f t="shared" si="31"/>
        <v>-56113852.583541483</v>
      </c>
      <c r="J173" s="70">
        <f t="shared" si="35"/>
        <v>-52569819.788791515</v>
      </c>
      <c r="K173" s="70">
        <f t="shared" si="40"/>
        <v>89191492.001208395</v>
      </c>
      <c r="L173" s="814">
        <f t="shared" si="32"/>
        <v>85647459.20645839</v>
      </c>
      <c r="M173" s="814">
        <f t="shared" si="43"/>
        <v>46166.147816249977</v>
      </c>
      <c r="N173" s="70">
        <f t="shared" si="44"/>
        <v>-11802952.98802129</v>
      </c>
      <c r="O173" s="70">
        <f t="shared" si="38"/>
        <v>-12079949.874918791</v>
      </c>
      <c r="P173" s="492">
        <f t="shared" si="39"/>
        <v>77111542.126289606</v>
      </c>
      <c r="Q173" s="76"/>
      <c r="R173" s="67">
        <f t="shared" si="37"/>
        <v>73844506.218437105</v>
      </c>
      <c r="S173" s="348">
        <f>$E$79-(SUM($H$79:H173)*$U$75)</f>
        <v>52761311.789999977</v>
      </c>
      <c r="T173" s="38"/>
      <c r="U173" s="504"/>
    </row>
    <row r="174" spans="1:22">
      <c r="A174" s="484"/>
      <c r="B174" s="80">
        <v>43769</v>
      </c>
      <c r="C174" s="80"/>
      <c r="D174" s="103"/>
      <c r="E174" s="490">
        <f t="shared" si="33"/>
        <v>52761311.789999977</v>
      </c>
      <c r="F174" s="491">
        <f t="shared" si="34"/>
        <v>141761311.78999987</v>
      </c>
      <c r="G174" s="70">
        <f t="shared" si="42"/>
        <v>141761311.7899999</v>
      </c>
      <c r="H174" s="269">
        <f t="shared" si="41"/>
        <v>590672.13245833281</v>
      </c>
      <c r="I174" s="70">
        <f t="shared" si="31"/>
        <v>-56704524.715999812</v>
      </c>
      <c r="J174" s="70">
        <f t="shared" si="35"/>
        <v>-53160491.921249844</v>
      </c>
      <c r="K174" s="70">
        <f t="shared" si="40"/>
        <v>88600819.868750066</v>
      </c>
      <c r="L174" s="814">
        <f t="shared" si="32"/>
        <v>85056787.074000061</v>
      </c>
      <c r="M174" s="814">
        <f t="shared" si="43"/>
        <v>46166.147816249977</v>
      </c>
      <c r="N174" s="70">
        <f t="shared" si="44"/>
        <v>-11756786.84020504</v>
      </c>
      <c r="O174" s="70">
        <f t="shared" si="38"/>
        <v>-12033783.72710254</v>
      </c>
      <c r="P174" s="492">
        <f t="shared" si="39"/>
        <v>76567036.141647518</v>
      </c>
      <c r="Q174" s="76"/>
      <c r="R174" s="67">
        <f t="shared" si="37"/>
        <v>73300000.233795017</v>
      </c>
      <c r="S174" s="348">
        <f>$E$79-(SUM($H$79:H174)*$U$75)</f>
        <v>52761311.789999977</v>
      </c>
      <c r="T174" s="38"/>
      <c r="U174" s="504"/>
    </row>
    <row r="175" spans="1:22">
      <c r="A175" s="484"/>
      <c r="B175" s="80">
        <v>43799</v>
      </c>
      <c r="C175" s="80"/>
      <c r="D175" s="103"/>
      <c r="E175" s="490">
        <f t="shared" si="33"/>
        <v>52761311.789999977</v>
      </c>
      <c r="F175" s="491">
        <f t="shared" si="34"/>
        <v>141761311.78999987</v>
      </c>
      <c r="G175" s="70">
        <f t="shared" si="42"/>
        <v>141761311.7899999</v>
      </c>
      <c r="H175" s="269">
        <f t="shared" si="41"/>
        <v>590672.13245833281</v>
      </c>
      <c r="I175" s="70">
        <f t="shared" si="31"/>
        <v>-57295196.848458141</v>
      </c>
      <c r="J175" s="70">
        <f t="shared" si="35"/>
        <v>-53751164.053708173</v>
      </c>
      <c r="K175" s="70">
        <f t="shared" si="40"/>
        <v>88010147.736291736</v>
      </c>
      <c r="L175" s="814">
        <f t="shared" si="32"/>
        <v>84466114.941541731</v>
      </c>
      <c r="M175" s="814">
        <f t="shared" si="43"/>
        <v>46166.147816249977</v>
      </c>
      <c r="N175" s="70">
        <f t="shared" si="44"/>
        <v>-11710620.69238879</v>
      </c>
      <c r="O175" s="70">
        <f t="shared" si="38"/>
        <v>-11987617.57928629</v>
      </c>
      <c r="P175" s="492">
        <f t="shared" si="39"/>
        <v>76022530.157005444</v>
      </c>
      <c r="Q175" s="76"/>
      <c r="R175" s="67">
        <f t="shared" si="37"/>
        <v>72755494.249152943</v>
      </c>
      <c r="S175" s="348">
        <f>$E$79-(SUM($H$79:H175)*$U$75)</f>
        <v>52761311.789999977</v>
      </c>
      <c r="T175" s="38"/>
      <c r="U175" s="504"/>
    </row>
    <row r="176" spans="1:22">
      <c r="A176" s="484"/>
      <c r="B176" s="80">
        <v>43830</v>
      </c>
      <c r="C176" s="80"/>
      <c r="D176" s="103"/>
      <c r="E176" s="490">
        <f t="shared" si="33"/>
        <v>52761311.789999977</v>
      </c>
      <c r="F176" s="491">
        <f t="shared" si="34"/>
        <v>141761311.78999987</v>
      </c>
      <c r="G176" s="70">
        <f t="shared" si="42"/>
        <v>141761311.7899999</v>
      </c>
      <c r="H176" s="269">
        <f t="shared" si="41"/>
        <v>590672.13245833281</v>
      </c>
      <c r="I176" s="70">
        <f t="shared" si="31"/>
        <v>-57885868.98091647</v>
      </c>
      <c r="J176" s="70">
        <f t="shared" si="35"/>
        <v>-54341836.186166503</v>
      </c>
      <c r="K176" s="70">
        <f t="shared" si="40"/>
        <v>87419475.603833407</v>
      </c>
      <c r="L176" s="814">
        <f>F176+I176</f>
        <v>83875442.809083402</v>
      </c>
      <c r="M176" s="814">
        <f t="shared" si="43"/>
        <v>46166.147816249977</v>
      </c>
      <c r="N176" s="70">
        <f t="shared" si="44"/>
        <v>-11664454.54457254</v>
      </c>
      <c r="O176" s="70">
        <f t="shared" si="38"/>
        <v>-11941451.431470042</v>
      </c>
      <c r="P176" s="492">
        <f t="shared" si="39"/>
        <v>75478024.172363371</v>
      </c>
      <c r="Q176" s="76"/>
      <c r="R176" s="67">
        <f t="shared" si="37"/>
        <v>72210988.26451087</v>
      </c>
      <c r="S176" s="348">
        <f>$E$79-(SUM($H$79:H176)*$U$75)</f>
        <v>52761311.789999977</v>
      </c>
      <c r="T176" s="38"/>
      <c r="U176" s="504"/>
    </row>
    <row r="177" spans="1:21">
      <c r="A177" s="484"/>
      <c r="B177" s="80">
        <v>43861</v>
      </c>
      <c r="C177" s="80"/>
      <c r="D177" s="103"/>
      <c r="E177" s="490">
        <f t="shared" si="33"/>
        <v>52761311.789999977</v>
      </c>
      <c r="F177" s="491">
        <f t="shared" si="34"/>
        <v>141761311.78999987</v>
      </c>
      <c r="G177" s="70">
        <f t="shared" si="42"/>
        <v>141761311.7899999</v>
      </c>
      <c r="H177" s="269">
        <f t="shared" si="41"/>
        <v>590672.13245833281</v>
      </c>
      <c r="I177" s="70">
        <f t="shared" si="31"/>
        <v>-58476541.113374799</v>
      </c>
      <c r="J177" s="70">
        <f t="shared" si="35"/>
        <v>-54932508.318624832</v>
      </c>
      <c r="K177" s="70">
        <f t="shared" si="40"/>
        <v>86828803.471375078</v>
      </c>
      <c r="L177" s="814">
        <f t="shared" si="32"/>
        <v>83284770.676625073</v>
      </c>
      <c r="M177" s="814">
        <f t="shared" si="43"/>
        <v>46166.147816249977</v>
      </c>
      <c r="N177" s="70">
        <f t="shared" si="44"/>
        <v>-11618288.39675629</v>
      </c>
      <c r="O177" s="70">
        <f t="shared" si="38"/>
        <v>-11895285.28365379</v>
      </c>
      <c r="P177" s="492">
        <f t="shared" si="39"/>
        <v>74933518.187721282</v>
      </c>
      <c r="Q177" s="76"/>
      <c r="R177" s="67">
        <f t="shared" si="37"/>
        <v>71666482.279868782</v>
      </c>
      <c r="S177" s="348">
        <f>$E$79-(SUM($H$79:H177)*$U$75)</f>
        <v>52761311.789999977</v>
      </c>
      <c r="T177" s="38"/>
      <c r="U177" s="504"/>
    </row>
    <row r="178" spans="1:21" ht="12.75" customHeight="1">
      <c r="A178" s="484"/>
      <c r="B178" s="80">
        <v>43889</v>
      </c>
      <c r="C178" s="80"/>
      <c r="D178" s="103"/>
      <c r="E178" s="490">
        <f t="shared" si="33"/>
        <v>52761311.789999977</v>
      </c>
      <c r="F178" s="491">
        <f t="shared" si="34"/>
        <v>141761311.78999987</v>
      </c>
      <c r="G178" s="70">
        <f t="shared" si="42"/>
        <v>141761311.7899999</v>
      </c>
      <c r="H178" s="269">
        <f t="shared" si="41"/>
        <v>590672.13245833281</v>
      </c>
      <c r="I178" s="70">
        <f t="shared" si="31"/>
        <v>-59067213.245833129</v>
      </c>
      <c r="J178" s="70">
        <f t="shared" si="35"/>
        <v>-55523180.451083176</v>
      </c>
      <c r="K178" s="70">
        <f t="shared" si="40"/>
        <v>86238131.338916719</v>
      </c>
      <c r="L178" s="814">
        <f t="shared" si="32"/>
        <v>82694098.544166744</v>
      </c>
      <c r="M178" s="814">
        <f t="shared" si="43"/>
        <v>46166.147816249977</v>
      </c>
      <c r="N178" s="70">
        <f t="shared" si="44"/>
        <v>-11572122.248940039</v>
      </c>
      <c r="O178" s="70">
        <f t="shared" si="38"/>
        <v>-11849119.13583754</v>
      </c>
      <c r="P178" s="492">
        <f t="shared" si="39"/>
        <v>74389012.203079179</v>
      </c>
      <c r="Q178" s="76"/>
      <c r="R178" s="67">
        <f t="shared" si="37"/>
        <v>71121976.295226708</v>
      </c>
      <c r="S178" s="348">
        <f>$E$79-(SUM($H$79:H178)*$U$75)</f>
        <v>52761311.789999977</v>
      </c>
      <c r="T178" s="38"/>
      <c r="U178" s="504"/>
    </row>
    <row r="179" spans="1:21" ht="12.75" customHeight="1">
      <c r="A179" s="484"/>
      <c r="B179" s="80">
        <v>43921</v>
      </c>
      <c r="C179" s="80"/>
      <c r="D179" s="103"/>
      <c r="E179" s="490">
        <f t="shared" si="33"/>
        <v>52761311.789999977</v>
      </c>
      <c r="F179" s="491">
        <f t="shared" si="34"/>
        <v>141761311.78999987</v>
      </c>
      <c r="G179" s="70">
        <f t="shared" si="42"/>
        <v>141761311.7899999</v>
      </c>
      <c r="H179" s="269">
        <f t="shared" si="41"/>
        <v>590672.13245833281</v>
      </c>
      <c r="I179" s="70">
        <f t="shared" si="31"/>
        <v>-59657885.378291458</v>
      </c>
      <c r="J179" s="70">
        <f t="shared" si="35"/>
        <v>-56113852.583541505</v>
      </c>
      <c r="K179" s="70">
        <f t="shared" si="40"/>
        <v>85647459.20645839</v>
      </c>
      <c r="L179" s="814">
        <f t="shared" si="32"/>
        <v>82103426.411708415</v>
      </c>
      <c r="M179" s="814">
        <f t="shared" si="43"/>
        <v>46166.147816249977</v>
      </c>
      <c r="N179" s="70">
        <f t="shared" si="44"/>
        <v>-11525956.101123789</v>
      </c>
      <c r="O179" s="70">
        <f t="shared" si="38"/>
        <v>-11802952.988021292</v>
      </c>
      <c r="P179" s="492">
        <f t="shared" si="39"/>
        <v>73844506.218437105</v>
      </c>
      <c r="Q179" s="76"/>
      <c r="R179" s="67">
        <f t="shared" si="37"/>
        <v>70577470.31058462</v>
      </c>
      <c r="S179" s="348">
        <f>$E$79-(SUM($H$79:H179)*$U$75)</f>
        <v>52761311.789999977</v>
      </c>
      <c r="T179" s="38"/>
      <c r="U179" s="504"/>
    </row>
    <row r="180" spans="1:21">
      <c r="A180" s="484"/>
      <c r="B180" s="80">
        <v>43951</v>
      </c>
      <c r="C180" s="80"/>
      <c r="D180" s="103"/>
      <c r="E180" s="490">
        <f t="shared" si="33"/>
        <v>52761311.789999977</v>
      </c>
      <c r="F180" s="491">
        <f t="shared" si="34"/>
        <v>141761311.78999987</v>
      </c>
      <c r="G180" s="70">
        <f t="shared" si="42"/>
        <v>141761311.7899999</v>
      </c>
      <c r="H180" s="269">
        <f t="shared" si="41"/>
        <v>590672.13245833281</v>
      </c>
      <c r="I180" s="70">
        <f t="shared" si="31"/>
        <v>-60248557.510749787</v>
      </c>
      <c r="J180" s="70">
        <f t="shared" si="35"/>
        <v>-56704524.715999834</v>
      </c>
      <c r="K180" s="70">
        <f t="shared" si="40"/>
        <v>85056787.074000061</v>
      </c>
      <c r="L180" s="814">
        <f t="shared" si="32"/>
        <v>81512754.279250085</v>
      </c>
      <c r="M180" s="814">
        <f t="shared" si="43"/>
        <v>46166.147816249977</v>
      </c>
      <c r="N180" s="70">
        <f t="shared" si="44"/>
        <v>-11479789.953307539</v>
      </c>
      <c r="O180" s="70">
        <f t="shared" si="38"/>
        <v>-11756786.840205042</v>
      </c>
      <c r="P180" s="492">
        <f t="shared" si="39"/>
        <v>73300000.233795017</v>
      </c>
      <c r="Q180" s="76"/>
      <c r="R180" s="67">
        <f t="shared" si="37"/>
        <v>70032964.325942546</v>
      </c>
      <c r="S180" s="348">
        <f>$E$79-(SUM($H$79:H180)*$U$75)</f>
        <v>52761311.789999977</v>
      </c>
      <c r="T180" s="38"/>
      <c r="U180" s="504"/>
    </row>
    <row r="181" spans="1:21">
      <c r="A181" s="484"/>
      <c r="B181" s="80">
        <v>43982</v>
      </c>
      <c r="C181" s="80"/>
      <c r="D181" s="103"/>
      <c r="E181" s="490">
        <f t="shared" si="33"/>
        <v>52761311.789999977</v>
      </c>
      <c r="F181" s="491">
        <f t="shared" si="34"/>
        <v>141761311.78999987</v>
      </c>
      <c r="G181" s="70">
        <f t="shared" si="42"/>
        <v>141761311.7899999</v>
      </c>
      <c r="H181" s="269">
        <f t="shared" si="41"/>
        <v>590672.13245833281</v>
      </c>
      <c r="I181" s="70">
        <f t="shared" si="31"/>
        <v>-60839229.643208116</v>
      </c>
      <c r="J181" s="70">
        <f t="shared" si="35"/>
        <v>-57295196.848458163</v>
      </c>
      <c r="K181" s="70">
        <f t="shared" si="40"/>
        <v>84466114.941541731</v>
      </c>
      <c r="L181" s="814">
        <f t="shared" si="32"/>
        <v>80922082.146791756</v>
      </c>
      <c r="M181" s="814">
        <f t="shared" si="43"/>
        <v>46166.147816249977</v>
      </c>
      <c r="N181" s="70">
        <f t="shared" si="44"/>
        <v>-11433623.805491289</v>
      </c>
      <c r="O181" s="70">
        <f>(N169+N181+SUM(N170:N180)*2)/24</f>
        <v>-11710620.69238879</v>
      </c>
      <c r="P181" s="492">
        <f t="shared" si="39"/>
        <v>72755494.249152943</v>
      </c>
      <c r="Q181" s="76"/>
      <c r="R181" s="67">
        <f t="shared" si="37"/>
        <v>69488458.341300473</v>
      </c>
      <c r="S181" s="348">
        <f>$E$79-(SUM($H$79:H181)*$U$75)</f>
        <v>52761311.789999977</v>
      </c>
      <c r="T181" s="38"/>
      <c r="U181" s="504"/>
    </row>
    <row r="182" spans="1:21" ht="12.75" customHeight="1">
      <c r="A182" s="484"/>
      <c r="B182" s="80">
        <v>44012</v>
      </c>
      <c r="C182" s="80"/>
      <c r="D182" s="103"/>
      <c r="E182" s="490">
        <f t="shared" si="33"/>
        <v>52761311.789999977</v>
      </c>
      <c r="F182" s="491">
        <f t="shared" si="34"/>
        <v>141761311.78999987</v>
      </c>
      <c r="G182" s="70">
        <f t="shared" si="42"/>
        <v>141761311.7899999</v>
      </c>
      <c r="H182" s="269">
        <f t="shared" si="41"/>
        <v>590672.13245833281</v>
      </c>
      <c r="I182" s="70">
        <f t="shared" si="31"/>
        <v>-61429901.775666445</v>
      </c>
      <c r="J182" s="70">
        <f t="shared" si="35"/>
        <v>-57885868.980916493</v>
      </c>
      <c r="K182" s="70">
        <f t="shared" si="40"/>
        <v>83875442.809083402</v>
      </c>
      <c r="L182" s="814">
        <f t="shared" si="32"/>
        <v>80331410.014333427</v>
      </c>
      <c r="M182" s="814">
        <f t="shared" si="43"/>
        <v>46166.147816249977</v>
      </c>
      <c r="N182" s="70">
        <f t="shared" si="44"/>
        <v>-11387457.657675039</v>
      </c>
      <c r="O182" s="70">
        <f t="shared" si="38"/>
        <v>-11664454.54457254</v>
      </c>
      <c r="P182" s="492">
        <f t="shared" si="39"/>
        <v>72210988.26451087</v>
      </c>
      <c r="Q182" s="76"/>
      <c r="R182" s="67">
        <f t="shared" si="37"/>
        <v>68943952.356658384</v>
      </c>
      <c r="S182" s="348">
        <f>$E$79-(SUM($H$79:H182)*$U$75)</f>
        <v>52761311.789999977</v>
      </c>
      <c r="T182" s="38"/>
      <c r="U182" s="504"/>
    </row>
    <row r="183" spans="1:21">
      <c r="A183" s="484"/>
      <c r="B183" s="80">
        <v>44043</v>
      </c>
      <c r="C183" s="80"/>
      <c r="D183" s="103"/>
      <c r="E183" s="490">
        <f t="shared" si="33"/>
        <v>52761311.789999977</v>
      </c>
      <c r="F183" s="491">
        <f t="shared" si="34"/>
        <v>141761311.78999987</v>
      </c>
      <c r="G183" s="70">
        <f t="shared" si="42"/>
        <v>141761311.7899999</v>
      </c>
      <c r="H183" s="269">
        <f t="shared" si="41"/>
        <v>590672.13245833281</v>
      </c>
      <c r="I183" s="70">
        <f t="shared" si="31"/>
        <v>-62020573.908124775</v>
      </c>
      <c r="J183" s="70">
        <f t="shared" si="35"/>
        <v>-58476541.113374822</v>
      </c>
      <c r="K183" s="70">
        <f t="shared" si="40"/>
        <v>83284770.676625073</v>
      </c>
      <c r="L183" s="814">
        <f t="shared" si="32"/>
        <v>79740737.881875098</v>
      </c>
      <c r="M183" s="814">
        <f t="shared" si="43"/>
        <v>46166.147816249977</v>
      </c>
      <c r="N183" s="70">
        <f t="shared" si="44"/>
        <v>-11341291.509858789</v>
      </c>
      <c r="O183" s="70">
        <f t="shared" si="38"/>
        <v>-11618288.39675629</v>
      </c>
      <c r="P183" s="492">
        <f t="shared" si="39"/>
        <v>71666482.279868782</v>
      </c>
      <c r="Q183" s="76"/>
      <c r="R183" s="67">
        <f t="shared" si="37"/>
        <v>68399446.372016311</v>
      </c>
      <c r="S183" s="348">
        <f>$E$79-(SUM($H$79:H183)*$U$75)</f>
        <v>52761311.789999977</v>
      </c>
      <c r="T183" s="38"/>
      <c r="U183" s="504"/>
    </row>
    <row r="184" spans="1:21">
      <c r="A184" s="484"/>
      <c r="B184" s="80">
        <v>44074</v>
      </c>
      <c r="C184" s="80"/>
      <c r="D184" s="103"/>
      <c r="E184" s="490">
        <f t="shared" si="33"/>
        <v>52761311.789999977</v>
      </c>
      <c r="F184" s="491">
        <f t="shared" si="34"/>
        <v>141761311.78999987</v>
      </c>
      <c r="G184" s="70">
        <f t="shared" si="42"/>
        <v>141761311.7899999</v>
      </c>
      <c r="H184" s="269">
        <f t="shared" si="41"/>
        <v>590672.13245833281</v>
      </c>
      <c r="I184" s="70">
        <f t="shared" si="31"/>
        <v>-62611246.040583104</v>
      </c>
      <c r="J184" s="70">
        <f t="shared" si="35"/>
        <v>-59067213.245833151</v>
      </c>
      <c r="K184" s="70">
        <f t="shared" si="40"/>
        <v>82694098.544166744</v>
      </c>
      <c r="L184" s="814">
        <f t="shared" si="32"/>
        <v>79150065.749416769</v>
      </c>
      <c r="M184" s="814">
        <f t="shared" si="43"/>
        <v>46166.147816249977</v>
      </c>
      <c r="N184" s="70">
        <f t="shared" si="44"/>
        <v>-11295125.362042539</v>
      </c>
      <c r="O184" s="70">
        <f t="shared" si="38"/>
        <v>-11572122.248940041</v>
      </c>
      <c r="P184" s="492">
        <f t="shared" si="39"/>
        <v>71121976.295226708</v>
      </c>
      <c r="Q184" s="76"/>
      <c r="R184" s="67">
        <f t="shared" si="37"/>
        <v>67854940.387374222</v>
      </c>
      <c r="S184" s="348">
        <f>$E$79-(SUM($H$79:H184)*$U$75)</f>
        <v>52761311.789999977</v>
      </c>
      <c r="T184" s="38"/>
      <c r="U184" s="504"/>
    </row>
    <row r="185" spans="1:21">
      <c r="A185" s="484"/>
      <c r="B185" s="80">
        <v>44104</v>
      </c>
      <c r="C185" s="80"/>
      <c r="D185" s="103"/>
      <c r="E185" s="490">
        <f t="shared" si="33"/>
        <v>52761311.789999977</v>
      </c>
      <c r="F185" s="491">
        <f t="shared" si="34"/>
        <v>141761311.78999987</v>
      </c>
      <c r="G185" s="70">
        <f t="shared" si="42"/>
        <v>141761311.7899999</v>
      </c>
      <c r="H185" s="269">
        <f t="shared" si="41"/>
        <v>590672.13245833281</v>
      </c>
      <c r="I185" s="70">
        <f t="shared" si="31"/>
        <v>-63201918.173041433</v>
      </c>
      <c r="J185" s="70">
        <f t="shared" si="35"/>
        <v>-59657885.37829148</v>
      </c>
      <c r="K185" s="70">
        <f t="shared" si="40"/>
        <v>82103426.411708415</v>
      </c>
      <c r="L185" s="814">
        <f t="shared" si="32"/>
        <v>78559393.616958439</v>
      </c>
      <c r="M185" s="814">
        <f t="shared" si="43"/>
        <v>46166.147816249977</v>
      </c>
      <c r="N185" s="70">
        <f t="shared" si="44"/>
        <v>-11248959.214226289</v>
      </c>
      <c r="O185" s="70">
        <f t="shared" si="38"/>
        <v>-11525956.101123789</v>
      </c>
      <c r="P185" s="492">
        <f t="shared" si="39"/>
        <v>70577470.31058462</v>
      </c>
      <c r="Q185" s="76"/>
      <c r="R185" s="67">
        <f t="shared" si="37"/>
        <v>67310434.402732149</v>
      </c>
      <c r="S185" s="348">
        <f>$E$79-(SUM($H$79:H185)*$U$75)</f>
        <v>52761311.789999977</v>
      </c>
      <c r="T185" s="38"/>
      <c r="U185" s="504"/>
    </row>
    <row r="186" spans="1:21">
      <c r="A186" s="484"/>
      <c r="B186" s="80">
        <v>44135</v>
      </c>
      <c r="C186" s="80"/>
      <c r="D186" s="103"/>
      <c r="E186" s="490">
        <f t="shared" si="33"/>
        <v>52761311.789999977</v>
      </c>
      <c r="F186" s="491">
        <f t="shared" si="34"/>
        <v>141761311.78999987</v>
      </c>
      <c r="G186" s="70">
        <f t="shared" si="42"/>
        <v>141761311.7899999</v>
      </c>
      <c r="H186" s="269">
        <f t="shared" si="41"/>
        <v>590672.13245833281</v>
      </c>
      <c r="I186" s="70">
        <f t="shared" si="31"/>
        <v>-63792590.305499762</v>
      </c>
      <c r="J186" s="70">
        <f t="shared" si="35"/>
        <v>-60248557.510749809</v>
      </c>
      <c r="K186" s="70">
        <f t="shared" si="40"/>
        <v>81512754.279250085</v>
      </c>
      <c r="L186" s="814">
        <f t="shared" si="32"/>
        <v>77968721.48450011</v>
      </c>
      <c r="M186" s="814">
        <f t="shared" si="43"/>
        <v>46166.147816249977</v>
      </c>
      <c r="N186" s="70">
        <f t="shared" si="44"/>
        <v>-11202793.066410039</v>
      </c>
      <c r="O186" s="70">
        <f t="shared" si="38"/>
        <v>-11479789.953307539</v>
      </c>
      <c r="P186" s="492">
        <f t="shared" si="39"/>
        <v>70032964.325942546</v>
      </c>
      <c r="Q186" s="76"/>
      <c r="R186" s="67">
        <f t="shared" si="37"/>
        <v>66765928.418090075</v>
      </c>
      <c r="S186" s="348">
        <f>$E$79-(SUM($H$79:H186)*$U$75)</f>
        <v>52761311.789999977</v>
      </c>
      <c r="T186" s="38"/>
      <c r="U186" s="504"/>
    </row>
    <row r="187" spans="1:21">
      <c r="A187" s="484"/>
      <c r="B187" s="80">
        <v>44165</v>
      </c>
      <c r="C187" s="80"/>
      <c r="D187" s="103"/>
      <c r="E187" s="490">
        <f t="shared" si="33"/>
        <v>52761311.789999977</v>
      </c>
      <c r="F187" s="491">
        <f t="shared" si="34"/>
        <v>141761311.78999987</v>
      </c>
      <c r="G187" s="70">
        <f t="shared" si="42"/>
        <v>141761311.7899999</v>
      </c>
      <c r="H187" s="269">
        <f t="shared" si="41"/>
        <v>590672.13245833281</v>
      </c>
      <c r="I187" s="70">
        <f t="shared" si="31"/>
        <v>-64383262.437958091</v>
      </c>
      <c r="J187" s="70">
        <f t="shared" si="35"/>
        <v>-60839229.643208139</v>
      </c>
      <c r="K187" s="70">
        <f t="shared" si="40"/>
        <v>80922082.146791756</v>
      </c>
      <c r="L187" s="814">
        <f t="shared" si="32"/>
        <v>77378049.352041781</v>
      </c>
      <c r="M187" s="814">
        <f t="shared" si="43"/>
        <v>46166.147816249977</v>
      </c>
      <c r="N187" s="70">
        <f t="shared" si="44"/>
        <v>-11156626.918593789</v>
      </c>
      <c r="O187" s="70">
        <f t="shared" si="38"/>
        <v>-11433623.805491289</v>
      </c>
      <c r="P187" s="492">
        <f t="shared" si="39"/>
        <v>69488458.341300473</v>
      </c>
      <c r="Q187" s="76"/>
      <c r="R187" s="67">
        <f t="shared" si="37"/>
        <v>66221422.433447994</v>
      </c>
      <c r="S187" s="348">
        <f>$E$79-(SUM($H$79:H187)*$U$75)</f>
        <v>52761311.789999977</v>
      </c>
      <c r="T187" s="38"/>
      <c r="U187" s="504"/>
    </row>
    <row r="188" spans="1:21">
      <c r="A188" s="484"/>
      <c r="B188" s="80">
        <v>44196</v>
      </c>
      <c r="C188" s="80"/>
      <c r="D188" s="103"/>
      <c r="E188" s="490">
        <f t="shared" si="33"/>
        <v>52761311.789999977</v>
      </c>
      <c r="F188" s="491">
        <f t="shared" si="34"/>
        <v>141761311.78999987</v>
      </c>
      <c r="G188" s="70">
        <f t="shared" si="42"/>
        <v>141761311.7899999</v>
      </c>
      <c r="H188" s="269">
        <f t="shared" si="41"/>
        <v>590672.13245833281</v>
      </c>
      <c r="I188" s="70">
        <f t="shared" si="31"/>
        <v>-64973934.570416421</v>
      </c>
      <c r="J188" s="70">
        <f t="shared" si="35"/>
        <v>-61429901.775666468</v>
      </c>
      <c r="K188" s="70">
        <f t="shared" si="40"/>
        <v>80331410.014333427</v>
      </c>
      <c r="L188" s="814">
        <f t="shared" si="32"/>
        <v>76787377.219583452</v>
      </c>
      <c r="M188" s="814">
        <f t="shared" si="43"/>
        <v>46166.147816249977</v>
      </c>
      <c r="N188" s="70">
        <f t="shared" si="44"/>
        <v>-11110460.770777538</v>
      </c>
      <c r="O188" s="70">
        <f t="shared" si="38"/>
        <v>-11387457.657675041</v>
      </c>
      <c r="P188" s="492">
        <f t="shared" si="39"/>
        <v>68943952.356658384</v>
      </c>
      <c r="Q188" s="76"/>
      <c r="R188" s="67">
        <f t="shared" si="37"/>
        <v>65676916.448805913</v>
      </c>
      <c r="S188" s="348">
        <f>$E$79-(SUM($H$79:H188)*$U$75)</f>
        <v>52761311.789999977</v>
      </c>
      <c r="T188" s="38"/>
      <c r="U188" s="504"/>
    </row>
    <row r="189" spans="1:21">
      <c r="A189" s="484"/>
      <c r="B189" s="80">
        <v>44227</v>
      </c>
      <c r="C189" s="80"/>
      <c r="D189" s="103"/>
      <c r="E189" s="490">
        <f t="shared" si="33"/>
        <v>52761311.789999977</v>
      </c>
      <c r="F189" s="491">
        <f t="shared" si="34"/>
        <v>141761311.78999987</v>
      </c>
      <c r="G189" s="70">
        <f t="shared" si="42"/>
        <v>141761311.7899999</v>
      </c>
      <c r="H189" s="269">
        <f t="shared" si="41"/>
        <v>590672.13245833281</v>
      </c>
      <c r="I189" s="70">
        <f t="shared" si="31"/>
        <v>-65564606.70287475</v>
      </c>
      <c r="J189" s="70">
        <f t="shared" si="35"/>
        <v>-62020573.908124797</v>
      </c>
      <c r="K189" s="70">
        <f t="shared" si="40"/>
        <v>79740737.881875098</v>
      </c>
      <c r="L189" s="814">
        <f t="shared" si="32"/>
        <v>76196705.087125123</v>
      </c>
      <c r="M189" s="814">
        <f t="shared" si="43"/>
        <v>46166.147816249977</v>
      </c>
      <c r="N189" s="70">
        <f t="shared" si="44"/>
        <v>-11064294.622961288</v>
      </c>
      <c r="O189" s="70">
        <f t="shared" si="38"/>
        <v>-11341291.509858789</v>
      </c>
      <c r="P189" s="492">
        <f t="shared" si="39"/>
        <v>68399446.372016311</v>
      </c>
      <c r="Q189" s="76"/>
      <c r="R189" s="67">
        <f t="shared" si="37"/>
        <v>65132410.464163832</v>
      </c>
      <c r="S189" s="348">
        <f>$E$79-(SUM($H$79:H189)*$U$75)</f>
        <v>52761311.789999977</v>
      </c>
      <c r="T189" s="38"/>
      <c r="U189" s="504"/>
    </row>
    <row r="190" spans="1:21" ht="12.75" customHeight="1">
      <c r="A190" s="484"/>
      <c r="B190" s="80">
        <v>44255</v>
      </c>
      <c r="C190" s="80"/>
      <c r="D190" s="103"/>
      <c r="E190" s="490">
        <f t="shared" si="33"/>
        <v>52761311.789999977</v>
      </c>
      <c r="F190" s="491">
        <f t="shared" si="34"/>
        <v>141761311.78999987</v>
      </c>
      <c r="G190" s="70">
        <f t="shared" si="42"/>
        <v>141761311.7899999</v>
      </c>
      <c r="H190" s="269">
        <f t="shared" si="41"/>
        <v>590672.13245833281</v>
      </c>
      <c r="I190" s="70">
        <f t="shared" si="31"/>
        <v>-66155278.835333079</v>
      </c>
      <c r="J190" s="70">
        <f t="shared" si="35"/>
        <v>-62611246.040583126</v>
      </c>
      <c r="K190" s="70">
        <f t="shared" si="40"/>
        <v>79150065.749416769</v>
      </c>
      <c r="L190" s="814">
        <f t="shared" si="32"/>
        <v>75606032.954666793</v>
      </c>
      <c r="M190" s="814">
        <f t="shared" si="43"/>
        <v>46166.147816249977</v>
      </c>
      <c r="N190" s="70">
        <f t="shared" si="44"/>
        <v>-11018128.475145038</v>
      </c>
      <c r="O190" s="70">
        <f t="shared" si="38"/>
        <v>-11295125.362042539</v>
      </c>
      <c r="P190" s="492">
        <f t="shared" si="39"/>
        <v>67854940.387374222</v>
      </c>
      <c r="Q190" s="76"/>
      <c r="R190" s="67">
        <f t="shared" si="37"/>
        <v>64587904.479521751</v>
      </c>
      <c r="S190" s="348">
        <f>$E$79-(SUM($H$79:H190)*$U$75)</f>
        <v>52761311.789999977</v>
      </c>
      <c r="T190" s="38"/>
      <c r="U190" s="504"/>
    </row>
    <row r="191" spans="1:21" ht="12.75" customHeight="1">
      <c r="A191" s="484"/>
      <c r="B191" s="80">
        <v>44286</v>
      </c>
      <c r="C191" s="80"/>
      <c r="D191" s="103"/>
      <c r="E191" s="490">
        <f t="shared" si="33"/>
        <v>52761311.789999977</v>
      </c>
      <c r="F191" s="491">
        <f t="shared" si="34"/>
        <v>141761311.78999987</v>
      </c>
      <c r="G191" s="70">
        <f t="shared" si="42"/>
        <v>141761311.7899999</v>
      </c>
      <c r="H191" s="269">
        <f t="shared" si="41"/>
        <v>590672.13245833281</v>
      </c>
      <c r="I191" s="70">
        <f t="shared" si="31"/>
        <v>-66745950.967791408</v>
      </c>
      <c r="J191" s="70">
        <f t="shared" si="35"/>
        <v>-63201918.173041455</v>
      </c>
      <c r="K191" s="70">
        <f t="shared" si="40"/>
        <v>78559393.616958439</v>
      </c>
      <c r="L191" s="814">
        <f t="shared" si="32"/>
        <v>75015360.822208464</v>
      </c>
      <c r="M191" s="814">
        <f t="shared" si="43"/>
        <v>46166.147816249977</v>
      </c>
      <c r="N191" s="70">
        <f t="shared" si="44"/>
        <v>-10971962.327328788</v>
      </c>
      <c r="O191" s="70">
        <f t="shared" si="38"/>
        <v>-11248959.214226289</v>
      </c>
      <c r="P191" s="492">
        <f t="shared" si="39"/>
        <v>67310434.402732149</v>
      </c>
      <c r="Q191" s="76"/>
      <c r="R191" s="67">
        <f t="shared" si="37"/>
        <v>64043398.494879678</v>
      </c>
      <c r="S191" s="348">
        <f>$E$79-(SUM($H$79:H191)*$U$75)</f>
        <v>52761311.789999977</v>
      </c>
      <c r="T191" s="38"/>
      <c r="U191" s="504"/>
    </row>
    <row r="192" spans="1:21" s="81" customFormat="1">
      <c r="A192" s="494"/>
      <c r="B192" s="495">
        <v>44316</v>
      </c>
      <c r="C192" s="495"/>
      <c r="D192" s="104"/>
      <c r="E192" s="491">
        <f t="shared" si="33"/>
        <v>52761311.789999977</v>
      </c>
      <c r="F192" s="491">
        <f t="shared" si="34"/>
        <v>141761311.78999987</v>
      </c>
      <c r="G192" s="630">
        <f t="shared" si="42"/>
        <v>141761311.7899999</v>
      </c>
      <c r="H192" s="630">
        <f t="shared" si="41"/>
        <v>590672.13245833281</v>
      </c>
      <c r="I192" s="630">
        <f t="shared" si="31"/>
        <v>-67336623.100249738</v>
      </c>
      <c r="J192" s="630">
        <f t="shared" si="35"/>
        <v>-63792590.305499785</v>
      </c>
      <c r="K192" s="630">
        <f t="shared" si="40"/>
        <v>77968721.48450011</v>
      </c>
      <c r="L192" s="814">
        <f t="shared" si="32"/>
        <v>74424688.689750135</v>
      </c>
      <c r="M192" s="814">
        <f t="shared" si="43"/>
        <v>46166.147816249977</v>
      </c>
      <c r="N192" s="630">
        <f t="shared" si="44"/>
        <v>-10925796.179512538</v>
      </c>
      <c r="O192" s="630">
        <f t="shared" si="38"/>
        <v>-11202793.06641004</v>
      </c>
      <c r="P192" s="868">
        <f t="shared" si="39"/>
        <v>66765928.418090068</v>
      </c>
      <c r="Q192" s="394"/>
      <c r="R192" s="630">
        <f t="shared" si="37"/>
        <v>63498892.510237597</v>
      </c>
      <c r="S192" s="855">
        <f>$E$79-(SUM($H$79:H192)*$U$75)</f>
        <v>52761311.789999977</v>
      </c>
      <c r="T192" s="737"/>
      <c r="U192" s="504"/>
    </row>
    <row r="193" spans="1:21">
      <c r="A193" s="484"/>
      <c r="B193" s="80">
        <v>44347</v>
      </c>
      <c r="C193" s="80"/>
      <c r="D193" s="103"/>
      <c r="E193" s="490">
        <f t="shared" si="33"/>
        <v>52761311.789999977</v>
      </c>
      <c r="F193" s="491">
        <f t="shared" si="34"/>
        <v>141761311.78999987</v>
      </c>
      <c r="G193" s="70">
        <f t="shared" si="42"/>
        <v>141761311.7899999</v>
      </c>
      <c r="H193" s="269">
        <f t="shared" si="41"/>
        <v>590672.13245833281</v>
      </c>
      <c r="I193" s="70">
        <f t="shared" si="31"/>
        <v>-67927295.232708067</v>
      </c>
      <c r="J193" s="70">
        <f t="shared" si="35"/>
        <v>-64383262.437958114</v>
      </c>
      <c r="K193" s="70">
        <f t="shared" si="40"/>
        <v>77378049.352041781</v>
      </c>
      <c r="L193" s="814">
        <f t="shared" si="32"/>
        <v>73834016.557291806</v>
      </c>
      <c r="M193" s="814">
        <f t="shared" si="43"/>
        <v>46166.147816249977</v>
      </c>
      <c r="N193" s="70">
        <f t="shared" si="44"/>
        <v>-10879630.031696288</v>
      </c>
      <c r="O193" s="70">
        <f t="shared" si="38"/>
        <v>-11156626.918593789</v>
      </c>
      <c r="P193" s="492">
        <f t="shared" si="39"/>
        <v>66221422.433447994</v>
      </c>
      <c r="Q193" s="76"/>
      <c r="R193" s="67">
        <f t="shared" si="37"/>
        <v>62954386.525595516</v>
      </c>
      <c r="S193" s="348">
        <f>$E$79-(SUM($H$79:H193)*$U$75)</f>
        <v>52761311.789999977</v>
      </c>
      <c r="T193" s="38"/>
      <c r="U193" s="504"/>
    </row>
    <row r="194" spans="1:21" ht="12.75" customHeight="1">
      <c r="A194" s="484"/>
      <c r="B194" s="80">
        <v>44377</v>
      </c>
      <c r="C194" s="80"/>
      <c r="D194" s="103"/>
      <c r="E194" s="490">
        <f t="shared" si="33"/>
        <v>52761311.789999977</v>
      </c>
      <c r="F194" s="491">
        <f t="shared" si="34"/>
        <v>141761311.78999987</v>
      </c>
      <c r="G194" s="70">
        <f t="shared" si="42"/>
        <v>141761311.7899999</v>
      </c>
      <c r="H194" s="269">
        <f t="shared" si="41"/>
        <v>590672.13245833281</v>
      </c>
      <c r="I194" s="70">
        <f t="shared" si="31"/>
        <v>-68517967.365166396</v>
      </c>
      <c r="J194" s="70">
        <f t="shared" si="35"/>
        <v>-64973934.570416443</v>
      </c>
      <c r="K194" s="70">
        <f t="shared" si="40"/>
        <v>76787377.219583452</v>
      </c>
      <c r="L194" s="814">
        <f t="shared" si="32"/>
        <v>73243344.424833477</v>
      </c>
      <c r="M194" s="814">
        <f t="shared" si="43"/>
        <v>46166.147816249977</v>
      </c>
      <c r="N194" s="70">
        <f t="shared" si="44"/>
        <v>-10833463.883880038</v>
      </c>
      <c r="O194" s="70">
        <f t="shared" si="38"/>
        <v>-11110460.77077754</v>
      </c>
      <c r="P194" s="492">
        <f t="shared" si="39"/>
        <v>65676916.448805913</v>
      </c>
      <c r="Q194" s="76"/>
      <c r="R194" s="67">
        <f t="shared" si="37"/>
        <v>62409880.540953442</v>
      </c>
      <c r="S194" s="348">
        <f>$E$79-(SUM($H$79:H194)*$U$75)</f>
        <v>52761311.789999977</v>
      </c>
      <c r="T194" s="38"/>
      <c r="U194" s="504"/>
    </row>
    <row r="195" spans="1:21">
      <c r="A195" s="484"/>
      <c r="B195" s="80">
        <v>44408</v>
      </c>
      <c r="C195" s="80"/>
      <c r="D195" s="103"/>
      <c r="E195" s="490">
        <f t="shared" si="33"/>
        <v>52761311.789999977</v>
      </c>
      <c r="F195" s="491">
        <f t="shared" si="34"/>
        <v>141761311.78999987</v>
      </c>
      <c r="G195" s="70">
        <f t="shared" si="42"/>
        <v>141761311.7899999</v>
      </c>
      <c r="H195" s="269">
        <f t="shared" si="41"/>
        <v>590672.13245833281</v>
      </c>
      <c r="I195" s="70">
        <f t="shared" si="31"/>
        <v>-69108639.497624725</v>
      </c>
      <c r="J195" s="70">
        <f t="shared" si="35"/>
        <v>-65564606.702874772</v>
      </c>
      <c r="K195" s="70">
        <f t="shared" si="40"/>
        <v>76196705.087125123</v>
      </c>
      <c r="L195" s="814">
        <f t="shared" si="32"/>
        <v>72652672.292375147</v>
      </c>
      <c r="M195" s="814">
        <f t="shared" si="43"/>
        <v>46166.147816249977</v>
      </c>
      <c r="N195" s="70">
        <f t="shared" si="44"/>
        <v>-10787297.736063788</v>
      </c>
      <c r="O195" s="70">
        <f t="shared" si="38"/>
        <v>-11064294.622961288</v>
      </c>
      <c r="P195" s="492">
        <f t="shared" si="39"/>
        <v>65132410.464163832</v>
      </c>
      <c r="Q195" s="76"/>
      <c r="R195" s="67">
        <f t="shared" si="37"/>
        <v>61865374.556311361</v>
      </c>
      <c r="S195" s="348">
        <f>$E$79-(SUM($H$79:H195)*$U$75)</f>
        <v>52761311.789999977</v>
      </c>
      <c r="T195" s="38"/>
      <c r="U195" s="504"/>
    </row>
    <row r="196" spans="1:21">
      <c r="A196" s="484"/>
      <c r="B196" s="80">
        <v>44439</v>
      </c>
      <c r="C196" s="80"/>
      <c r="D196" s="103"/>
      <c r="E196" s="490">
        <f t="shared" si="33"/>
        <v>52761311.789999977</v>
      </c>
      <c r="F196" s="491">
        <f t="shared" si="34"/>
        <v>141761311.78999987</v>
      </c>
      <c r="G196" s="70">
        <f t="shared" si="42"/>
        <v>141761311.7899999</v>
      </c>
      <c r="H196" s="269">
        <f t="shared" si="41"/>
        <v>590672.13245833281</v>
      </c>
      <c r="I196" s="70">
        <f t="shared" si="31"/>
        <v>-69699311.630083054</v>
      </c>
      <c r="J196" s="70">
        <f t="shared" si="35"/>
        <v>-66155278.835333101</v>
      </c>
      <c r="K196" s="70">
        <f t="shared" si="40"/>
        <v>75606032.954666793</v>
      </c>
      <c r="L196" s="814">
        <f t="shared" si="32"/>
        <v>72062000.159916818</v>
      </c>
      <c r="M196" s="814">
        <f t="shared" si="43"/>
        <v>46166.147816249977</v>
      </c>
      <c r="N196" s="70">
        <f t="shared" si="44"/>
        <v>-10741131.588247538</v>
      </c>
      <c r="O196" s="70">
        <f t="shared" si="38"/>
        <v>-11018128.47514504</v>
      </c>
      <c r="P196" s="492">
        <f t="shared" si="39"/>
        <v>64587904.479521751</v>
      </c>
      <c r="Q196" s="76"/>
      <c r="R196" s="67">
        <f t="shared" si="37"/>
        <v>61320868.571669281</v>
      </c>
      <c r="S196" s="348">
        <f>$E$79-(SUM($H$79:H196)*$U$75)</f>
        <v>52761311.789999977</v>
      </c>
      <c r="T196" s="38"/>
      <c r="U196" s="504"/>
    </row>
    <row r="197" spans="1:21">
      <c r="A197" s="484"/>
      <c r="B197" s="80">
        <v>44469</v>
      </c>
      <c r="C197" s="80"/>
      <c r="D197" s="103"/>
      <c r="E197" s="490">
        <f t="shared" si="33"/>
        <v>52761311.789999977</v>
      </c>
      <c r="F197" s="491">
        <f t="shared" si="34"/>
        <v>141761311.78999987</v>
      </c>
      <c r="G197" s="70">
        <f t="shared" si="42"/>
        <v>141761311.7899999</v>
      </c>
      <c r="H197" s="269">
        <f t="shared" si="41"/>
        <v>590672.13245833281</v>
      </c>
      <c r="I197" s="70">
        <f t="shared" si="31"/>
        <v>-70289983.762541384</v>
      </c>
      <c r="J197" s="70">
        <f t="shared" si="35"/>
        <v>-66745950.967791431</v>
      </c>
      <c r="K197" s="70">
        <f t="shared" si="40"/>
        <v>75015360.822208464</v>
      </c>
      <c r="L197" s="814">
        <f t="shared" si="32"/>
        <v>71471328.027458489</v>
      </c>
      <c r="M197" s="814">
        <f t="shared" si="43"/>
        <v>46166.147816249977</v>
      </c>
      <c r="N197" s="70">
        <f t="shared" si="44"/>
        <v>-10694965.440431288</v>
      </c>
      <c r="O197" s="70">
        <f t="shared" si="38"/>
        <v>-10971962.327328788</v>
      </c>
      <c r="P197" s="492">
        <f t="shared" si="39"/>
        <v>64043398.494879678</v>
      </c>
      <c r="Q197" s="76"/>
      <c r="R197" s="67">
        <f t="shared" si="37"/>
        <v>60776362.5870272</v>
      </c>
      <c r="S197" s="348">
        <f>$E$79-(SUM($H$79:H197)*$U$75)</f>
        <v>52761311.789999977</v>
      </c>
      <c r="T197" s="38"/>
      <c r="U197" s="504"/>
    </row>
    <row r="198" spans="1:21">
      <c r="A198" s="484"/>
      <c r="B198" s="80">
        <v>44500</v>
      </c>
      <c r="C198" s="80"/>
      <c r="D198" s="103"/>
      <c r="E198" s="490">
        <f t="shared" si="33"/>
        <v>52761311.789999977</v>
      </c>
      <c r="F198" s="491">
        <f t="shared" si="34"/>
        <v>141761311.78999987</v>
      </c>
      <c r="G198" s="70">
        <f t="shared" si="42"/>
        <v>141761311.7899999</v>
      </c>
      <c r="H198" s="269">
        <f t="shared" si="41"/>
        <v>590672.13245833281</v>
      </c>
      <c r="I198" s="70">
        <f t="shared" si="31"/>
        <v>-70880655.894999713</v>
      </c>
      <c r="J198" s="70">
        <f t="shared" si="35"/>
        <v>-67336623.100249752</v>
      </c>
      <c r="K198" s="70">
        <f t="shared" si="40"/>
        <v>74424688.68975015</v>
      </c>
      <c r="L198" s="814">
        <f t="shared" si="32"/>
        <v>70880655.89500016</v>
      </c>
      <c r="M198" s="814">
        <f t="shared" si="43"/>
        <v>46166.147816249977</v>
      </c>
      <c r="N198" s="70">
        <f t="shared" si="44"/>
        <v>-10648799.292615037</v>
      </c>
      <c r="O198" s="70">
        <f t="shared" si="38"/>
        <v>-10925796.179512538</v>
      </c>
      <c r="P198" s="492">
        <f t="shared" si="39"/>
        <v>63498892.510237612</v>
      </c>
      <c r="Q198" s="76"/>
      <c r="R198" s="67">
        <f t="shared" si="37"/>
        <v>60231856.602385119</v>
      </c>
      <c r="S198" s="348">
        <f>$E$79-(SUM($H$79:H198)*$U$75)</f>
        <v>52761311.789999977</v>
      </c>
      <c r="T198" s="38"/>
      <c r="U198" s="504"/>
    </row>
    <row r="199" spans="1:21">
      <c r="A199" s="484"/>
      <c r="B199" s="80">
        <v>44530</v>
      </c>
      <c r="C199" s="80"/>
      <c r="D199" s="103"/>
      <c r="E199" s="490">
        <f t="shared" si="33"/>
        <v>52761311.789999977</v>
      </c>
      <c r="F199" s="491">
        <f t="shared" si="34"/>
        <v>141761311.78999987</v>
      </c>
      <c r="G199" s="70">
        <f t="shared" si="42"/>
        <v>141761311.7899999</v>
      </c>
      <c r="H199" s="269">
        <f t="shared" si="41"/>
        <v>590672.13245833281</v>
      </c>
      <c r="I199" s="70">
        <f t="shared" si="31"/>
        <v>-71471328.027458042</v>
      </c>
      <c r="J199" s="70">
        <f t="shared" si="35"/>
        <v>-67927295.232708082</v>
      </c>
      <c r="K199" s="70">
        <f t="shared" si="40"/>
        <v>73834016.557291821</v>
      </c>
      <c r="L199" s="814">
        <f t="shared" si="32"/>
        <v>70289983.762541831</v>
      </c>
      <c r="M199" s="814">
        <f t="shared" si="43"/>
        <v>46166.147816249977</v>
      </c>
      <c r="N199" s="70">
        <f t="shared" si="44"/>
        <v>-10602633.144798787</v>
      </c>
      <c r="O199" s="70">
        <f t="shared" si="38"/>
        <v>-10879630.031696288</v>
      </c>
      <c r="P199" s="492">
        <f t="shared" si="39"/>
        <v>62954386.525595531</v>
      </c>
      <c r="Q199" s="76"/>
      <c r="R199" s="67">
        <f t="shared" si="37"/>
        <v>59687350.617743045</v>
      </c>
      <c r="S199" s="348">
        <f>$E$79-(SUM($H$79:H199)*$U$75)</f>
        <v>52761311.789999977</v>
      </c>
      <c r="T199" s="38"/>
      <c r="U199" s="504"/>
    </row>
    <row r="200" spans="1:21">
      <c r="A200" s="484"/>
      <c r="B200" s="80">
        <v>44561</v>
      </c>
      <c r="C200" s="80"/>
      <c r="D200" s="103"/>
      <c r="E200" s="490">
        <f t="shared" si="33"/>
        <v>52761311.789999977</v>
      </c>
      <c r="F200" s="491">
        <f t="shared" si="34"/>
        <v>141761311.78999987</v>
      </c>
      <c r="G200" s="70">
        <f t="shared" si="42"/>
        <v>141761311.7899999</v>
      </c>
      <c r="H200" s="269">
        <f t="shared" si="41"/>
        <v>590672.13245833281</v>
      </c>
      <c r="I200" s="70">
        <f t="shared" si="31"/>
        <v>-72062000.159916371</v>
      </c>
      <c r="J200" s="70">
        <f t="shared" si="35"/>
        <v>-68517967.365166411</v>
      </c>
      <c r="K200" s="70">
        <f t="shared" si="40"/>
        <v>73243344.424833491</v>
      </c>
      <c r="L200" s="814">
        <f t="shared" si="32"/>
        <v>69699311.630083501</v>
      </c>
      <c r="M200" s="814">
        <f t="shared" si="43"/>
        <v>46166.147816249977</v>
      </c>
      <c r="N200" s="70">
        <f>N199+M200</f>
        <v>-10556466.996982537</v>
      </c>
      <c r="O200" s="70">
        <f t="shared" si="38"/>
        <v>-10833463.883880038</v>
      </c>
      <c r="P200" s="492">
        <f t="shared" si="39"/>
        <v>62409880.540953457</v>
      </c>
      <c r="Q200" s="76"/>
      <c r="R200" s="67">
        <f t="shared" si="37"/>
        <v>59142844.633100964</v>
      </c>
      <c r="S200" s="348">
        <f>$E$79-(SUM($H$79:H200)*$U$75)</f>
        <v>52761311.789999977</v>
      </c>
      <c r="T200" s="38"/>
      <c r="U200" s="504"/>
    </row>
    <row r="201" spans="1:21">
      <c r="A201" s="484"/>
      <c r="B201" s="80">
        <v>44592</v>
      </c>
      <c r="C201" s="80"/>
      <c r="D201" s="103"/>
      <c r="E201" s="490">
        <f t="shared" si="33"/>
        <v>52761311.789999977</v>
      </c>
      <c r="F201" s="491">
        <f t="shared" si="34"/>
        <v>141761311.78999987</v>
      </c>
      <c r="G201" s="70">
        <f t="shared" si="42"/>
        <v>141761311.7899999</v>
      </c>
      <c r="H201" s="269">
        <f t="shared" si="41"/>
        <v>590672.13245833281</v>
      </c>
      <c r="I201" s="70">
        <f t="shared" si="31"/>
        <v>-72652672.2923747</v>
      </c>
      <c r="J201" s="70">
        <f t="shared" si="35"/>
        <v>-69108639.49762474</v>
      </c>
      <c r="K201" s="70">
        <f t="shared" si="40"/>
        <v>72652672.292375162</v>
      </c>
      <c r="L201" s="814">
        <f t="shared" si="32"/>
        <v>69108639.497625172</v>
      </c>
      <c r="M201" s="814">
        <f t="shared" si="43"/>
        <v>46166.147816249977</v>
      </c>
      <c r="N201" s="70">
        <f t="shared" si="44"/>
        <v>-10510300.849166287</v>
      </c>
      <c r="O201" s="70">
        <f t="shared" si="38"/>
        <v>-10787297.73606379</v>
      </c>
      <c r="P201" s="492">
        <f t="shared" si="39"/>
        <v>61865374.556311369</v>
      </c>
      <c r="Q201" s="76"/>
      <c r="R201" s="67">
        <f t="shared" si="37"/>
        <v>58598338.648458883</v>
      </c>
      <c r="S201" s="348">
        <f>$E$79-(SUM($H$79:H201)*$U$75)</f>
        <v>52761311.789999977</v>
      </c>
      <c r="T201" s="38"/>
      <c r="U201" s="504"/>
    </row>
    <row r="202" spans="1:21">
      <c r="A202" s="484"/>
      <c r="B202" s="80">
        <v>44620</v>
      </c>
      <c r="C202" s="80"/>
      <c r="D202" s="103"/>
      <c r="E202" s="490">
        <f t="shared" si="33"/>
        <v>52761311.789999977</v>
      </c>
      <c r="F202" s="491">
        <f t="shared" si="34"/>
        <v>141761311.78999987</v>
      </c>
      <c r="G202" s="70">
        <f t="shared" si="42"/>
        <v>141761311.7899999</v>
      </c>
      <c r="H202" s="269">
        <f t="shared" si="41"/>
        <v>590672.13245833281</v>
      </c>
      <c r="I202" s="70">
        <f t="shared" si="31"/>
        <v>-73243344.42483303</v>
      </c>
      <c r="J202" s="70">
        <f t="shared" si="35"/>
        <v>-69699311.630083069</v>
      </c>
      <c r="K202" s="70">
        <f t="shared" si="40"/>
        <v>72062000.159916833</v>
      </c>
      <c r="L202" s="814">
        <f t="shared" si="32"/>
        <v>68517967.365166843</v>
      </c>
      <c r="M202" s="814">
        <f t="shared" si="43"/>
        <v>46166.147816249977</v>
      </c>
      <c r="N202" s="70">
        <f t="shared" si="44"/>
        <v>-10464134.701350037</v>
      </c>
      <c r="O202" s="70">
        <f t="shared" si="38"/>
        <v>-10741131.588247539</v>
      </c>
      <c r="P202" s="492">
        <f t="shared" si="39"/>
        <v>61320868.571669295</v>
      </c>
      <c r="Q202" s="76"/>
      <c r="R202" s="67">
        <f t="shared" si="37"/>
        <v>58053832.66381681</v>
      </c>
      <c r="S202" s="348">
        <f>$E$79-(SUM($H$79:H202)*$U$75)</f>
        <v>52761311.789999977</v>
      </c>
      <c r="T202" s="38"/>
      <c r="U202" s="504"/>
    </row>
    <row r="203" spans="1:21">
      <c r="A203" s="484"/>
      <c r="B203" s="80">
        <v>44651</v>
      </c>
      <c r="C203" s="80"/>
      <c r="D203" s="103"/>
      <c r="E203" s="490">
        <f t="shared" si="33"/>
        <v>52761311.789999977</v>
      </c>
      <c r="F203" s="491">
        <f t="shared" si="34"/>
        <v>141761311.78999987</v>
      </c>
      <c r="G203" s="70">
        <f t="shared" si="42"/>
        <v>141761311.7899999</v>
      </c>
      <c r="H203" s="269">
        <f t="shared" si="41"/>
        <v>590672.13245833281</v>
      </c>
      <c r="I203" s="70">
        <f t="shared" ref="I203:I266" si="45">I202-H203</f>
        <v>-73834016.557291359</v>
      </c>
      <c r="J203" s="70">
        <f t="shared" si="35"/>
        <v>-70289983.762541398</v>
      </c>
      <c r="K203" s="70">
        <f t="shared" si="40"/>
        <v>71471328.027458504</v>
      </c>
      <c r="L203" s="814">
        <f t="shared" si="32"/>
        <v>67927295.232708514</v>
      </c>
      <c r="M203" s="814">
        <f t="shared" si="43"/>
        <v>46166.147816249977</v>
      </c>
      <c r="N203" s="70">
        <f t="shared" si="44"/>
        <v>-10417968.553533787</v>
      </c>
      <c r="O203" s="70">
        <f t="shared" si="38"/>
        <v>-10694965.440431288</v>
      </c>
      <c r="P203" s="492">
        <f t="shared" si="39"/>
        <v>60776362.587027214</v>
      </c>
      <c r="Q203" s="76"/>
      <c r="R203" s="67">
        <f t="shared" si="37"/>
        <v>57509326.679174729</v>
      </c>
      <c r="S203" s="348">
        <f>$E$79-(SUM($H$79:H203)*$U$75)</f>
        <v>52761311.789999977</v>
      </c>
      <c r="T203" s="38"/>
      <c r="U203" s="504"/>
    </row>
    <row r="204" spans="1:21">
      <c r="A204" s="484"/>
      <c r="B204" s="80">
        <v>44681</v>
      </c>
      <c r="C204" s="80"/>
      <c r="D204" s="103"/>
      <c r="E204" s="490">
        <f t="shared" si="33"/>
        <v>52761311.789999977</v>
      </c>
      <c r="F204" s="491">
        <f t="shared" si="34"/>
        <v>141761311.78999987</v>
      </c>
      <c r="G204" s="70">
        <f t="shared" si="42"/>
        <v>141761311.7899999</v>
      </c>
      <c r="H204" s="269">
        <f t="shared" si="41"/>
        <v>590672.13245833281</v>
      </c>
      <c r="I204" s="70">
        <f t="shared" si="45"/>
        <v>-74424688.689749688</v>
      </c>
      <c r="J204" s="70">
        <f t="shared" si="35"/>
        <v>-70880655.894999728</v>
      </c>
      <c r="K204" s="70">
        <f t="shared" si="40"/>
        <v>70880655.895000175</v>
      </c>
      <c r="L204" s="814">
        <f t="shared" si="32"/>
        <v>67336623.100250185</v>
      </c>
      <c r="M204" s="814">
        <f t="shared" si="43"/>
        <v>46166.147816249977</v>
      </c>
      <c r="N204" s="70">
        <f t="shared" si="44"/>
        <v>-10371802.405717537</v>
      </c>
      <c r="O204" s="70">
        <f t="shared" si="38"/>
        <v>-10648799.292615039</v>
      </c>
      <c r="P204" s="492">
        <f t="shared" si="39"/>
        <v>60231856.602385134</v>
      </c>
      <c r="Q204" s="76"/>
      <c r="R204" s="67">
        <f t="shared" si="37"/>
        <v>56964820.694532648</v>
      </c>
      <c r="S204" s="348">
        <f>$E$79-(SUM($H$79:H204)*$U$75)</f>
        <v>52761311.789999977</v>
      </c>
      <c r="T204" s="38"/>
      <c r="U204" s="504"/>
    </row>
    <row r="205" spans="1:21">
      <c r="A205" s="484"/>
      <c r="B205" s="80">
        <v>44712</v>
      </c>
      <c r="C205" s="80"/>
      <c r="D205" s="103"/>
      <c r="E205" s="490">
        <f t="shared" si="33"/>
        <v>52761311.789999977</v>
      </c>
      <c r="F205" s="491">
        <f t="shared" si="34"/>
        <v>141761311.78999987</v>
      </c>
      <c r="G205" s="70">
        <f t="shared" si="42"/>
        <v>141761311.7899999</v>
      </c>
      <c r="H205" s="269">
        <f t="shared" si="41"/>
        <v>590672.13245833281</v>
      </c>
      <c r="I205" s="70">
        <f t="shared" si="45"/>
        <v>-75015360.822208017</v>
      </c>
      <c r="J205" s="70">
        <f t="shared" si="35"/>
        <v>-71471328.027458057</v>
      </c>
      <c r="K205" s="70">
        <f t="shared" si="40"/>
        <v>70289983.762541845</v>
      </c>
      <c r="L205" s="814">
        <f t="shared" ref="L205:L268" si="46">F205+I205</f>
        <v>66745950.967791855</v>
      </c>
      <c r="M205" s="814">
        <f t="shared" si="43"/>
        <v>46166.147816249977</v>
      </c>
      <c r="N205" s="70">
        <f t="shared" si="44"/>
        <v>-10325636.257901287</v>
      </c>
      <c r="O205" s="70">
        <f t="shared" si="38"/>
        <v>-10602633.144798787</v>
      </c>
      <c r="P205" s="492">
        <f t="shared" si="39"/>
        <v>59687350.61774306</v>
      </c>
      <c r="Q205" s="76"/>
      <c r="R205" s="67">
        <f t="shared" si="37"/>
        <v>56420314.709890567</v>
      </c>
      <c r="S205" s="348">
        <f>$E$79-(SUM($H$79:H205)*$U$75)</f>
        <v>52761311.789999977</v>
      </c>
      <c r="T205" s="38"/>
      <c r="U205" s="504"/>
    </row>
    <row r="206" spans="1:21">
      <c r="A206" s="484"/>
      <c r="B206" s="80">
        <v>44742</v>
      </c>
      <c r="C206" s="37"/>
      <c r="D206" s="103"/>
      <c r="E206" s="490">
        <f t="shared" ref="E206:E269" si="47">D206+E205</f>
        <v>52761311.789999977</v>
      </c>
      <c r="F206" s="491">
        <f t="shared" ref="F206:F269" si="48">F205+D206</f>
        <v>141761311.78999987</v>
      </c>
      <c r="G206" s="70">
        <f t="shared" si="42"/>
        <v>141761311.7899999</v>
      </c>
      <c r="H206" s="269">
        <f t="shared" si="41"/>
        <v>590672.13245833281</v>
      </c>
      <c r="I206" s="70">
        <f t="shared" si="45"/>
        <v>-75606032.954666346</v>
      </c>
      <c r="J206" s="70">
        <f t="shared" si="35"/>
        <v>-72062000.159916386</v>
      </c>
      <c r="K206" s="70">
        <f t="shared" si="40"/>
        <v>69699311.630083516</v>
      </c>
      <c r="L206" s="814">
        <f t="shared" si="46"/>
        <v>66155278.835333526</v>
      </c>
      <c r="M206" s="814">
        <f t="shared" si="43"/>
        <v>46166.147816249977</v>
      </c>
      <c r="N206" s="70">
        <f t="shared" si="44"/>
        <v>-10279470.110085037</v>
      </c>
      <c r="O206" s="70">
        <f t="shared" si="38"/>
        <v>-10556466.996982537</v>
      </c>
      <c r="P206" s="492">
        <f t="shared" si="39"/>
        <v>59142844.633100979</v>
      </c>
      <c r="R206" s="67">
        <f t="shared" si="37"/>
        <v>55875808.725248486</v>
      </c>
      <c r="S206" s="348">
        <f>$E$79-(SUM($H$79:H206)*$U$75)</f>
        <v>52761311.789999977</v>
      </c>
      <c r="T206" s="38"/>
      <c r="U206" s="504"/>
    </row>
    <row r="207" spans="1:21">
      <c r="A207" s="484"/>
      <c r="B207" s="80">
        <v>44773</v>
      </c>
      <c r="C207" s="37"/>
      <c r="D207" s="103"/>
      <c r="E207" s="490">
        <f t="shared" si="47"/>
        <v>52761311.789999977</v>
      </c>
      <c r="F207" s="491">
        <f t="shared" si="48"/>
        <v>141761311.78999987</v>
      </c>
      <c r="G207" s="70">
        <f t="shared" si="42"/>
        <v>141761311.7899999</v>
      </c>
      <c r="H207" s="269">
        <f t="shared" si="41"/>
        <v>590672.13245833281</v>
      </c>
      <c r="I207" s="70">
        <f t="shared" si="45"/>
        <v>-76196705.087124676</v>
      </c>
      <c r="J207" s="70">
        <f t="shared" si="35"/>
        <v>-72652672.292374715</v>
      </c>
      <c r="K207" s="70">
        <f t="shared" si="40"/>
        <v>69108639.497625187</v>
      </c>
      <c r="L207" s="814">
        <f t="shared" si="46"/>
        <v>65564606.702875197</v>
      </c>
      <c r="M207" s="814">
        <f t="shared" si="43"/>
        <v>46166.147816249977</v>
      </c>
      <c r="N207" s="70">
        <f t="shared" si="44"/>
        <v>-10233303.962268787</v>
      </c>
      <c r="O207" s="70">
        <f t="shared" si="38"/>
        <v>-10510300.849166287</v>
      </c>
      <c r="P207" s="492">
        <f t="shared" si="39"/>
        <v>58598338.648458898</v>
      </c>
      <c r="R207" s="67">
        <f t="shared" si="37"/>
        <v>55331302.740606412</v>
      </c>
      <c r="S207" s="348">
        <f>$E$79-(SUM($H$79:H207)*$U$75)</f>
        <v>52761311.789999977</v>
      </c>
      <c r="T207" s="38"/>
      <c r="U207" s="504"/>
    </row>
    <row r="208" spans="1:21">
      <c r="A208" s="484"/>
      <c r="B208" s="80">
        <v>44804</v>
      </c>
      <c r="C208" s="37"/>
      <c r="D208" s="103"/>
      <c r="E208" s="490">
        <f t="shared" si="47"/>
        <v>52761311.789999977</v>
      </c>
      <c r="F208" s="491">
        <f t="shared" si="48"/>
        <v>141761311.78999987</v>
      </c>
      <c r="G208" s="70">
        <f t="shared" si="42"/>
        <v>141761311.7899999</v>
      </c>
      <c r="H208" s="269">
        <f t="shared" si="41"/>
        <v>590672.13245833281</v>
      </c>
      <c r="I208" s="70">
        <f t="shared" si="45"/>
        <v>-76787377.219583005</v>
      </c>
      <c r="J208" s="70">
        <f t="shared" ref="J208:J271" si="49">(I196+I208+SUM(I197:I207)*2)/24</f>
        <v>-73243344.424833044</v>
      </c>
      <c r="K208" s="70">
        <f t="shared" si="40"/>
        <v>68517967.365166858</v>
      </c>
      <c r="L208" s="814">
        <f t="shared" si="46"/>
        <v>64973934.570416868</v>
      </c>
      <c r="M208" s="814">
        <f t="shared" si="43"/>
        <v>46166.147816249977</v>
      </c>
      <c r="N208" s="70">
        <f t="shared" si="44"/>
        <v>-10187137.814452536</v>
      </c>
      <c r="O208" s="70">
        <f t="shared" si="38"/>
        <v>-10464134.701350037</v>
      </c>
      <c r="P208" s="492">
        <f t="shared" si="39"/>
        <v>58053832.663816825</v>
      </c>
      <c r="R208" s="67">
        <f t="shared" si="37"/>
        <v>54786796.755964331</v>
      </c>
      <c r="S208" s="348">
        <f>$E$79-(SUM($H$79:H208)*$U$75)</f>
        <v>52761311.789999977</v>
      </c>
      <c r="T208" s="38"/>
      <c r="U208" s="504"/>
    </row>
    <row r="209" spans="1:21">
      <c r="A209" s="484"/>
      <c r="B209" s="80">
        <v>44834</v>
      </c>
      <c r="C209" s="37"/>
      <c r="D209" s="103"/>
      <c r="E209" s="490">
        <f t="shared" si="47"/>
        <v>52761311.789999977</v>
      </c>
      <c r="F209" s="491">
        <f t="shared" si="48"/>
        <v>141761311.78999987</v>
      </c>
      <c r="G209" s="70">
        <f t="shared" si="42"/>
        <v>141761311.7899999</v>
      </c>
      <c r="H209" s="269">
        <f t="shared" si="41"/>
        <v>590672.13245833281</v>
      </c>
      <c r="I209" s="70">
        <f t="shared" si="45"/>
        <v>-77378049.352041334</v>
      </c>
      <c r="J209" s="70">
        <f t="shared" si="49"/>
        <v>-73834016.557291374</v>
      </c>
      <c r="K209" s="70">
        <f t="shared" si="40"/>
        <v>67927295.232708529</v>
      </c>
      <c r="L209" s="814">
        <f t="shared" si="46"/>
        <v>64383262.437958539</v>
      </c>
      <c r="M209" s="814">
        <f t="shared" si="43"/>
        <v>46166.147816249977</v>
      </c>
      <c r="N209" s="70">
        <f t="shared" si="44"/>
        <v>-10140971.666636286</v>
      </c>
      <c r="O209" s="70">
        <f t="shared" si="38"/>
        <v>-10417968.553533787</v>
      </c>
      <c r="P209" s="492">
        <f t="shared" si="39"/>
        <v>57509326.679174744</v>
      </c>
      <c r="R209" s="67">
        <f t="shared" ref="R209:R237" si="50">F209+I209+N209</f>
        <v>54242290.77132225</v>
      </c>
      <c r="S209" s="348">
        <f>$E$79-(SUM($H$79:H209)*$U$75)</f>
        <v>52761311.789999977</v>
      </c>
      <c r="T209" s="38"/>
      <c r="U209" s="504"/>
    </row>
    <row r="210" spans="1:21">
      <c r="A210" s="484"/>
      <c r="B210" s="80">
        <v>44865</v>
      </c>
      <c r="C210" s="37"/>
      <c r="D210" s="103"/>
      <c r="E210" s="490">
        <f t="shared" si="47"/>
        <v>52761311.789999977</v>
      </c>
      <c r="F210" s="491">
        <f t="shared" si="48"/>
        <v>141761311.78999987</v>
      </c>
      <c r="G210" s="70">
        <f t="shared" si="42"/>
        <v>141761311.7899999</v>
      </c>
      <c r="H210" s="269">
        <f t="shared" si="41"/>
        <v>590672.13245833281</v>
      </c>
      <c r="I210" s="70">
        <f t="shared" si="45"/>
        <v>-77968721.484499663</v>
      </c>
      <c r="J210" s="70">
        <f t="shared" si="49"/>
        <v>-74424688.689749703</v>
      </c>
      <c r="K210" s="70">
        <f t="shared" si="40"/>
        <v>67336623.100250199</v>
      </c>
      <c r="L210" s="814">
        <f t="shared" si="46"/>
        <v>63792590.305500209</v>
      </c>
      <c r="M210" s="814">
        <f t="shared" si="43"/>
        <v>46166.147816249977</v>
      </c>
      <c r="N210" s="70">
        <f t="shared" si="44"/>
        <v>-10094805.518820036</v>
      </c>
      <c r="O210" s="70">
        <f t="shared" si="38"/>
        <v>-10371802.405717539</v>
      </c>
      <c r="P210" s="492">
        <f t="shared" si="39"/>
        <v>56964820.694532663</v>
      </c>
      <c r="R210" s="67">
        <f t="shared" si="50"/>
        <v>53697784.786680177</v>
      </c>
      <c r="S210" s="348">
        <f>$E$79-(SUM($H$79:H210)*$U$75)</f>
        <v>52761311.789999977</v>
      </c>
      <c r="T210" s="38"/>
      <c r="U210" s="504"/>
    </row>
    <row r="211" spans="1:21">
      <c r="A211" s="484"/>
      <c r="B211" s="80">
        <v>44895</v>
      </c>
      <c r="C211" s="37"/>
      <c r="D211" s="103"/>
      <c r="E211" s="490">
        <f t="shared" si="47"/>
        <v>52761311.789999977</v>
      </c>
      <c r="F211" s="491">
        <f t="shared" si="48"/>
        <v>141761311.78999987</v>
      </c>
      <c r="G211" s="70">
        <f t="shared" si="42"/>
        <v>141761311.7899999</v>
      </c>
      <c r="H211" s="269">
        <f t="shared" si="41"/>
        <v>590672.13245833281</v>
      </c>
      <c r="I211" s="70">
        <f t="shared" si="45"/>
        <v>-78559393.616957992</v>
      </c>
      <c r="J211" s="70">
        <f t="shared" si="49"/>
        <v>-75015360.822208032</v>
      </c>
      <c r="K211" s="70">
        <f t="shared" si="40"/>
        <v>66745950.96779187</v>
      </c>
      <c r="L211" s="814">
        <f t="shared" si="46"/>
        <v>63201918.17304188</v>
      </c>
      <c r="M211" s="814">
        <f t="shared" si="43"/>
        <v>46166.147816249977</v>
      </c>
      <c r="N211" s="70">
        <f t="shared" si="44"/>
        <v>-10048639.371003786</v>
      </c>
      <c r="O211" s="70">
        <f t="shared" si="38"/>
        <v>-10325636.257901287</v>
      </c>
      <c r="P211" s="492">
        <f t="shared" si="39"/>
        <v>56420314.709890582</v>
      </c>
      <c r="R211" s="67">
        <f t="shared" si="50"/>
        <v>53153278.802038096</v>
      </c>
      <c r="S211" s="348">
        <f>$E$79-(SUM($H$79:H211)*$U$75)</f>
        <v>52761311.789999977</v>
      </c>
      <c r="T211" s="38"/>
      <c r="U211" s="504"/>
    </row>
    <row r="212" spans="1:21">
      <c r="A212" s="484"/>
      <c r="B212" s="80">
        <v>44926</v>
      </c>
      <c r="C212" s="37"/>
      <c r="D212" s="103"/>
      <c r="E212" s="490">
        <f t="shared" si="47"/>
        <v>52761311.789999977</v>
      </c>
      <c r="F212" s="491">
        <f t="shared" si="48"/>
        <v>141761311.78999987</v>
      </c>
      <c r="G212" s="70">
        <f t="shared" si="42"/>
        <v>141761311.7899999</v>
      </c>
      <c r="H212" s="269">
        <f t="shared" si="41"/>
        <v>590672.13245833281</v>
      </c>
      <c r="I212" s="70">
        <f t="shared" si="45"/>
        <v>-79150065.749416322</v>
      </c>
      <c r="J212" s="70">
        <f t="shared" si="49"/>
        <v>-75606032.954666361</v>
      </c>
      <c r="K212" s="70">
        <f t="shared" si="40"/>
        <v>66155278.835333541</v>
      </c>
      <c r="L212" s="814">
        <f t="shared" si="46"/>
        <v>62611246.040583551</v>
      </c>
      <c r="M212" s="814">
        <f t="shared" si="43"/>
        <v>46166.147816249977</v>
      </c>
      <c r="N212" s="70">
        <f t="shared" si="44"/>
        <v>-10002473.223187536</v>
      </c>
      <c r="O212" s="70">
        <f t="shared" ref="O212:O268" si="51">(N200+N212+SUM(N201:N211)*2)/24</f>
        <v>-10279470.110085038</v>
      </c>
      <c r="P212" s="492">
        <f t="shared" ref="P212:P268" si="52">O212+K212</f>
        <v>55875808.725248501</v>
      </c>
      <c r="R212" s="67">
        <f t="shared" si="50"/>
        <v>52608772.817396015</v>
      </c>
      <c r="S212" s="348">
        <f>$E$79-(SUM($H$79:H212)*$U$75)</f>
        <v>52761311.789999977</v>
      </c>
      <c r="T212" s="38"/>
      <c r="U212" s="504"/>
    </row>
    <row r="213" spans="1:21">
      <c r="A213" s="484"/>
      <c r="B213" s="80">
        <v>44957</v>
      </c>
      <c r="C213" s="37"/>
      <c r="D213" s="103"/>
      <c r="E213" s="490">
        <f t="shared" si="47"/>
        <v>52761311.789999977</v>
      </c>
      <c r="F213" s="491">
        <f t="shared" si="48"/>
        <v>141761311.78999987</v>
      </c>
      <c r="G213" s="70">
        <f t="shared" si="42"/>
        <v>141761311.7899999</v>
      </c>
      <c r="H213" s="269">
        <f t="shared" si="41"/>
        <v>590672.13245833281</v>
      </c>
      <c r="I213" s="70">
        <f t="shared" si="45"/>
        <v>-79740737.881874651</v>
      </c>
      <c r="J213" s="70">
        <f t="shared" si="49"/>
        <v>-76196705.08712469</v>
      </c>
      <c r="K213" s="70">
        <f t="shared" ref="K213:K276" si="53">G213+J213</f>
        <v>65564606.702875212</v>
      </c>
      <c r="L213" s="814">
        <f t="shared" si="46"/>
        <v>62020573.908125222</v>
      </c>
      <c r="M213" s="814">
        <f t="shared" si="43"/>
        <v>46166.147816249977</v>
      </c>
      <c r="N213" s="70">
        <f t="shared" si="44"/>
        <v>-9956307.0753712859</v>
      </c>
      <c r="O213" s="70">
        <f t="shared" si="51"/>
        <v>-10233303.962268787</v>
      </c>
      <c r="P213" s="492">
        <f t="shared" si="52"/>
        <v>55331302.740606427</v>
      </c>
      <c r="R213" s="67">
        <f t="shared" si="50"/>
        <v>52064266.832753934</v>
      </c>
      <c r="S213" s="348">
        <f>$E$79-(SUM($H$79:H213)*$U$75)</f>
        <v>52761311.789999977</v>
      </c>
      <c r="T213" s="38"/>
      <c r="U213" s="504"/>
    </row>
    <row r="214" spans="1:21">
      <c r="A214" s="484"/>
      <c r="B214" s="80">
        <v>44985</v>
      </c>
      <c r="C214" s="37"/>
      <c r="D214" s="103"/>
      <c r="E214" s="490">
        <f t="shared" si="47"/>
        <v>52761311.789999977</v>
      </c>
      <c r="F214" s="491">
        <f t="shared" si="48"/>
        <v>141761311.78999987</v>
      </c>
      <c r="G214" s="70">
        <f t="shared" si="42"/>
        <v>141761311.7899999</v>
      </c>
      <c r="H214" s="269">
        <f t="shared" si="41"/>
        <v>590672.13245833281</v>
      </c>
      <c r="I214" s="70">
        <f t="shared" si="45"/>
        <v>-80331410.01433298</v>
      </c>
      <c r="J214" s="70">
        <f t="shared" si="49"/>
        <v>-76787377.21958302</v>
      </c>
      <c r="K214" s="70">
        <f t="shared" si="53"/>
        <v>64973934.570416883</v>
      </c>
      <c r="L214" s="814">
        <f t="shared" si="46"/>
        <v>61429901.775666893</v>
      </c>
      <c r="M214" s="814">
        <f t="shared" si="43"/>
        <v>46166.147816249977</v>
      </c>
      <c r="N214" s="70">
        <f t="shared" si="44"/>
        <v>-9910140.9275550358</v>
      </c>
      <c r="O214" s="70">
        <f t="shared" si="51"/>
        <v>-10187137.814452536</v>
      </c>
      <c r="P214" s="492">
        <f t="shared" si="52"/>
        <v>54786796.755964346</v>
      </c>
      <c r="R214" s="67">
        <f t="shared" si="50"/>
        <v>51519760.848111853</v>
      </c>
      <c r="S214" s="348">
        <f>$E$79-(SUM($H$79:H214)*$U$75)</f>
        <v>52761311.789999977</v>
      </c>
      <c r="T214" s="38"/>
      <c r="U214" s="504"/>
    </row>
    <row r="215" spans="1:21">
      <c r="A215" s="484"/>
      <c r="B215" s="80">
        <v>45016</v>
      </c>
      <c r="C215" s="37"/>
      <c r="D215" s="103"/>
      <c r="E215" s="490">
        <f t="shared" si="47"/>
        <v>52761311.789999977</v>
      </c>
      <c r="F215" s="491">
        <f t="shared" si="48"/>
        <v>141761311.78999987</v>
      </c>
      <c r="G215" s="70">
        <f t="shared" si="42"/>
        <v>141761311.7899999</v>
      </c>
      <c r="H215" s="269">
        <f t="shared" ref="H215:H278" si="54">F214/240</f>
        <v>590672.13245833281</v>
      </c>
      <c r="I215" s="70">
        <f t="shared" si="45"/>
        <v>-80922082.146791309</v>
      </c>
      <c r="J215" s="70">
        <f t="shared" si="49"/>
        <v>-77378049.352041349</v>
      </c>
      <c r="K215" s="70">
        <f t="shared" si="53"/>
        <v>64383262.437958553</v>
      </c>
      <c r="L215" s="814">
        <f t="shared" si="46"/>
        <v>60839229.643208563</v>
      </c>
      <c r="M215" s="814">
        <f t="shared" si="43"/>
        <v>46166.147816249977</v>
      </c>
      <c r="N215" s="70">
        <f t="shared" si="44"/>
        <v>-9863974.7797387857</v>
      </c>
      <c r="O215" s="70">
        <f t="shared" si="51"/>
        <v>-10140971.666636286</v>
      </c>
      <c r="P215" s="492">
        <f t="shared" si="52"/>
        <v>54242290.771322265</v>
      </c>
      <c r="R215" s="67">
        <f t="shared" si="50"/>
        <v>50975254.863469779</v>
      </c>
      <c r="S215" s="348">
        <f>$E$79-(SUM($H$79:H215)*$U$75)</f>
        <v>52761311.789999977</v>
      </c>
      <c r="T215" s="38"/>
      <c r="U215" s="504"/>
    </row>
    <row r="216" spans="1:21">
      <c r="A216" s="484"/>
      <c r="B216" s="80">
        <v>45046</v>
      </c>
      <c r="C216" s="37"/>
      <c r="D216" s="103"/>
      <c r="E216" s="490">
        <f t="shared" si="47"/>
        <v>52761311.789999977</v>
      </c>
      <c r="F216" s="491">
        <f t="shared" si="48"/>
        <v>141761311.78999987</v>
      </c>
      <c r="G216" s="70">
        <f t="shared" si="42"/>
        <v>141761311.7899999</v>
      </c>
      <c r="H216" s="269">
        <f t="shared" si="54"/>
        <v>590672.13245833281</v>
      </c>
      <c r="I216" s="70">
        <f t="shared" si="45"/>
        <v>-81512754.279249638</v>
      </c>
      <c r="J216" s="70">
        <f t="shared" si="49"/>
        <v>-77968721.484499678</v>
      </c>
      <c r="K216" s="70">
        <f t="shared" si="53"/>
        <v>63792590.305500224</v>
      </c>
      <c r="L216" s="814">
        <f t="shared" si="46"/>
        <v>60248557.510750234</v>
      </c>
      <c r="M216" s="814">
        <f t="shared" si="43"/>
        <v>46166.147816249977</v>
      </c>
      <c r="N216" s="70">
        <f t="shared" si="44"/>
        <v>-9817808.6319225356</v>
      </c>
      <c r="O216" s="70">
        <f t="shared" si="51"/>
        <v>-10094805.518820036</v>
      </c>
      <c r="P216" s="492">
        <f t="shared" si="52"/>
        <v>53697784.786680192</v>
      </c>
      <c r="R216" s="67">
        <f t="shared" si="50"/>
        <v>50430748.878827699</v>
      </c>
      <c r="S216" s="348">
        <f>$E$79-(SUM($H$79:H216)*$U$75)</f>
        <v>52761311.789999977</v>
      </c>
      <c r="T216" s="38"/>
      <c r="U216" s="504"/>
    </row>
    <row r="217" spans="1:21">
      <c r="A217" s="484"/>
      <c r="B217" s="80">
        <v>45077</v>
      </c>
      <c r="C217" s="37"/>
      <c r="D217" s="103"/>
      <c r="E217" s="490">
        <f t="shared" si="47"/>
        <v>52761311.789999977</v>
      </c>
      <c r="F217" s="491">
        <f t="shared" si="48"/>
        <v>141761311.78999987</v>
      </c>
      <c r="G217" s="70">
        <f t="shared" ref="G217:G280" si="55">(F205+F217+SUM(F206:F216)*2)/24</f>
        <v>141761311.7899999</v>
      </c>
      <c r="H217" s="269">
        <f t="shared" si="54"/>
        <v>590672.13245833281</v>
      </c>
      <c r="I217" s="70">
        <f t="shared" si="45"/>
        <v>-82103426.411707968</v>
      </c>
      <c r="J217" s="70">
        <f t="shared" si="49"/>
        <v>-78559393.616958007</v>
      </c>
      <c r="K217" s="70">
        <f t="shared" si="53"/>
        <v>63201918.173041895</v>
      </c>
      <c r="L217" s="814">
        <f t="shared" si="46"/>
        <v>59657885.378291905</v>
      </c>
      <c r="M217" s="814">
        <f t="shared" si="43"/>
        <v>46166.147816249977</v>
      </c>
      <c r="N217" s="70">
        <f t="shared" si="44"/>
        <v>-9771642.4841062855</v>
      </c>
      <c r="O217" s="70">
        <f t="shared" si="51"/>
        <v>-10048639.371003788</v>
      </c>
      <c r="P217" s="492">
        <f t="shared" si="52"/>
        <v>53153278.802038103</v>
      </c>
      <c r="R217" s="67">
        <f t="shared" si="50"/>
        <v>49886242.894185618</v>
      </c>
      <c r="S217" s="348">
        <f>$E$79-(SUM($H$79:H217)*$U$75)</f>
        <v>52761311.789999977</v>
      </c>
      <c r="T217" s="38"/>
      <c r="U217" s="504"/>
    </row>
    <row r="218" spans="1:21">
      <c r="A218" s="484"/>
      <c r="B218" s="80">
        <v>45107</v>
      </c>
      <c r="C218" s="37"/>
      <c r="D218" s="103"/>
      <c r="E218" s="490">
        <f t="shared" si="47"/>
        <v>52761311.789999977</v>
      </c>
      <c r="F218" s="491">
        <f t="shared" si="48"/>
        <v>141761311.78999987</v>
      </c>
      <c r="G218" s="70">
        <f t="shared" si="55"/>
        <v>141761311.7899999</v>
      </c>
      <c r="H218" s="269">
        <f t="shared" si="54"/>
        <v>590672.13245833281</v>
      </c>
      <c r="I218" s="70">
        <f t="shared" si="45"/>
        <v>-82694098.544166297</v>
      </c>
      <c r="J218" s="70">
        <f t="shared" si="49"/>
        <v>-79150065.749416336</v>
      </c>
      <c r="K218" s="70">
        <f t="shared" si="53"/>
        <v>62611246.040583566</v>
      </c>
      <c r="L218" s="814">
        <f t="shared" si="46"/>
        <v>59067213.245833576</v>
      </c>
      <c r="M218" s="814">
        <f t="shared" ref="M218:M281" si="56">(E218/240*0.21)</f>
        <v>46166.147816249977</v>
      </c>
      <c r="N218" s="70">
        <f t="shared" si="44"/>
        <v>-9725476.3362900354</v>
      </c>
      <c r="O218" s="70">
        <f t="shared" si="51"/>
        <v>-10002473.223187538</v>
      </c>
      <c r="P218" s="492">
        <f t="shared" si="52"/>
        <v>52608772.81739603</v>
      </c>
      <c r="R218" s="67">
        <f t="shared" si="50"/>
        <v>49341736.909543544</v>
      </c>
      <c r="S218" s="348">
        <f>$E$79-(SUM($H$79:H218)*$U$75)</f>
        <v>52761311.789999977</v>
      </c>
      <c r="T218" s="38"/>
      <c r="U218" s="504"/>
    </row>
    <row r="219" spans="1:21">
      <c r="A219" s="484"/>
      <c r="B219" s="80">
        <v>45138</v>
      </c>
      <c r="C219" s="37"/>
      <c r="D219" s="103"/>
      <c r="E219" s="490">
        <f t="shared" si="47"/>
        <v>52761311.789999977</v>
      </c>
      <c r="F219" s="491">
        <f t="shared" si="48"/>
        <v>141761311.78999987</v>
      </c>
      <c r="G219" s="70">
        <f t="shared" si="55"/>
        <v>141761311.7899999</v>
      </c>
      <c r="H219" s="269">
        <f t="shared" si="54"/>
        <v>590672.13245833281</v>
      </c>
      <c r="I219" s="70">
        <f t="shared" si="45"/>
        <v>-83284770.676624626</v>
      </c>
      <c r="J219" s="70">
        <f t="shared" si="49"/>
        <v>-79740737.881874666</v>
      </c>
      <c r="K219" s="70">
        <f t="shared" si="53"/>
        <v>62020573.908125237</v>
      </c>
      <c r="L219" s="814">
        <f t="shared" si="46"/>
        <v>58476541.113375247</v>
      </c>
      <c r="M219" s="814">
        <f t="shared" si="56"/>
        <v>46166.147816249977</v>
      </c>
      <c r="N219" s="70">
        <f t="shared" si="44"/>
        <v>-9679310.1884737853</v>
      </c>
      <c r="O219" s="70">
        <f t="shared" si="51"/>
        <v>-9956307.0753712859</v>
      </c>
      <c r="P219" s="492">
        <f t="shared" si="52"/>
        <v>52064266.832753949</v>
      </c>
      <c r="R219" s="67">
        <f t="shared" si="50"/>
        <v>48797230.924901463</v>
      </c>
      <c r="S219" s="348">
        <f>$E$79-(SUM($H$79:H219)*$U$75)</f>
        <v>52761311.789999977</v>
      </c>
      <c r="T219" s="38"/>
      <c r="U219" s="504"/>
    </row>
    <row r="220" spans="1:21">
      <c r="A220" s="484"/>
      <c r="B220" s="80">
        <v>45169</v>
      </c>
      <c r="C220" s="37"/>
      <c r="D220" s="103"/>
      <c r="E220" s="490">
        <f t="shared" si="47"/>
        <v>52761311.789999977</v>
      </c>
      <c r="F220" s="491">
        <f t="shared" si="48"/>
        <v>141761311.78999987</v>
      </c>
      <c r="G220" s="70">
        <f t="shared" si="55"/>
        <v>141761311.7899999</v>
      </c>
      <c r="H220" s="269">
        <f t="shared" si="54"/>
        <v>590672.13245833281</v>
      </c>
      <c r="I220" s="70">
        <f t="shared" si="45"/>
        <v>-83875442.809082955</v>
      </c>
      <c r="J220" s="70">
        <f t="shared" si="49"/>
        <v>-80331410.014332995</v>
      </c>
      <c r="K220" s="70">
        <f t="shared" si="53"/>
        <v>61429901.775666907</v>
      </c>
      <c r="L220" s="814">
        <f t="shared" si="46"/>
        <v>57885868.980916917</v>
      </c>
      <c r="M220" s="814">
        <f t="shared" si="56"/>
        <v>46166.147816249977</v>
      </c>
      <c r="N220" s="70">
        <f t="shared" si="44"/>
        <v>-9633144.0406575352</v>
      </c>
      <c r="O220" s="70">
        <f t="shared" si="51"/>
        <v>-9910140.9275550377</v>
      </c>
      <c r="P220" s="492">
        <f t="shared" si="52"/>
        <v>51519760.848111868</v>
      </c>
      <c r="R220" s="67">
        <f t="shared" si="50"/>
        <v>48252724.940259382</v>
      </c>
      <c r="S220" s="348">
        <f>$E$79-(SUM($H$79:H220)*$U$75)</f>
        <v>52761311.789999977</v>
      </c>
      <c r="T220" s="38"/>
      <c r="U220" s="504"/>
    </row>
    <row r="221" spans="1:21">
      <c r="A221" s="484"/>
      <c r="B221" s="80">
        <v>45199</v>
      </c>
      <c r="C221" s="37"/>
      <c r="D221" s="103"/>
      <c r="E221" s="490">
        <f t="shared" si="47"/>
        <v>52761311.789999977</v>
      </c>
      <c r="F221" s="491">
        <f t="shared" si="48"/>
        <v>141761311.78999987</v>
      </c>
      <c r="G221" s="70">
        <f t="shared" si="55"/>
        <v>141761311.7899999</v>
      </c>
      <c r="H221" s="269">
        <f t="shared" si="54"/>
        <v>590672.13245833281</v>
      </c>
      <c r="I221" s="70">
        <f t="shared" si="45"/>
        <v>-84466114.941541284</v>
      </c>
      <c r="J221" s="70">
        <f t="shared" si="49"/>
        <v>-80922082.146791324</v>
      </c>
      <c r="K221" s="70">
        <f t="shared" si="53"/>
        <v>60839229.643208578</v>
      </c>
      <c r="L221" s="814">
        <f t="shared" si="46"/>
        <v>57295196.848458588</v>
      </c>
      <c r="M221" s="814">
        <f t="shared" si="56"/>
        <v>46166.147816249977</v>
      </c>
      <c r="N221" s="70">
        <f t="shared" si="44"/>
        <v>-9586977.8928412851</v>
      </c>
      <c r="O221" s="70">
        <f t="shared" si="51"/>
        <v>-9863974.7797387857</v>
      </c>
      <c r="P221" s="492">
        <f t="shared" si="52"/>
        <v>50975254.863469794</v>
      </c>
      <c r="R221" s="67">
        <f t="shared" si="50"/>
        <v>47708218.955617301</v>
      </c>
      <c r="S221" s="348">
        <f>$E$79-(SUM($H$79:H221)*$U$75)</f>
        <v>52761311.789999977</v>
      </c>
      <c r="T221" s="38"/>
      <c r="U221" s="504"/>
    </row>
    <row r="222" spans="1:21">
      <c r="A222" s="484"/>
      <c r="B222" s="80">
        <v>45230</v>
      </c>
      <c r="C222" s="37"/>
      <c r="D222" s="103"/>
      <c r="E222" s="490">
        <f t="shared" si="47"/>
        <v>52761311.789999977</v>
      </c>
      <c r="F222" s="491">
        <f t="shared" si="48"/>
        <v>141761311.78999987</v>
      </c>
      <c r="G222" s="70">
        <f t="shared" si="55"/>
        <v>141761311.7899999</v>
      </c>
      <c r="H222" s="269">
        <f t="shared" si="54"/>
        <v>590672.13245833281</v>
      </c>
      <c r="I222" s="70">
        <f t="shared" si="45"/>
        <v>-85056787.073999614</v>
      </c>
      <c r="J222" s="70">
        <f t="shared" si="49"/>
        <v>-81512754.279249653</v>
      </c>
      <c r="K222" s="70">
        <f t="shared" si="53"/>
        <v>60248557.510750249</v>
      </c>
      <c r="L222" s="814">
        <f t="shared" si="46"/>
        <v>56704524.716000259</v>
      </c>
      <c r="M222" s="814">
        <f t="shared" si="56"/>
        <v>46166.147816249977</v>
      </c>
      <c r="N222" s="70">
        <f t="shared" si="44"/>
        <v>-9540811.745025035</v>
      </c>
      <c r="O222" s="70">
        <f t="shared" si="51"/>
        <v>-9817808.6319225356</v>
      </c>
      <c r="P222" s="492">
        <f t="shared" si="52"/>
        <v>50430748.878827713</v>
      </c>
      <c r="R222" s="67">
        <f t="shared" si="50"/>
        <v>47163712.97097522</v>
      </c>
      <c r="S222" s="348">
        <f>$E$79-(SUM($H$79:H222)*$U$75)</f>
        <v>52761311.789999977</v>
      </c>
      <c r="T222" s="38"/>
      <c r="U222" s="504"/>
    </row>
    <row r="223" spans="1:21">
      <c r="A223" s="484"/>
      <c r="B223" s="80">
        <v>45260</v>
      </c>
      <c r="C223" s="37"/>
      <c r="D223" s="103"/>
      <c r="E223" s="490">
        <f t="shared" si="47"/>
        <v>52761311.789999977</v>
      </c>
      <c r="F223" s="491">
        <f t="shared" si="48"/>
        <v>141761311.78999987</v>
      </c>
      <c r="G223" s="70">
        <f t="shared" si="55"/>
        <v>141761311.7899999</v>
      </c>
      <c r="H223" s="269">
        <f t="shared" si="54"/>
        <v>590672.13245833281</v>
      </c>
      <c r="I223" s="70">
        <f t="shared" si="45"/>
        <v>-85647459.206457943</v>
      </c>
      <c r="J223" s="70">
        <f t="shared" si="49"/>
        <v>-82103426.411707982</v>
      </c>
      <c r="K223" s="70">
        <f t="shared" si="53"/>
        <v>59657885.37829192</v>
      </c>
      <c r="L223" s="814">
        <f t="shared" si="46"/>
        <v>56113852.58354193</v>
      </c>
      <c r="M223" s="814">
        <f t="shared" si="56"/>
        <v>46166.147816249977</v>
      </c>
      <c r="N223" s="70">
        <f t="shared" si="44"/>
        <v>-9494645.5972087849</v>
      </c>
      <c r="O223" s="70">
        <f t="shared" si="51"/>
        <v>-9771642.4841062855</v>
      </c>
      <c r="P223" s="492">
        <f t="shared" si="52"/>
        <v>49886242.894185632</v>
      </c>
      <c r="R223" s="67">
        <f t="shared" si="50"/>
        <v>46619206.986333147</v>
      </c>
      <c r="S223" s="348">
        <f>$E$79-(SUM($H$79:H223)*$U$75)</f>
        <v>52761311.789999977</v>
      </c>
      <c r="T223" s="38"/>
      <c r="U223" s="504"/>
    </row>
    <row r="224" spans="1:21">
      <c r="A224" s="484"/>
      <c r="B224" s="80">
        <v>45291</v>
      </c>
      <c r="C224" s="37"/>
      <c r="D224" s="103"/>
      <c r="E224" s="490">
        <f t="shared" si="47"/>
        <v>52761311.789999977</v>
      </c>
      <c r="F224" s="491">
        <f t="shared" si="48"/>
        <v>141761311.78999987</v>
      </c>
      <c r="G224" s="70">
        <f t="shared" si="55"/>
        <v>141761311.7899999</v>
      </c>
      <c r="H224" s="269">
        <f t="shared" si="54"/>
        <v>590672.13245833281</v>
      </c>
      <c r="I224" s="70">
        <f t="shared" si="45"/>
        <v>-86238131.338916272</v>
      </c>
      <c r="J224" s="70">
        <f t="shared" si="49"/>
        <v>-82694098.544166312</v>
      </c>
      <c r="K224" s="70">
        <f t="shared" si="53"/>
        <v>59067213.245833591</v>
      </c>
      <c r="L224" s="814">
        <f t="shared" si="46"/>
        <v>55523180.451083601</v>
      </c>
      <c r="M224" s="814">
        <f t="shared" si="56"/>
        <v>46166.147816249977</v>
      </c>
      <c r="N224" s="70">
        <f t="shared" si="44"/>
        <v>-9448479.4493925348</v>
      </c>
      <c r="O224" s="70">
        <f t="shared" si="51"/>
        <v>-9725476.3362900354</v>
      </c>
      <c r="P224" s="492">
        <f t="shared" si="52"/>
        <v>49341736.909543559</v>
      </c>
      <c r="R224" s="67">
        <f t="shared" si="50"/>
        <v>46074701.001691066</v>
      </c>
      <c r="S224" s="348">
        <f>$E$79-(SUM($H$79:H224)*$U$75)</f>
        <v>52761311.789999977</v>
      </c>
      <c r="T224" s="38"/>
      <c r="U224" s="504"/>
    </row>
    <row r="225" spans="1:21">
      <c r="A225" s="484"/>
      <c r="B225" s="80">
        <v>45322</v>
      </c>
      <c r="C225" s="37"/>
      <c r="D225" s="103"/>
      <c r="E225" s="490">
        <f t="shared" si="47"/>
        <v>52761311.789999977</v>
      </c>
      <c r="F225" s="491">
        <f t="shared" si="48"/>
        <v>141761311.78999987</v>
      </c>
      <c r="G225" s="70">
        <f t="shared" si="55"/>
        <v>141761311.7899999</v>
      </c>
      <c r="H225" s="269">
        <f t="shared" si="54"/>
        <v>590672.13245833281</v>
      </c>
      <c r="I225" s="70">
        <f t="shared" si="45"/>
        <v>-86828803.471374601</v>
      </c>
      <c r="J225" s="70">
        <f t="shared" si="49"/>
        <v>-83284770.676624641</v>
      </c>
      <c r="K225" s="70">
        <f t="shared" si="53"/>
        <v>58476541.113375261</v>
      </c>
      <c r="L225" s="814">
        <f t="shared" si="46"/>
        <v>54932508.318625271</v>
      </c>
      <c r="M225" s="814">
        <f t="shared" si="56"/>
        <v>46166.147816249977</v>
      </c>
      <c r="N225" s="70">
        <f t="shared" si="44"/>
        <v>-9402313.3015762847</v>
      </c>
      <c r="O225" s="70">
        <f t="shared" si="51"/>
        <v>-9679310.1884737853</v>
      </c>
      <c r="P225" s="492">
        <f t="shared" si="52"/>
        <v>48797230.924901478</v>
      </c>
      <c r="R225" s="67">
        <f t="shared" si="50"/>
        <v>45530195.017048985</v>
      </c>
      <c r="S225" s="348">
        <f>$E$79-(SUM($H$79:H225)*$U$75)</f>
        <v>52761311.789999977</v>
      </c>
      <c r="T225" s="38"/>
      <c r="U225" s="504"/>
    </row>
    <row r="226" spans="1:21">
      <c r="A226" s="484"/>
      <c r="B226" s="80">
        <v>45350</v>
      </c>
      <c r="C226" s="37"/>
      <c r="D226" s="103"/>
      <c r="E226" s="490">
        <f t="shared" si="47"/>
        <v>52761311.789999977</v>
      </c>
      <c r="F226" s="491">
        <f t="shared" si="48"/>
        <v>141761311.78999987</v>
      </c>
      <c r="G226" s="70">
        <f t="shared" si="55"/>
        <v>141761311.7899999</v>
      </c>
      <c r="H226" s="269">
        <f t="shared" si="54"/>
        <v>590672.13245833281</v>
      </c>
      <c r="I226" s="70">
        <f t="shared" si="45"/>
        <v>-87419475.60383293</v>
      </c>
      <c r="J226" s="70">
        <f t="shared" si="49"/>
        <v>-83875442.80908297</v>
      </c>
      <c r="K226" s="70">
        <f t="shared" si="53"/>
        <v>57885868.980916932</v>
      </c>
      <c r="L226" s="814">
        <f t="shared" si="46"/>
        <v>54341836.186166942</v>
      </c>
      <c r="M226" s="814">
        <f t="shared" si="56"/>
        <v>46166.147816249977</v>
      </c>
      <c r="N226" s="70">
        <f t="shared" si="44"/>
        <v>-9356147.1537600346</v>
      </c>
      <c r="O226" s="70">
        <f t="shared" si="51"/>
        <v>-9633144.0406575371</v>
      </c>
      <c r="P226" s="492">
        <f t="shared" si="52"/>
        <v>48252724.940259397</v>
      </c>
      <c r="R226" s="67">
        <f t="shared" si="50"/>
        <v>44985689.032406911</v>
      </c>
      <c r="S226" s="348">
        <f>$E$79-(SUM($H$79:H226)*$U$75)</f>
        <v>52761311.789999977</v>
      </c>
      <c r="T226" s="38"/>
      <c r="U226" s="504"/>
    </row>
    <row r="227" spans="1:21">
      <c r="A227" s="484"/>
      <c r="B227" s="80">
        <v>45382</v>
      </c>
      <c r="C227" s="37"/>
      <c r="D227" s="103"/>
      <c r="E227" s="490">
        <f t="shared" si="47"/>
        <v>52761311.789999977</v>
      </c>
      <c r="F227" s="491">
        <f t="shared" si="48"/>
        <v>141761311.78999987</v>
      </c>
      <c r="G227" s="70">
        <f t="shared" si="55"/>
        <v>141761311.7899999</v>
      </c>
      <c r="H227" s="269">
        <f t="shared" si="54"/>
        <v>590672.13245833281</v>
      </c>
      <c r="I227" s="70">
        <f t="shared" si="45"/>
        <v>-88010147.73629126</v>
      </c>
      <c r="J227" s="70">
        <f t="shared" si="49"/>
        <v>-84466114.941541299</v>
      </c>
      <c r="K227" s="70">
        <f t="shared" si="53"/>
        <v>57295196.848458603</v>
      </c>
      <c r="L227" s="814">
        <f t="shared" si="46"/>
        <v>53751164.053708613</v>
      </c>
      <c r="M227" s="814">
        <f t="shared" si="56"/>
        <v>46166.147816249977</v>
      </c>
      <c r="N227" s="70">
        <f t="shared" si="44"/>
        <v>-9309981.0059437845</v>
      </c>
      <c r="O227" s="70">
        <f t="shared" si="51"/>
        <v>-9586977.8928412851</v>
      </c>
      <c r="P227" s="492">
        <f t="shared" si="52"/>
        <v>47708218.955617316</v>
      </c>
      <c r="R227" s="67">
        <f t="shared" si="50"/>
        <v>44441183.04776483</v>
      </c>
      <c r="S227" s="348">
        <f>$E$79-(SUM($H$79:H227)*$U$75)</f>
        <v>52761311.789999977</v>
      </c>
      <c r="T227" s="38"/>
      <c r="U227" s="504"/>
    </row>
    <row r="228" spans="1:21">
      <c r="A228" s="484"/>
      <c r="B228" s="80">
        <v>45412</v>
      </c>
      <c r="C228" s="37"/>
      <c r="D228" s="103"/>
      <c r="E228" s="490">
        <f t="shared" si="47"/>
        <v>52761311.789999977</v>
      </c>
      <c r="F228" s="491">
        <f t="shared" si="48"/>
        <v>141761311.78999987</v>
      </c>
      <c r="G228" s="70">
        <f t="shared" si="55"/>
        <v>141761311.7899999</v>
      </c>
      <c r="H228" s="269">
        <f t="shared" si="54"/>
        <v>590672.13245833281</v>
      </c>
      <c r="I228" s="70">
        <f t="shared" si="45"/>
        <v>-88600819.868749589</v>
      </c>
      <c r="J228" s="70">
        <f t="shared" si="49"/>
        <v>-85056787.073999628</v>
      </c>
      <c r="K228" s="70">
        <f t="shared" si="53"/>
        <v>56704524.716000274</v>
      </c>
      <c r="L228" s="814">
        <f t="shared" si="46"/>
        <v>53160491.921250284</v>
      </c>
      <c r="M228" s="814">
        <f t="shared" si="56"/>
        <v>46166.147816249977</v>
      </c>
      <c r="N228" s="70">
        <f t="shared" si="44"/>
        <v>-9263814.8581275344</v>
      </c>
      <c r="O228" s="70">
        <f t="shared" si="51"/>
        <v>-9540811.7450250369</v>
      </c>
      <c r="P228" s="492">
        <f t="shared" si="52"/>
        <v>47163712.970975235</v>
      </c>
      <c r="R228" s="67">
        <f t="shared" si="50"/>
        <v>43896677.063122749</v>
      </c>
      <c r="S228" s="348">
        <f>$E$79-(SUM($H$79:H228)*$U$75)</f>
        <v>52761311.789999977</v>
      </c>
      <c r="T228" s="38"/>
      <c r="U228" s="504"/>
    </row>
    <row r="229" spans="1:21">
      <c r="A229" s="484"/>
      <c r="B229" s="80">
        <v>45443</v>
      </c>
      <c r="C229" s="37"/>
      <c r="D229" s="103"/>
      <c r="E229" s="490">
        <f t="shared" si="47"/>
        <v>52761311.789999977</v>
      </c>
      <c r="F229" s="491">
        <f t="shared" si="48"/>
        <v>141761311.78999987</v>
      </c>
      <c r="G229" s="70">
        <f t="shared" si="55"/>
        <v>141761311.7899999</v>
      </c>
      <c r="H229" s="269">
        <f t="shared" si="54"/>
        <v>590672.13245833281</v>
      </c>
      <c r="I229" s="70">
        <f t="shared" si="45"/>
        <v>-89191492.001207918</v>
      </c>
      <c r="J229" s="70">
        <f t="shared" si="49"/>
        <v>-85647459.206457958</v>
      </c>
      <c r="K229" s="70">
        <f t="shared" si="53"/>
        <v>56113852.583541945</v>
      </c>
      <c r="L229" s="814">
        <f t="shared" si="46"/>
        <v>52569819.788791955</v>
      </c>
      <c r="M229" s="814">
        <f t="shared" si="56"/>
        <v>46166.147816249977</v>
      </c>
      <c r="N229" s="70">
        <f t="shared" si="44"/>
        <v>-9217648.7103112843</v>
      </c>
      <c r="O229" s="70">
        <f t="shared" si="51"/>
        <v>-9494645.5972087849</v>
      </c>
      <c r="P229" s="492">
        <f t="shared" si="52"/>
        <v>46619206.986333162</v>
      </c>
      <c r="R229" s="67">
        <f t="shared" si="50"/>
        <v>43352171.078480668</v>
      </c>
      <c r="S229" s="348">
        <f>$E$79-(SUM($H$79:H229)*$U$75)</f>
        <v>52761311.789999977</v>
      </c>
      <c r="T229" s="38"/>
      <c r="U229" s="504"/>
    </row>
    <row r="230" spans="1:21">
      <c r="A230" s="484"/>
      <c r="B230" s="80">
        <v>45473</v>
      </c>
      <c r="C230" s="37"/>
      <c r="D230" s="103"/>
      <c r="E230" s="490">
        <f t="shared" si="47"/>
        <v>52761311.789999977</v>
      </c>
      <c r="F230" s="491">
        <f t="shared" si="48"/>
        <v>141761311.78999987</v>
      </c>
      <c r="G230" s="70">
        <f t="shared" si="55"/>
        <v>141761311.7899999</v>
      </c>
      <c r="H230" s="269">
        <f t="shared" si="54"/>
        <v>590672.13245833281</v>
      </c>
      <c r="I230" s="70">
        <f t="shared" si="45"/>
        <v>-89782164.133666247</v>
      </c>
      <c r="J230" s="70">
        <f t="shared" si="49"/>
        <v>-86238131.338916287</v>
      </c>
      <c r="K230" s="70">
        <f t="shared" si="53"/>
        <v>55523180.451083615</v>
      </c>
      <c r="L230" s="814">
        <f t="shared" si="46"/>
        <v>51979147.656333625</v>
      </c>
      <c r="M230" s="814">
        <f t="shared" si="56"/>
        <v>46166.147816249977</v>
      </c>
      <c r="N230" s="70">
        <f t="shared" si="44"/>
        <v>-9171482.5624950342</v>
      </c>
      <c r="O230" s="70">
        <f t="shared" si="51"/>
        <v>-9448479.4493925348</v>
      </c>
      <c r="P230" s="492">
        <f t="shared" si="52"/>
        <v>46074701.001691081</v>
      </c>
      <c r="R230" s="67">
        <f t="shared" si="50"/>
        <v>42807665.093838587</v>
      </c>
      <c r="S230" s="348">
        <f>$E$79-(SUM($H$79:H230)*$U$75)</f>
        <v>52761311.789999977</v>
      </c>
      <c r="T230" s="38"/>
      <c r="U230" s="504"/>
    </row>
    <row r="231" spans="1:21">
      <c r="A231" s="484"/>
      <c r="B231" s="80">
        <v>45504</v>
      </c>
      <c r="C231" s="37"/>
      <c r="D231" s="103"/>
      <c r="E231" s="490">
        <f t="shared" si="47"/>
        <v>52761311.789999977</v>
      </c>
      <c r="F231" s="491">
        <f t="shared" si="48"/>
        <v>141761311.78999987</v>
      </c>
      <c r="G231" s="70">
        <f t="shared" si="55"/>
        <v>141761311.7899999</v>
      </c>
      <c r="H231" s="269">
        <f t="shared" si="54"/>
        <v>590672.13245833281</v>
      </c>
      <c r="I231" s="70">
        <f t="shared" si="45"/>
        <v>-90372836.266124576</v>
      </c>
      <c r="J231" s="70">
        <f t="shared" si="49"/>
        <v>-86828803.471374616</v>
      </c>
      <c r="K231" s="70">
        <f t="shared" si="53"/>
        <v>54932508.318625286</v>
      </c>
      <c r="L231" s="814">
        <f t="shared" si="46"/>
        <v>51388475.523875296</v>
      </c>
      <c r="M231" s="814">
        <f t="shared" si="56"/>
        <v>46166.147816249977</v>
      </c>
      <c r="N231" s="70">
        <f t="shared" si="44"/>
        <v>-9125316.4146787841</v>
      </c>
      <c r="O231" s="70">
        <f t="shared" si="51"/>
        <v>-9402313.3015762847</v>
      </c>
      <c r="P231" s="492">
        <f t="shared" si="52"/>
        <v>45530195.017049</v>
      </c>
      <c r="R231" s="67">
        <f t="shared" si="50"/>
        <v>42263159.109196514</v>
      </c>
      <c r="S231" s="348">
        <f>$E$79-(SUM($H$79:H231)*$U$75)</f>
        <v>52761311.789999977</v>
      </c>
      <c r="T231" s="38"/>
      <c r="U231" s="504"/>
    </row>
    <row r="232" spans="1:21">
      <c r="A232" s="484"/>
      <c r="B232" s="80">
        <v>45535</v>
      </c>
      <c r="C232" s="37"/>
      <c r="D232" s="103"/>
      <c r="E232" s="490">
        <f t="shared" si="47"/>
        <v>52761311.789999977</v>
      </c>
      <c r="F232" s="491">
        <f t="shared" si="48"/>
        <v>141761311.78999987</v>
      </c>
      <c r="G232" s="70">
        <f t="shared" si="55"/>
        <v>141761311.7899999</v>
      </c>
      <c r="H232" s="269">
        <f t="shared" si="54"/>
        <v>590672.13245833281</v>
      </c>
      <c r="I232" s="70">
        <f t="shared" si="45"/>
        <v>-90963508.398582906</v>
      </c>
      <c r="J232" s="70">
        <f t="shared" si="49"/>
        <v>-87419475.603832945</v>
      </c>
      <c r="K232" s="70">
        <f t="shared" si="53"/>
        <v>54341836.186166957</v>
      </c>
      <c r="L232" s="814">
        <f t="shared" si="46"/>
        <v>50797803.391416967</v>
      </c>
      <c r="M232" s="814">
        <f t="shared" si="56"/>
        <v>46166.147816249977</v>
      </c>
      <c r="N232" s="70">
        <f t="shared" si="44"/>
        <v>-9079150.266862534</v>
      </c>
      <c r="O232" s="70">
        <f t="shared" si="51"/>
        <v>-9356147.1537600346</v>
      </c>
      <c r="P232" s="492">
        <f t="shared" si="52"/>
        <v>44985689.032406926</v>
      </c>
      <c r="R232" s="67">
        <f t="shared" si="50"/>
        <v>41718653.124554433</v>
      </c>
      <c r="S232" s="348">
        <f>$E$79-(SUM($H$79:H232)*$U$75)</f>
        <v>52761311.789999977</v>
      </c>
      <c r="T232" s="38"/>
      <c r="U232" s="504"/>
    </row>
    <row r="233" spans="1:21">
      <c r="A233" s="484"/>
      <c r="B233" s="80">
        <v>45565</v>
      </c>
      <c r="C233" s="37"/>
      <c r="D233" s="103"/>
      <c r="E233" s="490">
        <f t="shared" si="47"/>
        <v>52761311.789999977</v>
      </c>
      <c r="F233" s="491">
        <f t="shared" si="48"/>
        <v>141761311.78999987</v>
      </c>
      <c r="G233" s="70">
        <f t="shared" si="55"/>
        <v>141761311.7899999</v>
      </c>
      <c r="H233" s="269">
        <f t="shared" si="54"/>
        <v>590672.13245833281</v>
      </c>
      <c r="I233" s="70">
        <f t="shared" si="45"/>
        <v>-91554180.531041235</v>
      </c>
      <c r="J233" s="70">
        <f t="shared" si="49"/>
        <v>-88010147.736291274</v>
      </c>
      <c r="K233" s="70">
        <f t="shared" si="53"/>
        <v>53751164.053708628</v>
      </c>
      <c r="L233" s="814">
        <f t="shared" si="46"/>
        <v>50207131.258958638</v>
      </c>
      <c r="M233" s="814">
        <f t="shared" si="56"/>
        <v>46166.147816249977</v>
      </c>
      <c r="N233" s="70">
        <f t="shared" ref="N233:N296" si="57">N232+M233</f>
        <v>-9032984.1190462839</v>
      </c>
      <c r="O233" s="70">
        <f t="shared" si="51"/>
        <v>-9309981.0059437864</v>
      </c>
      <c r="P233" s="492">
        <f t="shared" si="52"/>
        <v>44441183.047764838</v>
      </c>
      <c r="R233" s="67">
        <f t="shared" si="50"/>
        <v>41174147.139912352</v>
      </c>
      <c r="S233" s="348">
        <f>$E$79-(SUM($H$79:H233)*$U$75)</f>
        <v>52761311.789999977</v>
      </c>
      <c r="T233" s="38"/>
      <c r="U233" s="504"/>
    </row>
    <row r="234" spans="1:21">
      <c r="A234" s="484"/>
      <c r="B234" s="80">
        <v>45596</v>
      </c>
      <c r="C234" s="37"/>
      <c r="D234" s="103"/>
      <c r="E234" s="490">
        <f t="shared" si="47"/>
        <v>52761311.789999977</v>
      </c>
      <c r="F234" s="491">
        <f t="shared" si="48"/>
        <v>141761311.78999987</v>
      </c>
      <c r="G234" s="70">
        <f t="shared" si="55"/>
        <v>141761311.7899999</v>
      </c>
      <c r="H234" s="269">
        <f t="shared" si="54"/>
        <v>590672.13245833281</v>
      </c>
      <c r="I234" s="70">
        <f t="shared" si="45"/>
        <v>-92144852.663499564</v>
      </c>
      <c r="J234" s="70">
        <f t="shared" si="49"/>
        <v>-88600819.868749604</v>
      </c>
      <c r="K234" s="70">
        <f t="shared" si="53"/>
        <v>53160491.921250299</v>
      </c>
      <c r="L234" s="814">
        <f t="shared" si="46"/>
        <v>49616459.126500309</v>
      </c>
      <c r="M234" s="814">
        <f t="shared" si="56"/>
        <v>46166.147816249977</v>
      </c>
      <c r="N234" s="70">
        <f t="shared" si="57"/>
        <v>-8986817.9712300338</v>
      </c>
      <c r="O234" s="70">
        <f t="shared" si="51"/>
        <v>-9263814.8581275363</v>
      </c>
      <c r="P234" s="492">
        <f t="shared" si="52"/>
        <v>43896677.063122764</v>
      </c>
      <c r="R234" s="67">
        <f t="shared" si="50"/>
        <v>40629641.155270278</v>
      </c>
      <c r="S234" s="348">
        <f>$E$79-(SUM($H$79:H234)*$U$75)</f>
        <v>52761311.789999977</v>
      </c>
      <c r="T234" s="38"/>
      <c r="U234" s="504"/>
    </row>
    <row r="235" spans="1:21">
      <c r="A235" s="484"/>
      <c r="B235" s="80">
        <v>45626</v>
      </c>
      <c r="C235" s="37"/>
      <c r="D235" s="103"/>
      <c r="E235" s="490">
        <f t="shared" si="47"/>
        <v>52761311.789999977</v>
      </c>
      <c r="F235" s="491">
        <f t="shared" si="48"/>
        <v>141761311.78999987</v>
      </c>
      <c r="G235" s="70">
        <f t="shared" si="55"/>
        <v>141761311.7899999</v>
      </c>
      <c r="H235" s="269">
        <f t="shared" si="54"/>
        <v>590672.13245833281</v>
      </c>
      <c r="I235" s="70">
        <f t="shared" si="45"/>
        <v>-92735524.795957893</v>
      </c>
      <c r="J235" s="70">
        <f t="shared" si="49"/>
        <v>-89191492.001207933</v>
      </c>
      <c r="K235" s="70">
        <f t="shared" si="53"/>
        <v>52569819.788791969</v>
      </c>
      <c r="L235" s="814">
        <f t="shared" si="46"/>
        <v>49025786.994041979</v>
      </c>
      <c r="M235" s="814">
        <f t="shared" si="56"/>
        <v>46166.147816249977</v>
      </c>
      <c r="N235" s="70">
        <f t="shared" si="57"/>
        <v>-8940651.8234137837</v>
      </c>
      <c r="O235" s="70">
        <f t="shared" si="51"/>
        <v>-9217648.7103112843</v>
      </c>
      <c r="P235" s="492">
        <f t="shared" si="52"/>
        <v>43352171.078480683</v>
      </c>
      <c r="R235" s="67">
        <f t="shared" si="50"/>
        <v>40085135.170628197</v>
      </c>
      <c r="S235" s="348">
        <f>$E$79-(SUM($H$79:H235)*$U$75)</f>
        <v>52761311.789999977</v>
      </c>
      <c r="T235" s="38"/>
      <c r="U235" s="504"/>
    </row>
    <row r="236" spans="1:21">
      <c r="A236" s="484"/>
      <c r="B236" s="80">
        <v>45657</v>
      </c>
      <c r="C236" s="37"/>
      <c r="D236" s="103"/>
      <c r="E236" s="490">
        <f t="shared" si="47"/>
        <v>52761311.789999977</v>
      </c>
      <c r="F236" s="491">
        <f t="shared" si="48"/>
        <v>141761311.78999987</v>
      </c>
      <c r="G236" s="70">
        <f t="shared" si="55"/>
        <v>141761311.7899999</v>
      </c>
      <c r="H236" s="269">
        <f t="shared" si="54"/>
        <v>590672.13245833281</v>
      </c>
      <c r="I236" s="70">
        <f t="shared" si="45"/>
        <v>-93326196.928416222</v>
      </c>
      <c r="J236" s="70">
        <f t="shared" si="49"/>
        <v>-89782164.133666262</v>
      </c>
      <c r="K236" s="70">
        <f t="shared" si="53"/>
        <v>51979147.65633364</v>
      </c>
      <c r="L236" s="814">
        <f t="shared" si="46"/>
        <v>48435114.86158365</v>
      </c>
      <c r="M236" s="814">
        <f t="shared" si="56"/>
        <v>46166.147816249977</v>
      </c>
      <c r="N236" s="70">
        <f t="shared" si="57"/>
        <v>-8894485.6755975336</v>
      </c>
      <c r="O236" s="70">
        <f t="shared" si="51"/>
        <v>-9171482.5624950361</v>
      </c>
      <c r="P236" s="492">
        <f t="shared" si="52"/>
        <v>42807665.093838602</v>
      </c>
      <c r="R236" s="67">
        <f t="shared" si="50"/>
        <v>39540629.185986117</v>
      </c>
      <c r="S236" s="348">
        <f>$E$79-(SUM($H$79:H236)*$U$75)</f>
        <v>52761311.789999977</v>
      </c>
      <c r="T236" s="38"/>
      <c r="U236" s="504"/>
    </row>
    <row r="237" spans="1:21">
      <c r="A237" s="484"/>
      <c r="B237" s="80">
        <v>45688</v>
      </c>
      <c r="C237" s="37"/>
      <c r="D237" s="103"/>
      <c r="E237" s="490">
        <f t="shared" si="47"/>
        <v>52761311.789999977</v>
      </c>
      <c r="F237" s="491">
        <f t="shared" si="48"/>
        <v>141761311.78999987</v>
      </c>
      <c r="G237" s="70">
        <f t="shared" si="55"/>
        <v>141761311.7899999</v>
      </c>
      <c r="H237" s="269">
        <f t="shared" si="54"/>
        <v>590672.13245833281</v>
      </c>
      <c r="I237" s="70">
        <f t="shared" si="45"/>
        <v>-93916869.060874552</v>
      </c>
      <c r="J237" s="70">
        <f t="shared" si="49"/>
        <v>-90372836.266124591</v>
      </c>
      <c r="K237" s="70">
        <f t="shared" si="53"/>
        <v>51388475.523875311</v>
      </c>
      <c r="L237" s="814">
        <f t="shared" si="46"/>
        <v>47844442.729125321</v>
      </c>
      <c r="M237" s="814">
        <f t="shared" si="56"/>
        <v>46166.147816249977</v>
      </c>
      <c r="N237" s="70">
        <f t="shared" si="57"/>
        <v>-8848319.5277812835</v>
      </c>
      <c r="O237" s="70">
        <f t="shared" si="51"/>
        <v>-9125316.4146787841</v>
      </c>
      <c r="P237" s="492">
        <f t="shared" si="52"/>
        <v>42263159.109196529</v>
      </c>
      <c r="R237" s="67">
        <f t="shared" si="50"/>
        <v>38996123.201344036</v>
      </c>
      <c r="S237" s="348">
        <f>$E$79-(SUM($H$79:H237)*$U$75)</f>
        <v>52761311.789999977</v>
      </c>
      <c r="T237" s="38"/>
      <c r="U237" s="504"/>
    </row>
    <row r="238" spans="1:21">
      <c r="A238" s="484"/>
      <c r="B238" s="80">
        <v>45716</v>
      </c>
      <c r="C238" s="37"/>
      <c r="D238" s="103"/>
      <c r="E238" s="490">
        <f t="shared" si="47"/>
        <v>52761311.789999977</v>
      </c>
      <c r="F238" s="491">
        <f t="shared" si="48"/>
        <v>141761311.78999987</v>
      </c>
      <c r="G238" s="70">
        <f t="shared" si="55"/>
        <v>141761311.7899999</v>
      </c>
      <c r="H238" s="269">
        <f t="shared" si="54"/>
        <v>590672.13245833281</v>
      </c>
      <c r="I238" s="70">
        <f t="shared" si="45"/>
        <v>-94507541.193332881</v>
      </c>
      <c r="J238" s="70">
        <f t="shared" si="49"/>
        <v>-90963508.39858292</v>
      </c>
      <c r="K238" s="70">
        <f t="shared" si="53"/>
        <v>50797803.391416982</v>
      </c>
      <c r="L238" s="814">
        <f t="shared" si="46"/>
        <v>47253770.596666992</v>
      </c>
      <c r="M238" s="814">
        <f t="shared" si="56"/>
        <v>46166.147816249977</v>
      </c>
      <c r="N238" s="70">
        <f t="shared" si="57"/>
        <v>-8802153.3799650334</v>
      </c>
      <c r="O238" s="70">
        <f t="shared" si="51"/>
        <v>-9079150.266862534</v>
      </c>
      <c r="P238" s="492">
        <f t="shared" si="52"/>
        <v>41718653.124554448</v>
      </c>
      <c r="S238" s="348">
        <f>$E$79-(SUM($H$79:H238)*$U$75)</f>
        <v>52761311.789999977</v>
      </c>
      <c r="T238" s="38"/>
      <c r="U238" s="504"/>
    </row>
    <row r="239" spans="1:21">
      <c r="A239" s="484"/>
      <c r="B239" s="80">
        <v>45747</v>
      </c>
      <c r="C239" s="37"/>
      <c r="D239" s="103"/>
      <c r="E239" s="490">
        <f t="shared" si="47"/>
        <v>52761311.789999977</v>
      </c>
      <c r="F239" s="491">
        <f t="shared" si="48"/>
        <v>141761311.78999987</v>
      </c>
      <c r="G239" s="70">
        <f t="shared" si="55"/>
        <v>141761311.7899999</v>
      </c>
      <c r="H239" s="269">
        <f t="shared" si="54"/>
        <v>590672.13245833281</v>
      </c>
      <c r="I239" s="70">
        <f t="shared" si="45"/>
        <v>-95098213.32579121</v>
      </c>
      <c r="J239" s="70">
        <f t="shared" si="49"/>
        <v>-91554180.53104125</v>
      </c>
      <c r="K239" s="70">
        <f t="shared" si="53"/>
        <v>50207131.258958653</v>
      </c>
      <c r="L239" s="814">
        <f t="shared" si="46"/>
        <v>46663098.464208663</v>
      </c>
      <c r="M239" s="814">
        <f t="shared" si="56"/>
        <v>46166.147816249977</v>
      </c>
      <c r="N239" s="70">
        <f t="shared" si="57"/>
        <v>-8755987.2321487833</v>
      </c>
      <c r="O239" s="70">
        <f t="shared" si="51"/>
        <v>-9032984.1190462839</v>
      </c>
      <c r="P239" s="492">
        <f t="shared" si="52"/>
        <v>41174147.139912367</v>
      </c>
      <c r="S239" s="348">
        <f>$E$79-(SUM($H$79:H239)*$U$75)</f>
        <v>52761311.789999977</v>
      </c>
      <c r="T239" s="38"/>
      <c r="U239" s="504"/>
    </row>
    <row r="240" spans="1:21">
      <c r="A240" s="484"/>
      <c r="B240" s="80">
        <v>45777</v>
      </c>
      <c r="C240" s="37"/>
      <c r="D240" s="103"/>
      <c r="E240" s="490">
        <f t="shared" si="47"/>
        <v>52761311.789999977</v>
      </c>
      <c r="F240" s="491">
        <f t="shared" si="48"/>
        <v>141761311.78999987</v>
      </c>
      <c r="G240" s="70">
        <f t="shared" si="55"/>
        <v>141761311.7899999</v>
      </c>
      <c r="H240" s="269">
        <f t="shared" si="54"/>
        <v>590672.13245833281</v>
      </c>
      <c r="I240" s="70">
        <f t="shared" si="45"/>
        <v>-95688885.458249539</v>
      </c>
      <c r="J240" s="70">
        <f t="shared" si="49"/>
        <v>-92144852.663499579</v>
      </c>
      <c r="K240" s="70">
        <f t="shared" si="53"/>
        <v>49616459.126500323</v>
      </c>
      <c r="L240" s="814">
        <f t="shared" si="46"/>
        <v>46072426.331750333</v>
      </c>
      <c r="M240" s="814">
        <f t="shared" si="56"/>
        <v>46166.147816249977</v>
      </c>
      <c r="N240" s="70">
        <f t="shared" si="57"/>
        <v>-8709821.0843325332</v>
      </c>
      <c r="O240" s="70">
        <f t="shared" si="51"/>
        <v>-8986817.9712300338</v>
      </c>
      <c r="P240" s="492">
        <f t="shared" si="52"/>
        <v>40629641.155270293</v>
      </c>
      <c r="S240" s="348">
        <f>$E$79-(SUM($H$79:H240)*$U$75)</f>
        <v>52761311.789999977</v>
      </c>
      <c r="T240" s="38"/>
      <c r="U240" s="504"/>
    </row>
    <row r="241" spans="1:21">
      <c r="A241" s="484"/>
      <c r="B241" s="80">
        <v>45808</v>
      </c>
      <c r="C241" s="37"/>
      <c r="D241" s="103"/>
      <c r="E241" s="490">
        <f t="shared" si="47"/>
        <v>52761311.789999977</v>
      </c>
      <c r="F241" s="491">
        <f t="shared" si="48"/>
        <v>141761311.78999987</v>
      </c>
      <c r="G241" s="70">
        <f t="shared" si="55"/>
        <v>141761311.7899999</v>
      </c>
      <c r="H241" s="269">
        <f t="shared" si="54"/>
        <v>590672.13245833281</v>
      </c>
      <c r="I241" s="70">
        <f t="shared" si="45"/>
        <v>-96279557.590707868</v>
      </c>
      <c r="J241" s="70">
        <f t="shared" si="49"/>
        <v>-92735524.795957908</v>
      </c>
      <c r="K241" s="70">
        <f t="shared" si="53"/>
        <v>49025786.994041994</v>
      </c>
      <c r="L241" s="814">
        <f t="shared" si="46"/>
        <v>45481754.199292004</v>
      </c>
      <c r="M241" s="814">
        <f t="shared" si="56"/>
        <v>46166.147816249977</v>
      </c>
      <c r="N241" s="70">
        <f t="shared" si="57"/>
        <v>-8663654.9365162831</v>
      </c>
      <c r="O241" s="70">
        <f t="shared" si="51"/>
        <v>-8940651.8234137837</v>
      </c>
      <c r="P241" s="492">
        <f t="shared" si="52"/>
        <v>40085135.170628212</v>
      </c>
      <c r="S241" s="348">
        <f>$E$79-(SUM($H$79:H241)*$U$75)</f>
        <v>52761311.789999977</v>
      </c>
      <c r="T241" s="38"/>
      <c r="U241" s="504"/>
    </row>
    <row r="242" spans="1:21">
      <c r="A242" s="484"/>
      <c r="B242" s="80">
        <v>45838</v>
      </c>
      <c r="C242" s="37"/>
      <c r="D242" s="103"/>
      <c r="E242" s="490">
        <f t="shared" si="47"/>
        <v>52761311.789999977</v>
      </c>
      <c r="F242" s="491">
        <f t="shared" si="48"/>
        <v>141761311.78999987</v>
      </c>
      <c r="G242" s="70">
        <f t="shared" si="55"/>
        <v>141761311.7899999</v>
      </c>
      <c r="H242" s="269">
        <f t="shared" si="54"/>
        <v>590672.13245833281</v>
      </c>
      <c r="I242" s="70">
        <f t="shared" si="45"/>
        <v>-96870229.723166198</v>
      </c>
      <c r="J242" s="70">
        <f t="shared" si="49"/>
        <v>-93326196.928416237</v>
      </c>
      <c r="K242" s="70">
        <f t="shared" si="53"/>
        <v>48435114.861583665</v>
      </c>
      <c r="L242" s="814">
        <f t="shared" si="46"/>
        <v>44891082.066833675</v>
      </c>
      <c r="M242" s="814">
        <f t="shared" si="56"/>
        <v>46166.147816249977</v>
      </c>
      <c r="N242" s="70">
        <f t="shared" si="57"/>
        <v>-8617488.788700033</v>
      </c>
      <c r="O242" s="70">
        <f t="shared" si="51"/>
        <v>-8894485.6755975354</v>
      </c>
      <c r="P242" s="492">
        <f t="shared" si="52"/>
        <v>39540629.185986131</v>
      </c>
      <c r="S242" s="348">
        <f>$E$79-(SUM($H$79:H242)*$U$75)</f>
        <v>52761311.789999977</v>
      </c>
      <c r="T242" s="38"/>
      <c r="U242" s="504"/>
    </row>
    <row r="243" spans="1:21">
      <c r="A243" s="484"/>
      <c r="B243" s="80">
        <v>45869</v>
      </c>
      <c r="C243" s="37"/>
      <c r="D243" s="103"/>
      <c r="E243" s="490">
        <f t="shared" si="47"/>
        <v>52761311.789999977</v>
      </c>
      <c r="F243" s="491">
        <f t="shared" si="48"/>
        <v>141761311.78999987</v>
      </c>
      <c r="G243" s="70">
        <f t="shared" si="55"/>
        <v>141761311.7899999</v>
      </c>
      <c r="H243" s="269">
        <f t="shared" si="54"/>
        <v>590672.13245833281</v>
      </c>
      <c r="I243" s="70">
        <f t="shared" si="45"/>
        <v>-97460901.855624527</v>
      </c>
      <c r="J243" s="70">
        <f t="shared" si="49"/>
        <v>-93916869.060874566</v>
      </c>
      <c r="K243" s="70">
        <f t="shared" si="53"/>
        <v>47844442.729125336</v>
      </c>
      <c r="L243" s="814">
        <f t="shared" si="46"/>
        <v>44300409.934375346</v>
      </c>
      <c r="M243" s="814">
        <f t="shared" si="56"/>
        <v>46166.147816249977</v>
      </c>
      <c r="N243" s="70">
        <f t="shared" si="57"/>
        <v>-8571322.6408837829</v>
      </c>
      <c r="O243" s="70">
        <f t="shared" si="51"/>
        <v>-8848319.5277812835</v>
      </c>
      <c r="P243" s="492">
        <f t="shared" si="52"/>
        <v>38996123.20134405</v>
      </c>
      <c r="S243" s="348">
        <f>$E$79-(SUM($H$79:H243)*$U$75)</f>
        <v>52761311.789999977</v>
      </c>
      <c r="T243" s="38"/>
      <c r="U243" s="504"/>
    </row>
    <row r="244" spans="1:21">
      <c r="A244" s="484"/>
      <c r="B244" s="80">
        <v>45900</v>
      </c>
      <c r="C244" s="37"/>
      <c r="D244" s="103"/>
      <c r="E244" s="490">
        <f t="shared" si="47"/>
        <v>52761311.789999977</v>
      </c>
      <c r="F244" s="491">
        <f t="shared" si="48"/>
        <v>141761311.78999987</v>
      </c>
      <c r="G244" s="70">
        <f t="shared" si="55"/>
        <v>141761311.7899999</v>
      </c>
      <c r="H244" s="269">
        <f t="shared" si="54"/>
        <v>590672.13245833281</v>
      </c>
      <c r="I244" s="70">
        <f t="shared" si="45"/>
        <v>-98051573.988082856</v>
      </c>
      <c r="J244" s="70">
        <f t="shared" si="49"/>
        <v>-94507541.193332896</v>
      </c>
      <c r="K244" s="70">
        <f t="shared" si="53"/>
        <v>47253770.596667007</v>
      </c>
      <c r="L244" s="814">
        <f t="shared" si="46"/>
        <v>43709737.801917017</v>
      </c>
      <c r="M244" s="814">
        <f t="shared" si="56"/>
        <v>46166.147816249977</v>
      </c>
      <c r="N244" s="70">
        <f t="shared" si="57"/>
        <v>-8525156.4930675328</v>
      </c>
      <c r="O244" s="70">
        <f t="shared" si="51"/>
        <v>-8802153.3799650352</v>
      </c>
      <c r="P244" s="492">
        <f t="shared" si="52"/>
        <v>38451617.21670197</v>
      </c>
      <c r="S244" s="348">
        <f>$E$79-(SUM($H$79:H244)*$U$75)</f>
        <v>52761311.789999977</v>
      </c>
      <c r="T244" s="38"/>
      <c r="U244" s="504"/>
    </row>
    <row r="245" spans="1:21">
      <c r="A245" s="484"/>
      <c r="B245" s="80">
        <v>45930</v>
      </c>
      <c r="C245" s="37"/>
      <c r="D245" s="103"/>
      <c r="E245" s="490">
        <f t="shared" si="47"/>
        <v>52761311.789999977</v>
      </c>
      <c r="F245" s="491">
        <f t="shared" si="48"/>
        <v>141761311.78999987</v>
      </c>
      <c r="G245" s="70">
        <f t="shared" si="55"/>
        <v>141761311.7899999</v>
      </c>
      <c r="H245" s="269">
        <f t="shared" si="54"/>
        <v>590672.13245833281</v>
      </c>
      <c r="I245" s="70">
        <f t="shared" si="45"/>
        <v>-98642246.120541185</v>
      </c>
      <c r="J245" s="70">
        <f t="shared" si="49"/>
        <v>-95098213.325791225</v>
      </c>
      <c r="K245" s="70">
        <f t="shared" si="53"/>
        <v>46663098.464208677</v>
      </c>
      <c r="L245" s="814">
        <f t="shared" si="46"/>
        <v>43119065.669458687</v>
      </c>
      <c r="M245" s="814">
        <f t="shared" si="56"/>
        <v>46166.147816249977</v>
      </c>
      <c r="N245" s="70">
        <f t="shared" si="57"/>
        <v>-8478990.3452512827</v>
      </c>
      <c r="O245" s="70">
        <f t="shared" si="51"/>
        <v>-8755987.2321487833</v>
      </c>
      <c r="P245" s="492">
        <f t="shared" si="52"/>
        <v>37907111.232059896</v>
      </c>
      <c r="S245" s="348">
        <f>$E$79-(SUM($H$79:H245)*$U$75)</f>
        <v>52761311.789999977</v>
      </c>
      <c r="T245" s="38"/>
      <c r="U245" s="504"/>
    </row>
    <row r="246" spans="1:21">
      <c r="A246" s="484"/>
      <c r="B246" s="80">
        <v>45961</v>
      </c>
      <c r="C246" s="37"/>
      <c r="D246" s="103"/>
      <c r="E246" s="490">
        <f t="shared" si="47"/>
        <v>52761311.789999977</v>
      </c>
      <c r="F246" s="491">
        <f t="shared" si="48"/>
        <v>141761311.78999987</v>
      </c>
      <c r="G246" s="70">
        <f t="shared" si="55"/>
        <v>141761311.7899999</v>
      </c>
      <c r="H246" s="269">
        <f t="shared" si="54"/>
        <v>590672.13245833281</v>
      </c>
      <c r="I246" s="70">
        <f t="shared" si="45"/>
        <v>-99232918.252999514</v>
      </c>
      <c r="J246" s="70">
        <f t="shared" si="49"/>
        <v>-95688885.458249554</v>
      </c>
      <c r="K246" s="70">
        <f t="shared" si="53"/>
        <v>46072426.331750348</v>
      </c>
      <c r="L246" s="814">
        <f t="shared" si="46"/>
        <v>42528393.537000358</v>
      </c>
      <c r="M246" s="814">
        <f t="shared" si="56"/>
        <v>46166.147816249977</v>
      </c>
      <c r="N246" s="70">
        <f t="shared" si="57"/>
        <v>-8432824.1974350326</v>
      </c>
      <c r="O246" s="70">
        <f t="shared" si="51"/>
        <v>-8709821.0843325332</v>
      </c>
      <c r="P246" s="492">
        <f t="shared" si="52"/>
        <v>37362605.247417815</v>
      </c>
      <c r="S246" s="348">
        <f>$E$79-(SUM($H$79:H246)*$U$75)</f>
        <v>52761311.789999977</v>
      </c>
      <c r="T246" s="38"/>
      <c r="U246" s="504"/>
    </row>
    <row r="247" spans="1:21">
      <c r="A247" s="484"/>
      <c r="B247" s="80">
        <v>45991</v>
      </c>
      <c r="C247" s="37"/>
      <c r="D247" s="103"/>
      <c r="E247" s="490">
        <f t="shared" si="47"/>
        <v>52761311.789999977</v>
      </c>
      <c r="F247" s="491">
        <f t="shared" si="48"/>
        <v>141761311.78999987</v>
      </c>
      <c r="G247" s="70">
        <f t="shared" si="55"/>
        <v>141761311.7899999</v>
      </c>
      <c r="H247" s="269">
        <f t="shared" si="54"/>
        <v>590672.13245833281</v>
      </c>
      <c r="I247" s="70">
        <f t="shared" si="45"/>
        <v>-99823590.385457844</v>
      </c>
      <c r="J247" s="70">
        <f t="shared" si="49"/>
        <v>-96279557.590707883</v>
      </c>
      <c r="K247" s="70">
        <f t="shared" si="53"/>
        <v>45481754.199292019</v>
      </c>
      <c r="L247" s="814">
        <f t="shared" si="46"/>
        <v>41937721.404542029</v>
      </c>
      <c r="M247" s="814">
        <f t="shared" si="56"/>
        <v>46166.147816249977</v>
      </c>
      <c r="N247" s="70">
        <f t="shared" si="57"/>
        <v>-8386658.0496187825</v>
      </c>
      <c r="O247" s="70">
        <f t="shared" si="51"/>
        <v>-8663654.9365162831</v>
      </c>
      <c r="P247" s="492">
        <f t="shared" si="52"/>
        <v>36818099.262775734</v>
      </c>
      <c r="S247" s="348">
        <f>$E$79-(SUM($H$79:H247)*$U$75)</f>
        <v>52761311.789999977</v>
      </c>
      <c r="T247" s="38"/>
      <c r="U247" s="504"/>
    </row>
    <row r="248" spans="1:21">
      <c r="A248" s="484"/>
      <c r="B248" s="80">
        <v>46022</v>
      </c>
      <c r="C248" s="37"/>
      <c r="D248" s="103"/>
      <c r="E248" s="490">
        <f t="shared" si="47"/>
        <v>52761311.789999977</v>
      </c>
      <c r="F248" s="491">
        <f t="shared" si="48"/>
        <v>141761311.78999987</v>
      </c>
      <c r="G248" s="70">
        <f t="shared" si="55"/>
        <v>141761311.7899999</v>
      </c>
      <c r="H248" s="269">
        <f t="shared" si="54"/>
        <v>590672.13245833281</v>
      </c>
      <c r="I248" s="70">
        <f t="shared" si="45"/>
        <v>-100414262.51791617</v>
      </c>
      <c r="J248" s="70">
        <f t="shared" si="49"/>
        <v>-96870229.723166212</v>
      </c>
      <c r="K248" s="70">
        <f t="shared" si="53"/>
        <v>44891082.06683369</v>
      </c>
      <c r="L248" s="814">
        <f t="shared" si="46"/>
        <v>41347049.2720837</v>
      </c>
      <c r="M248" s="814">
        <f t="shared" si="56"/>
        <v>46166.147816249977</v>
      </c>
      <c r="N248" s="70">
        <f t="shared" si="57"/>
        <v>-8340491.9018025324</v>
      </c>
      <c r="O248" s="70">
        <f t="shared" si="51"/>
        <v>-8617488.788700033</v>
      </c>
      <c r="P248" s="492">
        <f t="shared" si="52"/>
        <v>36273593.278133661</v>
      </c>
      <c r="S248" s="348">
        <f>$E$79-(SUM($H$79:H248)*$U$75)</f>
        <v>52761311.789999977</v>
      </c>
      <c r="T248" s="38"/>
      <c r="U248" s="504"/>
    </row>
    <row r="249" spans="1:21">
      <c r="A249" s="484"/>
      <c r="B249" s="80">
        <v>46053</v>
      </c>
      <c r="C249" s="37"/>
      <c r="D249" s="103"/>
      <c r="E249" s="490">
        <f t="shared" si="47"/>
        <v>52761311.789999977</v>
      </c>
      <c r="F249" s="491">
        <f t="shared" si="48"/>
        <v>141761311.78999987</v>
      </c>
      <c r="G249" s="70">
        <f t="shared" si="55"/>
        <v>141761311.7899999</v>
      </c>
      <c r="H249" s="269">
        <f t="shared" si="54"/>
        <v>590672.13245833281</v>
      </c>
      <c r="I249" s="70">
        <f t="shared" si="45"/>
        <v>-101004934.6503745</v>
      </c>
      <c r="J249" s="70">
        <f t="shared" si="49"/>
        <v>-97460901.855624542</v>
      </c>
      <c r="K249" s="70">
        <f t="shared" si="53"/>
        <v>44300409.934375361</v>
      </c>
      <c r="L249" s="814">
        <f t="shared" si="46"/>
        <v>40756377.139625371</v>
      </c>
      <c r="M249" s="814">
        <f t="shared" si="56"/>
        <v>46166.147816249977</v>
      </c>
      <c r="N249" s="70">
        <f t="shared" si="57"/>
        <v>-8294325.7539862823</v>
      </c>
      <c r="O249" s="70">
        <f t="shared" si="51"/>
        <v>-8571322.6408837847</v>
      </c>
      <c r="P249" s="492">
        <f t="shared" si="52"/>
        <v>35729087.293491572</v>
      </c>
      <c r="S249" s="348">
        <f>$E$79-(SUM($H$79:H249)*$U$75)</f>
        <v>52761311.789999977</v>
      </c>
      <c r="T249" s="38"/>
      <c r="U249" s="504"/>
    </row>
    <row r="250" spans="1:21">
      <c r="A250" s="484"/>
      <c r="B250" s="80">
        <v>46081</v>
      </c>
      <c r="C250" s="37"/>
      <c r="D250" s="103"/>
      <c r="E250" s="490">
        <f t="shared" si="47"/>
        <v>52761311.789999977</v>
      </c>
      <c r="F250" s="491">
        <f t="shared" si="48"/>
        <v>141761311.78999987</v>
      </c>
      <c r="G250" s="70">
        <f t="shared" si="55"/>
        <v>141761311.7899999</v>
      </c>
      <c r="H250" s="269">
        <f t="shared" si="54"/>
        <v>590672.13245833281</v>
      </c>
      <c r="I250" s="70">
        <f t="shared" si="45"/>
        <v>-101595606.78283283</v>
      </c>
      <c r="J250" s="70">
        <f t="shared" si="49"/>
        <v>-98051573.988082871</v>
      </c>
      <c r="K250" s="70">
        <f t="shared" si="53"/>
        <v>43709737.801917031</v>
      </c>
      <c r="L250" s="814">
        <f t="shared" si="46"/>
        <v>40165705.007167041</v>
      </c>
      <c r="M250" s="814">
        <f t="shared" si="56"/>
        <v>46166.147816249977</v>
      </c>
      <c r="N250" s="70">
        <f t="shared" si="57"/>
        <v>-8248159.6061700322</v>
      </c>
      <c r="O250" s="70">
        <f t="shared" si="51"/>
        <v>-8525156.4930675346</v>
      </c>
      <c r="P250" s="492">
        <f t="shared" si="52"/>
        <v>35184581.308849499</v>
      </c>
      <c r="S250" s="348">
        <f>$E$79-(SUM($H$79:H250)*$U$75)</f>
        <v>52761311.789999977</v>
      </c>
      <c r="T250" s="38"/>
      <c r="U250" s="504"/>
    </row>
    <row r="251" spans="1:21">
      <c r="A251" s="484"/>
      <c r="B251" s="80">
        <v>46112</v>
      </c>
      <c r="C251" s="37"/>
      <c r="D251" s="103"/>
      <c r="E251" s="490">
        <f t="shared" si="47"/>
        <v>52761311.789999977</v>
      </c>
      <c r="F251" s="491">
        <f t="shared" si="48"/>
        <v>141761311.78999987</v>
      </c>
      <c r="G251" s="70">
        <f t="shared" si="55"/>
        <v>141761311.7899999</v>
      </c>
      <c r="H251" s="269">
        <f t="shared" si="54"/>
        <v>590672.13245833281</v>
      </c>
      <c r="I251" s="70">
        <f t="shared" si="45"/>
        <v>-102186278.91529116</v>
      </c>
      <c r="J251" s="70">
        <f t="shared" si="49"/>
        <v>-98642246.1205412</v>
      </c>
      <c r="K251" s="70">
        <f t="shared" si="53"/>
        <v>43119065.669458702</v>
      </c>
      <c r="L251" s="814">
        <f t="shared" si="46"/>
        <v>39575032.874708712</v>
      </c>
      <c r="M251" s="814">
        <f t="shared" si="56"/>
        <v>46166.147816249977</v>
      </c>
      <c r="N251" s="70">
        <f t="shared" si="57"/>
        <v>-8201993.4583537821</v>
      </c>
      <c r="O251" s="70">
        <f t="shared" si="51"/>
        <v>-8478990.3452512827</v>
      </c>
      <c r="P251" s="492">
        <f t="shared" si="52"/>
        <v>34640075.324207418</v>
      </c>
      <c r="S251" s="348">
        <f>$E$79-(SUM($H$79:H251)*$U$75)</f>
        <v>52761311.789999977</v>
      </c>
      <c r="T251" s="38"/>
      <c r="U251" s="504"/>
    </row>
    <row r="252" spans="1:21">
      <c r="A252" s="484"/>
      <c r="B252" s="80">
        <v>46142</v>
      </c>
      <c r="C252" s="37"/>
      <c r="D252" s="103"/>
      <c r="E252" s="490">
        <f t="shared" si="47"/>
        <v>52761311.789999977</v>
      </c>
      <c r="F252" s="491">
        <f t="shared" si="48"/>
        <v>141761311.78999987</v>
      </c>
      <c r="G252" s="70">
        <f t="shared" si="55"/>
        <v>141761311.7899999</v>
      </c>
      <c r="H252" s="269">
        <f t="shared" si="54"/>
        <v>590672.13245833281</v>
      </c>
      <c r="I252" s="70">
        <f t="shared" si="45"/>
        <v>-102776951.04774949</v>
      </c>
      <c r="J252" s="70">
        <f t="shared" si="49"/>
        <v>-99232918.252999529</v>
      </c>
      <c r="K252" s="70">
        <f t="shared" si="53"/>
        <v>42528393.537000373</v>
      </c>
      <c r="L252" s="814">
        <f t="shared" si="46"/>
        <v>38984360.742250383</v>
      </c>
      <c r="M252" s="814">
        <f t="shared" si="56"/>
        <v>46166.147816249977</v>
      </c>
      <c r="N252" s="70">
        <f t="shared" si="57"/>
        <v>-8155827.310537532</v>
      </c>
      <c r="O252" s="70">
        <f t="shared" si="51"/>
        <v>-8432824.1974350344</v>
      </c>
      <c r="P252" s="492">
        <f t="shared" si="52"/>
        <v>34095569.339565337</v>
      </c>
      <c r="S252" s="348">
        <f>$E$79-(SUM($H$79:H252)*$U$75)</f>
        <v>52761311.789999977</v>
      </c>
      <c r="T252" s="38"/>
      <c r="U252" s="504"/>
    </row>
    <row r="253" spans="1:21">
      <c r="A253" s="484"/>
      <c r="B253" s="80">
        <v>46173</v>
      </c>
      <c r="C253" s="37"/>
      <c r="D253" s="103"/>
      <c r="E253" s="490">
        <f t="shared" si="47"/>
        <v>52761311.789999977</v>
      </c>
      <c r="F253" s="491">
        <f t="shared" si="48"/>
        <v>141761311.78999987</v>
      </c>
      <c r="G253" s="70">
        <f t="shared" si="55"/>
        <v>141761311.7899999</v>
      </c>
      <c r="H253" s="269">
        <f t="shared" si="54"/>
        <v>590672.13245833281</v>
      </c>
      <c r="I253" s="70">
        <f t="shared" si="45"/>
        <v>-103367623.18020782</v>
      </c>
      <c r="J253" s="70">
        <f t="shared" si="49"/>
        <v>-99823590.385457858</v>
      </c>
      <c r="K253" s="70">
        <f t="shared" si="53"/>
        <v>41937721.404542044</v>
      </c>
      <c r="L253" s="814">
        <f t="shared" si="46"/>
        <v>38393688.609792054</v>
      </c>
      <c r="M253" s="814">
        <f t="shared" si="56"/>
        <v>46166.147816249977</v>
      </c>
      <c r="N253" s="70">
        <f t="shared" si="57"/>
        <v>-8109661.1627212819</v>
      </c>
      <c r="O253" s="70">
        <f t="shared" si="51"/>
        <v>-8386658.0496187815</v>
      </c>
      <c r="P253" s="492">
        <f t="shared" si="52"/>
        <v>33551063.354923263</v>
      </c>
      <c r="S253" s="348">
        <f>$E$79-(SUM($H$79:H253)*$U$75)</f>
        <v>52761311.789999977</v>
      </c>
      <c r="T253" s="38"/>
      <c r="U253" s="504"/>
    </row>
    <row r="254" spans="1:21">
      <c r="A254" s="484"/>
      <c r="B254" s="80">
        <v>46203</v>
      </c>
      <c r="C254" s="37"/>
      <c r="D254" s="103"/>
      <c r="E254" s="490">
        <f t="shared" si="47"/>
        <v>52761311.789999977</v>
      </c>
      <c r="F254" s="491">
        <f t="shared" si="48"/>
        <v>141761311.78999987</v>
      </c>
      <c r="G254" s="70">
        <f t="shared" si="55"/>
        <v>141761311.7899999</v>
      </c>
      <c r="H254" s="269">
        <f t="shared" si="54"/>
        <v>590672.13245833281</v>
      </c>
      <c r="I254" s="70">
        <f t="shared" si="45"/>
        <v>-103958295.31266615</v>
      </c>
      <c r="J254" s="70">
        <f t="shared" si="49"/>
        <v>-100414262.51791619</v>
      </c>
      <c r="K254" s="70">
        <f t="shared" si="53"/>
        <v>41347049.272083715</v>
      </c>
      <c r="L254" s="814">
        <f t="shared" si="46"/>
        <v>37803016.477333724</v>
      </c>
      <c r="M254" s="814">
        <f t="shared" si="56"/>
        <v>46166.147816249977</v>
      </c>
      <c r="N254" s="70">
        <f t="shared" si="57"/>
        <v>-8063495.0149050318</v>
      </c>
      <c r="O254" s="70">
        <f t="shared" si="51"/>
        <v>-8340491.9018025324</v>
      </c>
      <c r="P254" s="492">
        <f t="shared" si="52"/>
        <v>33006557.370281182</v>
      </c>
      <c r="S254" s="348">
        <f>$E$79-(SUM($H$79:H254)*$U$75)</f>
        <v>52761311.789999977</v>
      </c>
      <c r="T254" s="38"/>
      <c r="U254" s="504"/>
    </row>
    <row r="255" spans="1:21">
      <c r="A255" s="484"/>
      <c r="B255" s="80">
        <v>46234</v>
      </c>
      <c r="C255" s="37"/>
      <c r="D255" s="103"/>
      <c r="E255" s="490">
        <f t="shared" si="47"/>
        <v>52761311.789999977</v>
      </c>
      <c r="F255" s="491">
        <f t="shared" si="48"/>
        <v>141761311.78999987</v>
      </c>
      <c r="G255" s="70">
        <f t="shared" si="55"/>
        <v>141761311.7899999</v>
      </c>
      <c r="H255" s="269">
        <f t="shared" si="54"/>
        <v>590672.13245833281</v>
      </c>
      <c r="I255" s="70">
        <f t="shared" si="45"/>
        <v>-104548967.44512448</v>
      </c>
      <c r="J255" s="70">
        <f t="shared" si="49"/>
        <v>-101004934.65037452</v>
      </c>
      <c r="K255" s="70">
        <f t="shared" si="53"/>
        <v>40756377.139625385</v>
      </c>
      <c r="L255" s="814">
        <f t="shared" si="46"/>
        <v>37212344.344875395</v>
      </c>
      <c r="M255" s="814">
        <f t="shared" si="56"/>
        <v>46166.147816249977</v>
      </c>
      <c r="N255" s="70">
        <f t="shared" si="57"/>
        <v>-8017328.8670887817</v>
      </c>
      <c r="O255" s="70">
        <f t="shared" si="51"/>
        <v>-8294325.7539862832</v>
      </c>
      <c r="P255" s="492">
        <f t="shared" si="52"/>
        <v>32462051.385639101</v>
      </c>
      <c r="S255" s="348">
        <f>$E$79-(SUM($H$79:H255)*$U$75)</f>
        <v>52761311.789999977</v>
      </c>
      <c r="T255" s="38"/>
      <c r="U255" s="504"/>
    </row>
    <row r="256" spans="1:21">
      <c r="A256" s="484"/>
      <c r="B256" s="80">
        <v>46265</v>
      </c>
      <c r="C256" s="37"/>
      <c r="D256" s="103"/>
      <c r="E256" s="490">
        <f t="shared" si="47"/>
        <v>52761311.789999977</v>
      </c>
      <c r="F256" s="491">
        <f t="shared" si="48"/>
        <v>141761311.78999987</v>
      </c>
      <c r="G256" s="70">
        <f t="shared" si="55"/>
        <v>141761311.7899999</v>
      </c>
      <c r="H256" s="269">
        <f t="shared" si="54"/>
        <v>590672.13245833281</v>
      </c>
      <c r="I256" s="70">
        <f t="shared" si="45"/>
        <v>-105139639.57758281</v>
      </c>
      <c r="J256" s="70">
        <f t="shared" si="49"/>
        <v>-101595606.78283285</v>
      </c>
      <c r="K256" s="70">
        <f t="shared" si="53"/>
        <v>40165705.007167056</v>
      </c>
      <c r="L256" s="814">
        <f t="shared" si="46"/>
        <v>36621672.212417066</v>
      </c>
      <c r="M256" s="814">
        <f t="shared" si="56"/>
        <v>46166.147816249977</v>
      </c>
      <c r="N256" s="70">
        <f t="shared" si="57"/>
        <v>-7971162.7192725316</v>
      </c>
      <c r="O256" s="70">
        <f t="shared" si="51"/>
        <v>-8248159.6061700322</v>
      </c>
      <c r="P256" s="492">
        <f t="shared" si="52"/>
        <v>31917545.400997024</v>
      </c>
      <c r="S256" s="348">
        <f>$E$79-(SUM($H$79:H256)*$U$75)</f>
        <v>52761311.789999977</v>
      </c>
      <c r="T256" s="38"/>
      <c r="U256" s="504"/>
    </row>
    <row r="257" spans="1:21">
      <c r="A257" s="484"/>
      <c r="B257" s="80">
        <v>46295</v>
      </c>
      <c r="C257" s="37"/>
      <c r="D257" s="103"/>
      <c r="E257" s="490">
        <f t="shared" si="47"/>
        <v>52761311.789999977</v>
      </c>
      <c r="F257" s="491">
        <f t="shared" si="48"/>
        <v>141761311.78999987</v>
      </c>
      <c r="G257" s="70">
        <f t="shared" si="55"/>
        <v>141761311.7899999</v>
      </c>
      <c r="H257" s="269">
        <f t="shared" si="54"/>
        <v>590672.13245833281</v>
      </c>
      <c r="I257" s="70">
        <f t="shared" si="45"/>
        <v>-105730311.71004114</v>
      </c>
      <c r="J257" s="70">
        <f t="shared" si="49"/>
        <v>-102186278.91529118</v>
      </c>
      <c r="K257" s="70">
        <f t="shared" si="53"/>
        <v>39575032.874708727</v>
      </c>
      <c r="L257" s="814">
        <f t="shared" si="46"/>
        <v>36031000.079958737</v>
      </c>
      <c r="M257" s="814">
        <f t="shared" si="56"/>
        <v>46166.147816249977</v>
      </c>
      <c r="N257" s="70">
        <f t="shared" si="57"/>
        <v>-7924996.5714562815</v>
      </c>
      <c r="O257" s="70">
        <f t="shared" si="51"/>
        <v>-8201993.458353783</v>
      </c>
      <c r="P257" s="492">
        <f t="shared" si="52"/>
        <v>31373039.416354943</v>
      </c>
      <c r="S257" s="348">
        <f>$E$79-(SUM($H$79:H257)*$U$75)</f>
        <v>52761311.789999977</v>
      </c>
      <c r="T257" s="38"/>
      <c r="U257" s="504"/>
    </row>
    <row r="258" spans="1:21">
      <c r="A258" s="484"/>
      <c r="B258" s="80">
        <v>46326</v>
      </c>
      <c r="C258" s="37"/>
      <c r="D258" s="103"/>
      <c r="E258" s="490">
        <f t="shared" si="47"/>
        <v>52761311.789999977</v>
      </c>
      <c r="F258" s="491">
        <f t="shared" si="48"/>
        <v>141761311.78999987</v>
      </c>
      <c r="G258" s="70">
        <f t="shared" si="55"/>
        <v>141761311.7899999</v>
      </c>
      <c r="H258" s="269">
        <f t="shared" si="54"/>
        <v>590672.13245833281</v>
      </c>
      <c r="I258" s="70">
        <f t="shared" si="45"/>
        <v>-106320983.84249946</v>
      </c>
      <c r="J258" s="70">
        <f t="shared" si="49"/>
        <v>-102776951.0477495</v>
      </c>
      <c r="K258" s="70">
        <f t="shared" si="53"/>
        <v>38984360.742250398</v>
      </c>
      <c r="L258" s="814">
        <f t="shared" si="46"/>
        <v>35440327.947500408</v>
      </c>
      <c r="M258" s="814">
        <f t="shared" si="56"/>
        <v>46166.147816249977</v>
      </c>
      <c r="N258" s="70">
        <f t="shared" si="57"/>
        <v>-7878830.4236400314</v>
      </c>
      <c r="O258" s="70">
        <f t="shared" si="51"/>
        <v>-8155827.3105375329</v>
      </c>
      <c r="P258" s="492">
        <f t="shared" si="52"/>
        <v>30828533.431712866</v>
      </c>
      <c r="S258" s="348">
        <f>$E$79-(SUM($H$79:H258)*$U$75)</f>
        <v>52761311.789999977</v>
      </c>
      <c r="T258" s="38"/>
      <c r="U258" s="504"/>
    </row>
    <row r="259" spans="1:21">
      <c r="A259" s="484"/>
      <c r="B259" s="80">
        <v>46356</v>
      </c>
      <c r="C259" s="37"/>
      <c r="D259" s="103"/>
      <c r="E259" s="490">
        <f t="shared" si="47"/>
        <v>52761311.789999977</v>
      </c>
      <c r="F259" s="491">
        <f t="shared" si="48"/>
        <v>141761311.78999987</v>
      </c>
      <c r="G259" s="70">
        <f t="shared" si="55"/>
        <v>141761311.7899999</v>
      </c>
      <c r="H259" s="269">
        <f t="shared" si="54"/>
        <v>590672.13245833281</v>
      </c>
      <c r="I259" s="70">
        <f t="shared" si="45"/>
        <v>-106911655.97495779</v>
      </c>
      <c r="J259" s="70">
        <f t="shared" si="49"/>
        <v>-103367623.18020783</v>
      </c>
      <c r="K259" s="70">
        <f t="shared" si="53"/>
        <v>38393688.609792069</v>
      </c>
      <c r="L259" s="814">
        <f t="shared" si="46"/>
        <v>34849655.815042078</v>
      </c>
      <c r="M259" s="814">
        <f t="shared" si="56"/>
        <v>46166.147816249977</v>
      </c>
      <c r="N259" s="70">
        <f t="shared" si="57"/>
        <v>-7832664.2758237813</v>
      </c>
      <c r="O259" s="70">
        <f t="shared" si="51"/>
        <v>-8109661.16272128</v>
      </c>
      <c r="P259" s="492">
        <f t="shared" si="52"/>
        <v>30284027.447070789</v>
      </c>
      <c r="S259" s="348">
        <f>$E$79-(SUM($H$79:H259)*$U$75)</f>
        <v>52761311.789999977</v>
      </c>
      <c r="T259" s="38"/>
      <c r="U259" s="504"/>
    </row>
    <row r="260" spans="1:21">
      <c r="A260" s="484"/>
      <c r="B260" s="80">
        <v>46387</v>
      </c>
      <c r="C260" s="37"/>
      <c r="D260" s="103"/>
      <c r="E260" s="490">
        <f t="shared" si="47"/>
        <v>52761311.789999977</v>
      </c>
      <c r="F260" s="491">
        <f t="shared" si="48"/>
        <v>141761311.78999987</v>
      </c>
      <c r="G260" s="70">
        <f t="shared" si="55"/>
        <v>141761311.7899999</v>
      </c>
      <c r="H260" s="269">
        <f t="shared" si="54"/>
        <v>590672.13245833281</v>
      </c>
      <c r="I260" s="70">
        <f t="shared" si="45"/>
        <v>-107502328.10741612</v>
      </c>
      <c r="J260" s="70">
        <f t="shared" si="49"/>
        <v>-103958295.31266616</v>
      </c>
      <c r="K260" s="70">
        <f t="shared" si="53"/>
        <v>37803016.477333739</v>
      </c>
      <c r="L260" s="814">
        <f t="shared" si="46"/>
        <v>34258983.682583749</v>
      </c>
      <c r="M260" s="814">
        <f t="shared" si="56"/>
        <v>46166.147816249977</v>
      </c>
      <c r="N260" s="70">
        <f t="shared" si="57"/>
        <v>-7786498.1280075312</v>
      </c>
      <c r="O260" s="70">
        <f t="shared" si="51"/>
        <v>-8063495.0149050318</v>
      </c>
      <c r="P260" s="492">
        <f t="shared" si="52"/>
        <v>29739521.462428708</v>
      </c>
      <c r="S260" s="348">
        <f>$E$79-(SUM($H$79:H260)*$U$75)</f>
        <v>52761311.789999977</v>
      </c>
      <c r="T260" s="38"/>
      <c r="U260" s="504"/>
    </row>
    <row r="261" spans="1:21">
      <c r="A261" s="484"/>
      <c r="B261" s="80">
        <v>46418</v>
      </c>
      <c r="C261" s="37"/>
      <c r="D261" s="103"/>
      <c r="E261" s="490">
        <f t="shared" si="47"/>
        <v>52761311.789999977</v>
      </c>
      <c r="F261" s="491">
        <f t="shared" si="48"/>
        <v>141761311.78999987</v>
      </c>
      <c r="G261" s="70">
        <f t="shared" si="55"/>
        <v>141761311.7899999</v>
      </c>
      <c r="H261" s="269">
        <f t="shared" si="54"/>
        <v>590672.13245833281</v>
      </c>
      <c r="I261" s="70">
        <f t="shared" si="45"/>
        <v>-108093000.23987445</v>
      </c>
      <c r="J261" s="70">
        <f t="shared" si="49"/>
        <v>-104548967.44512449</v>
      </c>
      <c r="K261" s="70">
        <f t="shared" si="53"/>
        <v>37212344.34487541</v>
      </c>
      <c r="L261" s="814">
        <f t="shared" si="46"/>
        <v>33668311.55012542</v>
      </c>
      <c r="M261" s="814">
        <f t="shared" si="56"/>
        <v>46166.147816249977</v>
      </c>
      <c r="N261" s="70">
        <f t="shared" si="57"/>
        <v>-7740331.9801912811</v>
      </c>
      <c r="O261" s="70">
        <f t="shared" si="51"/>
        <v>-8017328.8670887826</v>
      </c>
      <c r="P261" s="492">
        <f t="shared" si="52"/>
        <v>29195015.477786627</v>
      </c>
      <c r="S261" s="348">
        <f>$E$79-(SUM($H$79:H261)*$U$75)</f>
        <v>52761311.789999977</v>
      </c>
      <c r="T261" s="38"/>
      <c r="U261" s="504"/>
    </row>
    <row r="262" spans="1:21">
      <c r="A262" s="484"/>
      <c r="B262" s="80">
        <v>46446</v>
      </c>
      <c r="C262" s="37"/>
      <c r="D262" s="103"/>
      <c r="E262" s="490">
        <f t="shared" si="47"/>
        <v>52761311.789999977</v>
      </c>
      <c r="F262" s="491">
        <f t="shared" si="48"/>
        <v>141761311.78999987</v>
      </c>
      <c r="G262" s="70">
        <f t="shared" si="55"/>
        <v>141761311.7899999</v>
      </c>
      <c r="H262" s="269">
        <f t="shared" si="54"/>
        <v>590672.13245833281</v>
      </c>
      <c r="I262" s="70">
        <f t="shared" si="45"/>
        <v>-108683672.37233278</v>
      </c>
      <c r="J262" s="70">
        <f t="shared" si="49"/>
        <v>-105139639.57758282</v>
      </c>
      <c r="K262" s="70">
        <f t="shared" si="53"/>
        <v>36621672.212417081</v>
      </c>
      <c r="L262" s="814">
        <f t="shared" si="46"/>
        <v>33077639.417667091</v>
      </c>
      <c r="M262" s="814">
        <f t="shared" si="56"/>
        <v>46166.147816249977</v>
      </c>
      <c r="N262" s="70">
        <f t="shared" si="57"/>
        <v>-7694165.832375031</v>
      </c>
      <c r="O262" s="70">
        <f t="shared" si="51"/>
        <v>-7971162.7192725316</v>
      </c>
      <c r="P262" s="492">
        <f t="shared" si="52"/>
        <v>28650509.493144549</v>
      </c>
      <c r="S262" s="348">
        <f>$E$79-(SUM($H$79:H262)*$U$75)</f>
        <v>52761311.789999977</v>
      </c>
      <c r="T262" s="38"/>
      <c r="U262" s="504"/>
    </row>
    <row r="263" spans="1:21">
      <c r="A263" s="484"/>
      <c r="B263" s="80">
        <v>46477</v>
      </c>
      <c r="C263" s="37"/>
      <c r="D263" s="103"/>
      <c r="E263" s="490">
        <f t="shared" si="47"/>
        <v>52761311.789999977</v>
      </c>
      <c r="F263" s="491">
        <f t="shared" si="48"/>
        <v>141761311.78999987</v>
      </c>
      <c r="G263" s="70">
        <f t="shared" si="55"/>
        <v>141761311.7899999</v>
      </c>
      <c r="H263" s="269">
        <f t="shared" si="54"/>
        <v>590672.13245833281</v>
      </c>
      <c r="I263" s="70">
        <f t="shared" si="45"/>
        <v>-109274344.50479111</v>
      </c>
      <c r="J263" s="70">
        <f t="shared" si="49"/>
        <v>-105730311.71004115</v>
      </c>
      <c r="K263" s="70">
        <f t="shared" si="53"/>
        <v>36031000.079958752</v>
      </c>
      <c r="L263" s="814">
        <f t="shared" si="46"/>
        <v>32486967.285208762</v>
      </c>
      <c r="M263" s="814">
        <f t="shared" si="56"/>
        <v>46166.147816249977</v>
      </c>
      <c r="N263" s="70">
        <f t="shared" si="57"/>
        <v>-7647999.6845587809</v>
      </c>
      <c r="O263" s="70">
        <f t="shared" si="51"/>
        <v>-7924996.5714562805</v>
      </c>
      <c r="P263" s="492">
        <f t="shared" si="52"/>
        <v>28106003.508502472</v>
      </c>
      <c r="S263" s="348">
        <f>$E$79-(SUM($H$79:H263)*$U$75)</f>
        <v>52761311.789999977</v>
      </c>
      <c r="T263" s="38"/>
      <c r="U263" s="504"/>
    </row>
    <row r="264" spans="1:21">
      <c r="A264" s="484"/>
      <c r="B264" s="80">
        <v>46507</v>
      </c>
      <c r="C264" s="37"/>
      <c r="D264" s="103"/>
      <c r="E264" s="490">
        <f t="shared" si="47"/>
        <v>52761311.789999977</v>
      </c>
      <c r="F264" s="491">
        <f t="shared" si="48"/>
        <v>141761311.78999987</v>
      </c>
      <c r="G264" s="70">
        <f t="shared" si="55"/>
        <v>141761311.7899999</v>
      </c>
      <c r="H264" s="269">
        <f t="shared" si="54"/>
        <v>590672.13245833281</v>
      </c>
      <c r="I264" s="70">
        <f t="shared" si="45"/>
        <v>-109865016.63724944</v>
      </c>
      <c r="J264" s="70">
        <f t="shared" si="49"/>
        <v>-106320983.84249948</v>
      </c>
      <c r="K264" s="70">
        <f t="shared" si="53"/>
        <v>35440327.947500423</v>
      </c>
      <c r="L264" s="814">
        <f t="shared" si="46"/>
        <v>31896295.152750432</v>
      </c>
      <c r="M264" s="814">
        <f t="shared" si="56"/>
        <v>46166.147816249977</v>
      </c>
      <c r="N264" s="70">
        <f t="shared" si="57"/>
        <v>-7601833.5367425308</v>
      </c>
      <c r="O264" s="70">
        <f t="shared" si="51"/>
        <v>-7878830.4236400314</v>
      </c>
      <c r="P264" s="492">
        <f t="shared" si="52"/>
        <v>27561497.523860391</v>
      </c>
      <c r="S264" s="348">
        <f>$E$79-(SUM($H$79:H264)*$U$75)</f>
        <v>52761311.789999977</v>
      </c>
      <c r="T264" s="38"/>
      <c r="U264" s="504"/>
    </row>
    <row r="265" spans="1:21">
      <c r="A265" s="484"/>
      <c r="B265" s="80">
        <v>46538</v>
      </c>
      <c r="C265" s="37"/>
      <c r="D265" s="103"/>
      <c r="E265" s="490">
        <f t="shared" si="47"/>
        <v>52761311.789999977</v>
      </c>
      <c r="F265" s="491">
        <f t="shared" si="48"/>
        <v>141761311.78999987</v>
      </c>
      <c r="G265" s="70">
        <f t="shared" si="55"/>
        <v>141761311.7899999</v>
      </c>
      <c r="H265" s="269">
        <f t="shared" si="54"/>
        <v>590672.13245833281</v>
      </c>
      <c r="I265" s="70">
        <f t="shared" si="45"/>
        <v>-110455688.76970777</v>
      </c>
      <c r="J265" s="70">
        <f t="shared" si="49"/>
        <v>-106911655.97495781</v>
      </c>
      <c r="K265" s="70">
        <f t="shared" si="53"/>
        <v>34849655.815042093</v>
      </c>
      <c r="L265" s="814">
        <f t="shared" si="46"/>
        <v>31305623.020292103</v>
      </c>
      <c r="M265" s="814">
        <f t="shared" si="56"/>
        <v>46166.147816249977</v>
      </c>
      <c r="N265" s="70">
        <f t="shared" si="57"/>
        <v>-7555667.3889262807</v>
      </c>
      <c r="O265" s="70">
        <f t="shared" si="51"/>
        <v>-7832664.2758237831</v>
      </c>
      <c r="P265" s="492">
        <f t="shared" si="52"/>
        <v>27016991.53921831</v>
      </c>
      <c r="S265" s="348">
        <f>$E$79-(SUM($H$79:H265)*$U$75)</f>
        <v>52761311.789999977</v>
      </c>
      <c r="T265" s="38"/>
      <c r="U265" s="504"/>
    </row>
    <row r="266" spans="1:21">
      <c r="A266" s="484"/>
      <c r="B266" s="80">
        <v>46568</v>
      </c>
      <c r="C266" s="37"/>
      <c r="D266" s="103"/>
      <c r="E266" s="490">
        <f t="shared" si="47"/>
        <v>52761311.789999977</v>
      </c>
      <c r="F266" s="491">
        <f t="shared" si="48"/>
        <v>141761311.78999987</v>
      </c>
      <c r="G266" s="70">
        <f t="shared" si="55"/>
        <v>141761311.7899999</v>
      </c>
      <c r="H266" s="269">
        <f t="shared" si="54"/>
        <v>590672.13245833281</v>
      </c>
      <c r="I266" s="70">
        <f t="shared" si="45"/>
        <v>-111046360.9021661</v>
      </c>
      <c r="J266" s="70">
        <f t="shared" si="49"/>
        <v>-107502328.10741614</v>
      </c>
      <c r="K266" s="70">
        <f t="shared" si="53"/>
        <v>34258983.682583764</v>
      </c>
      <c r="L266" s="814">
        <f t="shared" si="46"/>
        <v>30714950.887833774</v>
      </c>
      <c r="M266" s="814">
        <f t="shared" si="56"/>
        <v>46166.147816249977</v>
      </c>
      <c r="N266" s="70">
        <f t="shared" si="57"/>
        <v>-7509501.2411100306</v>
      </c>
      <c r="O266" s="70">
        <f t="shared" si="51"/>
        <v>-7786498.1280075321</v>
      </c>
      <c r="P266" s="492">
        <f t="shared" si="52"/>
        <v>26472485.554576233</v>
      </c>
      <c r="S266" s="348">
        <f>$E$79-(SUM($H$79:H266)*$U$75)</f>
        <v>52761311.789999977</v>
      </c>
      <c r="T266" s="38"/>
      <c r="U266" s="504"/>
    </row>
    <row r="267" spans="1:21">
      <c r="A267" s="484"/>
      <c r="B267" s="80">
        <v>46599</v>
      </c>
      <c r="C267" s="37"/>
      <c r="D267" s="103"/>
      <c r="E267" s="490">
        <f t="shared" si="47"/>
        <v>52761311.789999977</v>
      </c>
      <c r="F267" s="491">
        <f t="shared" si="48"/>
        <v>141761311.78999987</v>
      </c>
      <c r="G267" s="70">
        <f t="shared" si="55"/>
        <v>141761311.7899999</v>
      </c>
      <c r="H267" s="269">
        <f t="shared" si="54"/>
        <v>590672.13245833281</v>
      </c>
      <c r="I267" s="70">
        <f t="shared" ref="I267:I312" si="58">I266-H267</f>
        <v>-111637033.03462443</v>
      </c>
      <c r="J267" s="70">
        <f t="shared" si="49"/>
        <v>-108093000.23987447</v>
      </c>
      <c r="K267" s="70">
        <f t="shared" si="53"/>
        <v>33668311.550125435</v>
      </c>
      <c r="L267" s="814">
        <f t="shared" si="46"/>
        <v>30124278.755375445</v>
      </c>
      <c r="M267" s="814">
        <f t="shared" si="56"/>
        <v>46166.147816249977</v>
      </c>
      <c r="N267" s="70">
        <f t="shared" si="57"/>
        <v>-7463335.0932937805</v>
      </c>
      <c r="O267" s="70">
        <f t="shared" si="51"/>
        <v>-7740331.9801912801</v>
      </c>
      <c r="P267" s="492">
        <f t="shared" si="52"/>
        <v>25927979.569934156</v>
      </c>
      <c r="S267" s="348">
        <f>$E$79-(SUM($H$79:H267)*$U$75)</f>
        <v>52761311.789999977</v>
      </c>
      <c r="T267" s="38"/>
      <c r="U267" s="504"/>
    </row>
    <row r="268" spans="1:21">
      <c r="A268" s="484"/>
      <c r="B268" s="80">
        <v>46630</v>
      </c>
      <c r="C268" s="37"/>
      <c r="D268" s="103"/>
      <c r="E268" s="490">
        <f t="shared" si="47"/>
        <v>52761311.789999977</v>
      </c>
      <c r="F268" s="491">
        <f t="shared" si="48"/>
        <v>141761311.78999987</v>
      </c>
      <c r="G268" s="70">
        <f t="shared" si="55"/>
        <v>141761311.7899999</v>
      </c>
      <c r="H268" s="269">
        <f t="shared" si="54"/>
        <v>590672.13245833281</v>
      </c>
      <c r="I268" s="70">
        <f t="shared" si="58"/>
        <v>-112227705.16708276</v>
      </c>
      <c r="J268" s="70">
        <f t="shared" si="49"/>
        <v>-108683672.3723328</v>
      </c>
      <c r="K268" s="70">
        <f t="shared" si="53"/>
        <v>33077639.417667106</v>
      </c>
      <c r="L268" s="814">
        <f t="shared" si="46"/>
        <v>29533606.622917116</v>
      </c>
      <c r="M268" s="814">
        <f t="shared" si="56"/>
        <v>46166.147816249977</v>
      </c>
      <c r="N268" s="70">
        <f t="shared" si="57"/>
        <v>-7417168.9454775304</v>
      </c>
      <c r="O268" s="70">
        <f t="shared" si="51"/>
        <v>-7694165.832375031</v>
      </c>
      <c r="P268" s="492">
        <f t="shared" si="52"/>
        <v>25383473.585292075</v>
      </c>
      <c r="S268" s="348">
        <f>$E$79-(SUM($H$79:H268)*$U$75)</f>
        <v>52761311.789999977</v>
      </c>
      <c r="T268" s="38"/>
      <c r="U268" s="504"/>
    </row>
    <row r="269" spans="1:21">
      <c r="A269" s="484"/>
      <c r="B269" s="80">
        <v>46660</v>
      </c>
      <c r="C269" s="37"/>
      <c r="D269" s="103"/>
      <c r="E269" s="490">
        <f t="shared" si="47"/>
        <v>52761311.789999977</v>
      </c>
      <c r="F269" s="491">
        <f t="shared" si="48"/>
        <v>141761311.78999987</v>
      </c>
      <c r="G269" s="70">
        <f t="shared" si="55"/>
        <v>141761311.7899999</v>
      </c>
      <c r="H269" s="269">
        <f t="shared" si="54"/>
        <v>590672.13245833281</v>
      </c>
      <c r="I269" s="70">
        <f t="shared" si="58"/>
        <v>-112818377.29954109</v>
      </c>
      <c r="J269" s="70">
        <f t="shared" si="49"/>
        <v>-109274344.50479113</v>
      </c>
      <c r="K269" s="70">
        <f t="shared" si="53"/>
        <v>32486967.285208777</v>
      </c>
      <c r="L269" s="814">
        <f t="shared" ref="L269:L316" si="59">F269+I269</f>
        <v>28942934.490458786</v>
      </c>
      <c r="M269" s="814">
        <f t="shared" si="56"/>
        <v>46166.147816249977</v>
      </c>
      <c r="N269" s="70">
        <f t="shared" si="57"/>
        <v>-7371002.7976612803</v>
      </c>
      <c r="O269" s="70">
        <f>(N257+N269+SUM(N258:N268)*2)/24</f>
        <v>-7647999.6845587818</v>
      </c>
      <c r="P269" s="492">
        <f>O269+K269</f>
        <v>24838967.600649994</v>
      </c>
      <c r="S269" s="348">
        <f>$E$79-(SUM($H$79:H269)*$U$75)</f>
        <v>52761311.789999977</v>
      </c>
      <c r="T269" s="38"/>
      <c r="U269" s="504"/>
    </row>
    <row r="270" spans="1:21">
      <c r="A270" s="484"/>
      <c r="B270" s="80">
        <v>46691</v>
      </c>
      <c r="C270" s="37"/>
      <c r="D270" s="103"/>
      <c r="E270" s="490">
        <f t="shared" ref="E270:E319" si="60">D270+E269</f>
        <v>52761311.789999977</v>
      </c>
      <c r="F270" s="491">
        <f t="shared" ref="F270:F319" si="61">F269+D270</f>
        <v>141761311.78999987</v>
      </c>
      <c r="G270" s="70">
        <f t="shared" si="55"/>
        <v>141761311.7899999</v>
      </c>
      <c r="H270" s="269">
        <f t="shared" si="54"/>
        <v>590672.13245833281</v>
      </c>
      <c r="I270" s="70">
        <f t="shared" si="58"/>
        <v>-113409049.43199942</v>
      </c>
      <c r="J270" s="70">
        <f t="shared" si="49"/>
        <v>-109865016.63724945</v>
      </c>
      <c r="K270" s="70">
        <f t="shared" si="53"/>
        <v>31896295.152750447</v>
      </c>
      <c r="L270" s="814">
        <f t="shared" si="59"/>
        <v>28352262.358000457</v>
      </c>
      <c r="M270" s="814">
        <f t="shared" si="56"/>
        <v>46166.147816249977</v>
      </c>
      <c r="N270" s="70">
        <f t="shared" si="57"/>
        <v>-7324836.6498450302</v>
      </c>
      <c r="O270" s="70">
        <f t="shared" ref="O270:O318" si="62">(N258+N270+SUM(N259:N269)*2)/24</f>
        <v>-7601833.5367425308</v>
      </c>
      <c r="P270" s="492">
        <f t="shared" ref="P270:P317" si="63">O270+K270</f>
        <v>24294461.616007917</v>
      </c>
      <c r="S270" s="348">
        <f>$E$79-(SUM($H$79:H270)*$U$75)</f>
        <v>52761311.789999977</v>
      </c>
      <c r="T270" s="38"/>
      <c r="U270" s="504"/>
    </row>
    <row r="271" spans="1:21">
      <c r="A271" s="484"/>
      <c r="B271" s="80">
        <v>46721</v>
      </c>
      <c r="C271" s="37"/>
      <c r="D271" s="103"/>
      <c r="E271" s="490">
        <f t="shared" si="60"/>
        <v>52761311.789999977</v>
      </c>
      <c r="F271" s="491">
        <f t="shared" si="61"/>
        <v>141761311.78999987</v>
      </c>
      <c r="G271" s="70">
        <f t="shared" si="55"/>
        <v>141761311.7899999</v>
      </c>
      <c r="H271" s="269">
        <f t="shared" si="54"/>
        <v>590672.13245833281</v>
      </c>
      <c r="I271" s="70">
        <f t="shared" si="58"/>
        <v>-113999721.56445774</v>
      </c>
      <c r="J271" s="70">
        <f t="shared" si="49"/>
        <v>-110455688.76970778</v>
      </c>
      <c r="K271" s="70">
        <f t="shared" si="53"/>
        <v>31305623.020292118</v>
      </c>
      <c r="L271" s="814">
        <f t="shared" si="59"/>
        <v>27761590.225542128</v>
      </c>
      <c r="M271" s="814">
        <f t="shared" si="56"/>
        <v>46166.147816249977</v>
      </c>
      <c r="N271" s="70">
        <f t="shared" si="57"/>
        <v>-7278670.5020287801</v>
      </c>
      <c r="O271" s="70">
        <f t="shared" si="62"/>
        <v>-7555667.3889262816</v>
      </c>
      <c r="P271" s="492">
        <f t="shared" si="63"/>
        <v>23749955.631365836</v>
      </c>
      <c r="S271" s="348">
        <f>$E$79-(SUM($H$79:H271)*$U$75)</f>
        <v>52761311.789999977</v>
      </c>
      <c r="T271" s="38"/>
      <c r="U271" s="504"/>
    </row>
    <row r="272" spans="1:21">
      <c r="A272" s="484"/>
      <c r="B272" s="80">
        <v>46752</v>
      </c>
      <c r="C272" s="37"/>
      <c r="D272" s="103"/>
      <c r="E272" s="490">
        <f t="shared" si="60"/>
        <v>52761311.789999977</v>
      </c>
      <c r="F272" s="491">
        <f t="shared" si="61"/>
        <v>141761311.78999987</v>
      </c>
      <c r="G272" s="70">
        <f t="shared" si="55"/>
        <v>141761311.7899999</v>
      </c>
      <c r="H272" s="269">
        <f t="shared" si="54"/>
        <v>590672.13245833281</v>
      </c>
      <c r="I272" s="70">
        <f t="shared" si="58"/>
        <v>-114590393.69691607</v>
      </c>
      <c r="J272" s="70">
        <f t="shared" ref="J272:J317" si="64">(I260+I272+SUM(I261:I271)*2)/24</f>
        <v>-111046360.90216611</v>
      </c>
      <c r="K272" s="70">
        <f t="shared" si="53"/>
        <v>30714950.887833789</v>
      </c>
      <c r="L272" s="814">
        <f t="shared" si="59"/>
        <v>27170918.093083799</v>
      </c>
      <c r="M272" s="814">
        <f t="shared" si="56"/>
        <v>46166.147816249977</v>
      </c>
      <c r="N272" s="70">
        <f t="shared" si="57"/>
        <v>-7232504.35421253</v>
      </c>
      <c r="O272" s="70">
        <f t="shared" si="62"/>
        <v>-7509501.2411100306</v>
      </c>
      <c r="P272" s="492">
        <f t="shared" si="63"/>
        <v>23205449.646723758</v>
      </c>
      <c r="S272" s="348">
        <f>$E$79-(SUM($H$79:H272)*$U$75)</f>
        <v>52761311.789999977</v>
      </c>
      <c r="T272" s="38"/>
      <c r="U272" s="504"/>
    </row>
    <row r="273" spans="1:21">
      <c r="A273" s="484"/>
      <c r="B273" s="80">
        <v>46783</v>
      </c>
      <c r="C273" s="37"/>
      <c r="D273" s="103"/>
      <c r="E273" s="490">
        <f t="shared" si="60"/>
        <v>52761311.789999977</v>
      </c>
      <c r="F273" s="491">
        <f t="shared" si="61"/>
        <v>141761311.78999987</v>
      </c>
      <c r="G273" s="70">
        <f t="shared" si="55"/>
        <v>141761311.7899999</v>
      </c>
      <c r="H273" s="269">
        <f t="shared" si="54"/>
        <v>590672.13245833281</v>
      </c>
      <c r="I273" s="70">
        <f t="shared" si="58"/>
        <v>-115181065.8293744</v>
      </c>
      <c r="J273" s="70">
        <f t="shared" si="64"/>
        <v>-111637033.03462444</v>
      </c>
      <c r="K273" s="70">
        <f t="shared" si="53"/>
        <v>30124278.75537546</v>
      </c>
      <c r="L273" s="814">
        <f t="shared" si="59"/>
        <v>26580245.96062547</v>
      </c>
      <c r="M273" s="814">
        <f t="shared" si="56"/>
        <v>46166.147816249977</v>
      </c>
      <c r="N273" s="70">
        <f t="shared" si="57"/>
        <v>-7186338.2063962799</v>
      </c>
      <c r="O273" s="70">
        <f t="shared" si="62"/>
        <v>-7463335.0932937814</v>
      </c>
      <c r="P273" s="492">
        <f t="shared" si="63"/>
        <v>22660943.662081677</v>
      </c>
      <c r="S273" s="348">
        <f>$E$79-(SUM($H$79:H273)*$U$75)</f>
        <v>52761311.789999977</v>
      </c>
      <c r="T273" s="38"/>
      <c r="U273" s="504"/>
    </row>
    <row r="274" spans="1:21">
      <c r="A274" s="484"/>
      <c r="B274" s="80">
        <v>46811</v>
      </c>
      <c r="C274" s="37"/>
      <c r="D274" s="103"/>
      <c r="E274" s="490">
        <f t="shared" si="60"/>
        <v>52761311.789999977</v>
      </c>
      <c r="F274" s="491">
        <f t="shared" si="61"/>
        <v>141761311.78999987</v>
      </c>
      <c r="G274" s="70">
        <f t="shared" si="55"/>
        <v>141761311.7899999</v>
      </c>
      <c r="H274" s="269">
        <f t="shared" si="54"/>
        <v>590672.13245833281</v>
      </c>
      <c r="I274" s="70">
        <f t="shared" si="58"/>
        <v>-115771737.96183273</v>
      </c>
      <c r="J274" s="70">
        <f t="shared" si="64"/>
        <v>-112227705.16708277</v>
      </c>
      <c r="K274" s="70">
        <f t="shared" si="53"/>
        <v>29533606.622917131</v>
      </c>
      <c r="L274" s="814">
        <f t="shared" si="59"/>
        <v>25989573.82816714</v>
      </c>
      <c r="M274" s="814">
        <f t="shared" si="56"/>
        <v>46166.147816249977</v>
      </c>
      <c r="N274" s="70">
        <f t="shared" si="57"/>
        <v>-7140172.0585800298</v>
      </c>
      <c r="O274" s="70">
        <f t="shared" si="62"/>
        <v>-7417168.9454775313</v>
      </c>
      <c r="P274" s="492">
        <f t="shared" si="63"/>
        <v>22116437.6774396</v>
      </c>
      <c r="S274" s="348">
        <f>$E$79-(SUM($H$79:H274)*$U$75)</f>
        <v>52761311.789999977</v>
      </c>
      <c r="T274" s="38"/>
      <c r="U274" s="504"/>
    </row>
    <row r="275" spans="1:21">
      <c r="A275" s="484"/>
      <c r="B275" s="80">
        <v>46843</v>
      </c>
      <c r="C275" s="37"/>
      <c r="D275" s="103"/>
      <c r="E275" s="490">
        <f t="shared" si="60"/>
        <v>52761311.789999977</v>
      </c>
      <c r="F275" s="491">
        <f t="shared" si="61"/>
        <v>141761311.78999987</v>
      </c>
      <c r="G275" s="70">
        <f t="shared" si="55"/>
        <v>141761311.7899999</v>
      </c>
      <c r="H275" s="269">
        <f t="shared" si="54"/>
        <v>590672.13245833281</v>
      </c>
      <c r="I275" s="70">
        <f t="shared" si="58"/>
        <v>-116362410.09429106</v>
      </c>
      <c r="J275" s="70">
        <f t="shared" si="64"/>
        <v>-112818377.2995411</v>
      </c>
      <c r="K275" s="70">
        <f t="shared" si="53"/>
        <v>28942934.490458801</v>
      </c>
      <c r="L275" s="814">
        <f t="shared" si="59"/>
        <v>25398901.695708811</v>
      </c>
      <c r="M275" s="814">
        <f t="shared" si="56"/>
        <v>46166.147816249977</v>
      </c>
      <c r="N275" s="70">
        <f t="shared" si="57"/>
        <v>-7094005.9107637797</v>
      </c>
      <c r="O275" s="70">
        <f t="shared" si="62"/>
        <v>-7371002.7976612784</v>
      </c>
      <c r="P275" s="492">
        <f t="shared" si="63"/>
        <v>21571931.692797523</v>
      </c>
      <c r="S275" s="348">
        <f>$E$79-(SUM($H$79:H275)*$U$75)</f>
        <v>52761311.789999977</v>
      </c>
      <c r="T275" s="38"/>
      <c r="U275" s="504"/>
    </row>
    <row r="276" spans="1:21">
      <c r="A276" s="484"/>
      <c r="B276" s="80">
        <v>46873</v>
      </c>
      <c r="C276" s="37"/>
      <c r="D276" s="103"/>
      <c r="E276" s="490">
        <f t="shared" si="60"/>
        <v>52761311.789999977</v>
      </c>
      <c r="F276" s="491">
        <f t="shared" si="61"/>
        <v>141761311.78999987</v>
      </c>
      <c r="G276" s="70">
        <f t="shared" si="55"/>
        <v>141761311.7899999</v>
      </c>
      <c r="H276" s="269">
        <f t="shared" si="54"/>
        <v>590672.13245833281</v>
      </c>
      <c r="I276" s="70">
        <f t="shared" si="58"/>
        <v>-116953082.22674939</v>
      </c>
      <c r="J276" s="70">
        <f t="shared" si="64"/>
        <v>-113409049.43199943</v>
      </c>
      <c r="K276" s="70">
        <f t="shared" si="53"/>
        <v>28352262.358000472</v>
      </c>
      <c r="L276" s="814">
        <f t="shared" si="59"/>
        <v>24808229.563250482</v>
      </c>
      <c r="M276" s="814">
        <f t="shared" si="56"/>
        <v>46166.147816249977</v>
      </c>
      <c r="N276" s="70">
        <f t="shared" si="57"/>
        <v>-7047839.7629475296</v>
      </c>
      <c r="O276" s="70">
        <f t="shared" si="62"/>
        <v>-7324836.6498450311</v>
      </c>
      <c r="P276" s="492">
        <f t="shared" si="63"/>
        <v>21027425.708155442</v>
      </c>
      <c r="S276" s="348">
        <f>$E$79-(SUM($H$79:H276)*$U$75)</f>
        <v>52761311.789999977</v>
      </c>
      <c r="T276" s="38"/>
      <c r="U276" s="504"/>
    </row>
    <row r="277" spans="1:21">
      <c r="A277" s="484"/>
      <c r="B277" s="80">
        <v>46904</v>
      </c>
      <c r="C277" s="37"/>
      <c r="D277" s="103"/>
      <c r="E277" s="490">
        <f t="shared" si="60"/>
        <v>52761311.789999977</v>
      </c>
      <c r="F277" s="491">
        <f t="shared" si="61"/>
        <v>141761311.78999987</v>
      </c>
      <c r="G277" s="70">
        <f t="shared" si="55"/>
        <v>141761311.7899999</v>
      </c>
      <c r="H277" s="269">
        <f t="shared" si="54"/>
        <v>590672.13245833281</v>
      </c>
      <c r="I277" s="70">
        <f t="shared" si="58"/>
        <v>-117543754.35920772</v>
      </c>
      <c r="J277" s="70">
        <f t="shared" si="64"/>
        <v>-113999721.56445776</v>
      </c>
      <c r="K277" s="70">
        <f t="shared" ref="K277:K318" si="65">G277+J277</f>
        <v>27761590.225542143</v>
      </c>
      <c r="L277" s="814">
        <f t="shared" si="59"/>
        <v>24217557.430792153</v>
      </c>
      <c r="M277" s="814">
        <f t="shared" si="56"/>
        <v>46166.147816249977</v>
      </c>
      <c r="N277" s="70">
        <f t="shared" si="57"/>
        <v>-7001673.6151312795</v>
      </c>
      <c r="O277" s="70">
        <f t="shared" si="62"/>
        <v>-7278670.502028781</v>
      </c>
      <c r="P277" s="492">
        <f t="shared" si="63"/>
        <v>20482919.723513361</v>
      </c>
      <c r="S277" s="348">
        <f>$E$79-(SUM($H$79:H277)*$U$75)</f>
        <v>52761311.789999977</v>
      </c>
      <c r="T277" s="38"/>
      <c r="U277" s="504"/>
    </row>
    <row r="278" spans="1:21">
      <c r="A278" s="484"/>
      <c r="B278" s="80">
        <v>46934</v>
      </c>
      <c r="C278" s="37"/>
      <c r="D278" s="103"/>
      <c r="E278" s="490">
        <f t="shared" si="60"/>
        <v>52761311.789999977</v>
      </c>
      <c r="F278" s="491">
        <f t="shared" si="61"/>
        <v>141761311.78999987</v>
      </c>
      <c r="G278" s="70">
        <f t="shared" si="55"/>
        <v>141761311.7899999</v>
      </c>
      <c r="H278" s="269">
        <f t="shared" si="54"/>
        <v>590672.13245833281</v>
      </c>
      <c r="I278" s="70">
        <f t="shared" si="58"/>
        <v>-118134426.49166605</v>
      </c>
      <c r="J278" s="70">
        <f t="shared" si="64"/>
        <v>-114590393.69691609</v>
      </c>
      <c r="K278" s="70">
        <f t="shared" si="65"/>
        <v>27170918.093083814</v>
      </c>
      <c r="L278" s="814">
        <f t="shared" si="59"/>
        <v>23626885.298333824</v>
      </c>
      <c r="M278" s="814">
        <f t="shared" si="56"/>
        <v>46166.147816249977</v>
      </c>
      <c r="N278" s="70">
        <f t="shared" si="57"/>
        <v>-6955507.4673150294</v>
      </c>
      <c r="O278" s="70">
        <f t="shared" si="62"/>
        <v>-7232504.35421253</v>
      </c>
      <c r="P278" s="492">
        <f t="shared" si="63"/>
        <v>19938413.738871284</v>
      </c>
      <c r="S278" s="348">
        <f>$E$79-(SUM($H$79:H278)*$U$75)</f>
        <v>52761311.789999977</v>
      </c>
      <c r="T278" s="38"/>
      <c r="U278" s="504"/>
    </row>
    <row r="279" spans="1:21">
      <c r="A279" s="484"/>
      <c r="B279" s="80">
        <v>46965</v>
      </c>
      <c r="C279" s="37"/>
      <c r="D279" s="496"/>
      <c r="E279" s="490">
        <f t="shared" si="60"/>
        <v>52761311.789999977</v>
      </c>
      <c r="F279" s="491">
        <f t="shared" si="61"/>
        <v>141761311.78999987</v>
      </c>
      <c r="G279" s="70">
        <f t="shared" si="55"/>
        <v>141761311.7899999</v>
      </c>
      <c r="H279" s="269">
        <f t="shared" ref="H279:H318" si="66">F278/240</f>
        <v>590672.13245833281</v>
      </c>
      <c r="I279" s="70">
        <f t="shared" si="58"/>
        <v>-118725098.62412438</v>
      </c>
      <c r="J279" s="70">
        <f t="shared" si="64"/>
        <v>-115181065.82937442</v>
      </c>
      <c r="K279" s="70">
        <f t="shared" si="65"/>
        <v>26580245.960625485</v>
      </c>
      <c r="L279" s="814">
        <f t="shared" si="59"/>
        <v>23036213.165875494</v>
      </c>
      <c r="M279" s="814">
        <f t="shared" si="56"/>
        <v>46166.147816249977</v>
      </c>
      <c r="N279" s="70">
        <f t="shared" si="57"/>
        <v>-6909341.3194987793</v>
      </c>
      <c r="O279" s="70">
        <f t="shared" si="62"/>
        <v>-7186338.2063962808</v>
      </c>
      <c r="P279" s="492">
        <f t="shared" si="63"/>
        <v>19393907.754229203</v>
      </c>
      <c r="S279" s="348">
        <f>$E$79-(SUM($H$79:H279)*$U$75)</f>
        <v>52761311.789999977</v>
      </c>
      <c r="T279" s="38"/>
      <c r="U279" s="504"/>
    </row>
    <row r="280" spans="1:21">
      <c r="A280" s="484"/>
      <c r="B280" s="80">
        <v>46996</v>
      </c>
      <c r="C280" s="37"/>
      <c r="D280" s="496"/>
      <c r="E280" s="490">
        <f t="shared" si="60"/>
        <v>52761311.789999977</v>
      </c>
      <c r="F280" s="491">
        <f t="shared" si="61"/>
        <v>141761311.78999987</v>
      </c>
      <c r="G280" s="70">
        <f t="shared" si="55"/>
        <v>141761311.7899999</v>
      </c>
      <c r="H280" s="269">
        <f t="shared" si="66"/>
        <v>590672.13245833281</v>
      </c>
      <c r="I280" s="70">
        <f t="shared" si="58"/>
        <v>-119315770.75658271</v>
      </c>
      <c r="J280" s="70">
        <f t="shared" si="64"/>
        <v>-115771737.96183275</v>
      </c>
      <c r="K280" s="70">
        <f t="shared" si="65"/>
        <v>25989573.828167155</v>
      </c>
      <c r="L280" s="814">
        <f t="shared" si="59"/>
        <v>22445541.033417165</v>
      </c>
      <c r="M280" s="814">
        <f t="shared" si="56"/>
        <v>46166.147816249977</v>
      </c>
      <c r="N280" s="70">
        <f t="shared" si="57"/>
        <v>-6863175.1716825292</v>
      </c>
      <c r="O280" s="70">
        <f t="shared" si="62"/>
        <v>-7140172.0585800298</v>
      </c>
      <c r="P280" s="492">
        <f t="shared" si="63"/>
        <v>18849401.769587126</v>
      </c>
      <c r="S280" s="348">
        <f>$E$79-(SUM($H$79:H280)*$U$75)</f>
        <v>52761311.789999977</v>
      </c>
      <c r="T280" s="38"/>
      <c r="U280" s="504"/>
    </row>
    <row r="281" spans="1:21">
      <c r="A281" s="484"/>
      <c r="B281" s="80">
        <v>47026</v>
      </c>
      <c r="C281" s="37"/>
      <c r="D281" s="496"/>
      <c r="E281" s="490">
        <f t="shared" si="60"/>
        <v>52761311.789999977</v>
      </c>
      <c r="F281" s="491">
        <f t="shared" si="61"/>
        <v>141761311.78999987</v>
      </c>
      <c r="G281" s="70">
        <f t="shared" ref="G281:G319" si="67">(F269+F281+SUM(F270:F280)*2)/24</f>
        <v>141761311.7899999</v>
      </c>
      <c r="H281" s="269">
        <f t="shared" si="66"/>
        <v>590672.13245833281</v>
      </c>
      <c r="I281" s="70">
        <f t="shared" si="58"/>
        <v>-119906442.88904104</v>
      </c>
      <c r="J281" s="70">
        <f t="shared" si="64"/>
        <v>-116362410.09429108</v>
      </c>
      <c r="K281" s="70">
        <f t="shared" si="65"/>
        <v>25398901.695708826</v>
      </c>
      <c r="L281" s="814">
        <f t="shared" si="59"/>
        <v>21854868.900958836</v>
      </c>
      <c r="M281" s="814">
        <f t="shared" si="56"/>
        <v>46166.147816249977</v>
      </c>
      <c r="N281" s="70">
        <f t="shared" si="57"/>
        <v>-6817009.0238662791</v>
      </c>
      <c r="O281" s="70">
        <f t="shared" si="62"/>
        <v>-7094005.9107637815</v>
      </c>
      <c r="P281" s="492">
        <f t="shared" si="63"/>
        <v>18304895.784945045</v>
      </c>
      <c r="S281" s="348">
        <f>$E$79-(SUM($H$79:H281)*$U$75)</f>
        <v>52761311.789999977</v>
      </c>
      <c r="T281" s="38"/>
      <c r="U281" s="504"/>
    </row>
    <row r="282" spans="1:21">
      <c r="A282" s="484"/>
      <c r="B282" s="80">
        <v>47057</v>
      </c>
      <c r="C282" s="37"/>
      <c r="D282" s="496"/>
      <c r="E282" s="490">
        <f t="shared" si="60"/>
        <v>52761311.789999977</v>
      </c>
      <c r="F282" s="491">
        <f t="shared" si="61"/>
        <v>141761311.78999987</v>
      </c>
      <c r="G282" s="70">
        <f t="shared" si="67"/>
        <v>141761311.7899999</v>
      </c>
      <c r="H282" s="269">
        <f t="shared" si="66"/>
        <v>590672.13245833281</v>
      </c>
      <c r="I282" s="70">
        <f t="shared" si="58"/>
        <v>-120497115.02149937</v>
      </c>
      <c r="J282" s="70">
        <f t="shared" si="64"/>
        <v>-116953082.22674941</v>
      </c>
      <c r="K282" s="70">
        <f t="shared" si="65"/>
        <v>24808229.563250497</v>
      </c>
      <c r="L282" s="814">
        <f t="shared" si="59"/>
        <v>21264196.768500507</v>
      </c>
      <c r="M282" s="814">
        <f t="shared" ref="M282:M330" si="68">(E282/240*0.21)</f>
        <v>46166.147816249977</v>
      </c>
      <c r="N282" s="70">
        <f t="shared" si="57"/>
        <v>-6770842.8760500289</v>
      </c>
      <c r="O282" s="70">
        <f t="shared" si="62"/>
        <v>-7047839.7629475305</v>
      </c>
      <c r="P282" s="492">
        <f t="shared" si="63"/>
        <v>17760389.800302967</v>
      </c>
      <c r="S282" s="348">
        <f>$E$79-(SUM($H$79:H282)*$U$75)</f>
        <v>52761311.789999977</v>
      </c>
      <c r="T282" s="38"/>
      <c r="U282" s="504"/>
    </row>
    <row r="283" spans="1:21">
      <c r="A283" s="484"/>
      <c r="B283" s="80">
        <v>47087</v>
      </c>
      <c r="C283" s="37"/>
      <c r="D283" s="496"/>
      <c r="E283" s="490">
        <f t="shared" si="60"/>
        <v>52761311.789999977</v>
      </c>
      <c r="F283" s="491">
        <f t="shared" si="61"/>
        <v>141761311.78999987</v>
      </c>
      <c r="G283" s="70">
        <f t="shared" si="67"/>
        <v>141761311.7899999</v>
      </c>
      <c r="H283" s="269">
        <f t="shared" si="66"/>
        <v>590672.13245833281</v>
      </c>
      <c r="I283" s="70">
        <f t="shared" si="58"/>
        <v>-121087787.15395769</v>
      </c>
      <c r="J283" s="70">
        <f t="shared" si="64"/>
        <v>-117543754.35920773</v>
      </c>
      <c r="K283" s="70">
        <f t="shared" si="65"/>
        <v>24217557.430792168</v>
      </c>
      <c r="L283" s="814">
        <f t="shared" si="59"/>
        <v>20673524.636042178</v>
      </c>
      <c r="M283" s="814">
        <f t="shared" si="68"/>
        <v>46166.147816249977</v>
      </c>
      <c r="N283" s="70">
        <f t="shared" si="57"/>
        <v>-6724676.7282337788</v>
      </c>
      <c r="O283" s="70">
        <f t="shared" si="62"/>
        <v>-7001673.6151312776</v>
      </c>
      <c r="P283" s="492">
        <f t="shared" si="63"/>
        <v>17215883.81566089</v>
      </c>
      <c r="S283" s="348">
        <f>$E$79-(SUM($H$79:H283)*$U$75)</f>
        <v>52761311.789999977</v>
      </c>
      <c r="T283" s="38"/>
      <c r="U283" s="504"/>
    </row>
    <row r="284" spans="1:21">
      <c r="A284" s="484"/>
      <c r="B284" s="80">
        <v>47118</v>
      </c>
      <c r="C284" s="37"/>
      <c r="D284" s="496"/>
      <c r="E284" s="490">
        <f t="shared" si="60"/>
        <v>52761311.789999977</v>
      </c>
      <c r="F284" s="491">
        <f t="shared" si="61"/>
        <v>141761311.78999987</v>
      </c>
      <c r="G284" s="70">
        <f t="shared" si="67"/>
        <v>141761311.7899999</v>
      </c>
      <c r="H284" s="269">
        <f t="shared" si="66"/>
        <v>590672.13245833281</v>
      </c>
      <c r="I284" s="70">
        <f t="shared" si="58"/>
        <v>-121678459.28641602</v>
      </c>
      <c r="J284" s="70">
        <f t="shared" si="64"/>
        <v>-118134426.49166606</v>
      </c>
      <c r="K284" s="70">
        <f t="shared" si="65"/>
        <v>23626885.298333839</v>
      </c>
      <c r="L284" s="814">
        <f t="shared" si="59"/>
        <v>20082852.503583848</v>
      </c>
      <c r="M284" s="814">
        <f t="shared" si="68"/>
        <v>46166.147816249977</v>
      </c>
      <c r="N284" s="70">
        <f t="shared" si="57"/>
        <v>-6678510.5804175287</v>
      </c>
      <c r="O284" s="70">
        <f t="shared" si="62"/>
        <v>-6955507.4673150303</v>
      </c>
      <c r="P284" s="492">
        <f t="shared" si="63"/>
        <v>16671377.831018809</v>
      </c>
      <c r="S284" s="348">
        <f>$E$79-(SUM($H$79:H284)*$U$75)</f>
        <v>52761311.789999977</v>
      </c>
      <c r="T284" s="38"/>
      <c r="U284" s="504"/>
    </row>
    <row r="285" spans="1:21">
      <c r="A285" s="484"/>
      <c r="B285" s="80">
        <v>47149</v>
      </c>
      <c r="C285" s="37"/>
      <c r="D285" s="496"/>
      <c r="E285" s="490">
        <f t="shared" si="60"/>
        <v>52761311.789999977</v>
      </c>
      <c r="F285" s="491">
        <f t="shared" si="61"/>
        <v>141761311.78999987</v>
      </c>
      <c r="G285" s="70">
        <f t="shared" si="67"/>
        <v>141761311.7899999</v>
      </c>
      <c r="H285" s="269">
        <f t="shared" si="66"/>
        <v>590672.13245833281</v>
      </c>
      <c r="I285" s="70">
        <f t="shared" si="58"/>
        <v>-122269131.41887435</v>
      </c>
      <c r="J285" s="70">
        <f t="shared" si="64"/>
        <v>-118725098.62412439</v>
      </c>
      <c r="K285" s="70">
        <f t="shared" si="65"/>
        <v>23036213.165875509</v>
      </c>
      <c r="L285" s="814">
        <f t="shared" si="59"/>
        <v>19492180.371125519</v>
      </c>
      <c r="M285" s="814">
        <f t="shared" si="68"/>
        <v>46166.147816249977</v>
      </c>
      <c r="N285" s="70">
        <f t="shared" si="57"/>
        <v>-6632344.4326012786</v>
      </c>
      <c r="O285" s="70">
        <f t="shared" si="62"/>
        <v>-6909341.3194987802</v>
      </c>
      <c r="P285" s="492">
        <f t="shared" si="63"/>
        <v>16126871.846376728</v>
      </c>
      <c r="S285" s="348">
        <f>$E$79-(SUM($H$79:H285)*$U$75)</f>
        <v>52761311.789999977</v>
      </c>
      <c r="T285" s="38"/>
      <c r="U285" s="504"/>
    </row>
    <row r="286" spans="1:21">
      <c r="A286" s="484"/>
      <c r="B286" s="80">
        <v>47177</v>
      </c>
      <c r="C286" s="37"/>
      <c r="D286" s="496"/>
      <c r="E286" s="490">
        <f t="shared" si="60"/>
        <v>52761311.789999977</v>
      </c>
      <c r="F286" s="491">
        <f t="shared" si="61"/>
        <v>141761311.78999987</v>
      </c>
      <c r="G286" s="70">
        <f t="shared" si="67"/>
        <v>141761311.7899999</v>
      </c>
      <c r="H286" s="269">
        <f t="shared" si="66"/>
        <v>590672.13245833281</v>
      </c>
      <c r="I286" s="70">
        <f t="shared" si="58"/>
        <v>-122859803.55133268</v>
      </c>
      <c r="J286" s="70">
        <f t="shared" si="64"/>
        <v>-119315770.75658272</v>
      </c>
      <c r="K286" s="70">
        <f t="shared" si="65"/>
        <v>22445541.03341718</v>
      </c>
      <c r="L286" s="814">
        <f t="shared" si="59"/>
        <v>18901508.23866719</v>
      </c>
      <c r="M286" s="814">
        <f t="shared" si="68"/>
        <v>46166.147816249977</v>
      </c>
      <c r="N286" s="70">
        <f t="shared" si="57"/>
        <v>-6586178.2847850285</v>
      </c>
      <c r="O286" s="70">
        <f t="shared" si="62"/>
        <v>-6863175.1716825292</v>
      </c>
      <c r="P286" s="492">
        <f t="shared" si="63"/>
        <v>15582365.861734651</v>
      </c>
      <c r="S286" s="348">
        <f>$E$79-(SUM($H$79:H286)*$U$75)</f>
        <v>52761311.789999977</v>
      </c>
      <c r="T286" s="38"/>
      <c r="U286" s="504"/>
    </row>
    <row r="287" spans="1:21">
      <c r="A287" s="484"/>
      <c r="B287" s="80">
        <v>47208</v>
      </c>
      <c r="C287" s="37"/>
      <c r="D287" s="496"/>
      <c r="E287" s="490">
        <f t="shared" si="60"/>
        <v>52761311.789999977</v>
      </c>
      <c r="F287" s="491">
        <f t="shared" si="61"/>
        <v>141761311.78999987</v>
      </c>
      <c r="G287" s="70">
        <f t="shared" si="67"/>
        <v>141761311.7899999</v>
      </c>
      <c r="H287" s="269">
        <f t="shared" si="66"/>
        <v>590672.13245833281</v>
      </c>
      <c r="I287" s="70">
        <f t="shared" si="58"/>
        <v>-123450475.68379101</v>
      </c>
      <c r="J287" s="70">
        <f t="shared" si="64"/>
        <v>-119906442.88904102</v>
      </c>
      <c r="K287" s="70">
        <f t="shared" si="65"/>
        <v>21854868.900958881</v>
      </c>
      <c r="L287" s="814">
        <f t="shared" si="59"/>
        <v>18310836.106208861</v>
      </c>
      <c r="M287" s="814">
        <f t="shared" si="68"/>
        <v>46166.147816249977</v>
      </c>
      <c r="N287" s="70">
        <f t="shared" si="57"/>
        <v>-6540012.1369687784</v>
      </c>
      <c r="O287" s="70">
        <f t="shared" si="62"/>
        <v>-6817009.02386628</v>
      </c>
      <c r="P287" s="492">
        <f t="shared" si="63"/>
        <v>15037859.8770926</v>
      </c>
      <c r="S287" s="348">
        <f>$E$79-(SUM($H$79:H287)*$U$75)</f>
        <v>52761311.789999977</v>
      </c>
      <c r="T287" s="38"/>
      <c r="U287" s="504"/>
    </row>
    <row r="288" spans="1:21">
      <c r="A288" s="484"/>
      <c r="B288" s="80">
        <v>47238</v>
      </c>
      <c r="C288" s="37"/>
      <c r="D288" s="496"/>
      <c r="E288" s="490">
        <f t="shared" si="60"/>
        <v>52761311.789999977</v>
      </c>
      <c r="F288" s="491">
        <f t="shared" si="61"/>
        <v>141761311.78999987</v>
      </c>
      <c r="G288" s="70">
        <f t="shared" si="67"/>
        <v>141761311.7899999</v>
      </c>
      <c r="H288" s="269">
        <f t="shared" si="66"/>
        <v>590672.13245833281</v>
      </c>
      <c r="I288" s="70">
        <f t="shared" si="58"/>
        <v>-124041147.81624934</v>
      </c>
      <c r="J288" s="70">
        <f t="shared" si="64"/>
        <v>-120497115.02149938</v>
      </c>
      <c r="K288" s="70">
        <f t="shared" si="65"/>
        <v>21264196.768500522</v>
      </c>
      <c r="L288" s="814">
        <f t="shared" si="59"/>
        <v>17720163.973750532</v>
      </c>
      <c r="M288" s="814">
        <f t="shared" si="68"/>
        <v>46166.147816249977</v>
      </c>
      <c r="N288" s="70">
        <f t="shared" si="57"/>
        <v>-6493845.9891525283</v>
      </c>
      <c r="O288" s="70">
        <f t="shared" si="62"/>
        <v>-6770842.8760500289</v>
      </c>
      <c r="P288" s="492">
        <f t="shared" si="63"/>
        <v>14493353.892450493</v>
      </c>
      <c r="S288" s="348">
        <f>$E$79-(SUM($H$79:H288)*$U$75)</f>
        <v>52761311.789999977</v>
      </c>
      <c r="T288" s="38"/>
      <c r="U288" s="504"/>
    </row>
    <row r="289" spans="1:21">
      <c r="A289" s="484"/>
      <c r="B289" s="80">
        <v>47269</v>
      </c>
      <c r="C289" s="37"/>
      <c r="D289" s="496"/>
      <c r="E289" s="490">
        <f t="shared" si="60"/>
        <v>52761311.789999977</v>
      </c>
      <c r="F289" s="491">
        <f t="shared" si="61"/>
        <v>141761311.78999987</v>
      </c>
      <c r="G289" s="70">
        <f t="shared" si="67"/>
        <v>141761311.7899999</v>
      </c>
      <c r="H289" s="269">
        <f t="shared" si="66"/>
        <v>590672.13245833281</v>
      </c>
      <c r="I289" s="70">
        <f t="shared" si="58"/>
        <v>-124631819.94870767</v>
      </c>
      <c r="J289" s="70">
        <f t="shared" si="64"/>
        <v>-121087787.15395768</v>
      </c>
      <c r="K289" s="70">
        <f t="shared" si="65"/>
        <v>20673524.636042222</v>
      </c>
      <c r="L289" s="814">
        <f t="shared" si="59"/>
        <v>17129491.841292202</v>
      </c>
      <c r="M289" s="814">
        <f t="shared" si="68"/>
        <v>46166.147816249977</v>
      </c>
      <c r="N289" s="70">
        <f t="shared" si="57"/>
        <v>-6447679.8413362782</v>
      </c>
      <c r="O289" s="70">
        <f t="shared" si="62"/>
        <v>-6724676.7282337798</v>
      </c>
      <c r="P289" s="492">
        <f t="shared" si="63"/>
        <v>13948847.907808442</v>
      </c>
      <c r="S289" s="348">
        <f>$E$79-(SUM($H$79:H289)*$U$75)</f>
        <v>52761311.789999977</v>
      </c>
      <c r="T289" s="38"/>
      <c r="U289" s="504"/>
    </row>
    <row r="290" spans="1:21">
      <c r="A290" s="484"/>
      <c r="B290" s="80">
        <v>47299</v>
      </c>
      <c r="C290" s="37"/>
      <c r="D290" s="496"/>
      <c r="E290" s="490">
        <f t="shared" si="60"/>
        <v>52761311.789999977</v>
      </c>
      <c r="F290" s="491">
        <f t="shared" si="61"/>
        <v>141761311.78999987</v>
      </c>
      <c r="G290" s="70">
        <f t="shared" si="67"/>
        <v>141761311.7899999</v>
      </c>
      <c r="H290" s="269">
        <f t="shared" si="66"/>
        <v>590672.13245833281</v>
      </c>
      <c r="I290" s="70">
        <f t="shared" si="58"/>
        <v>-125222492.081166</v>
      </c>
      <c r="J290" s="70">
        <f t="shared" si="64"/>
        <v>-121678459.28641604</v>
      </c>
      <c r="K290" s="70">
        <f t="shared" si="65"/>
        <v>20082852.503583863</v>
      </c>
      <c r="L290" s="814">
        <f t="shared" si="59"/>
        <v>16538819.708833873</v>
      </c>
      <c r="M290" s="814">
        <f t="shared" si="68"/>
        <v>46166.147816249977</v>
      </c>
      <c r="N290" s="70">
        <f t="shared" si="57"/>
        <v>-6401513.6935200281</v>
      </c>
      <c r="O290" s="70">
        <f t="shared" si="62"/>
        <v>-6678510.5804175287</v>
      </c>
      <c r="P290" s="492">
        <f t="shared" si="63"/>
        <v>13404341.923166335</v>
      </c>
      <c r="S290" s="348">
        <f>$E$79-(SUM($H$79:H290)*$U$75)</f>
        <v>52761311.789999977</v>
      </c>
      <c r="T290" s="38"/>
      <c r="U290" s="504"/>
    </row>
    <row r="291" spans="1:21">
      <c r="A291" s="484"/>
      <c r="B291" s="80">
        <v>47330</v>
      </c>
      <c r="C291" s="37"/>
      <c r="D291" s="496"/>
      <c r="E291" s="490">
        <f t="shared" si="60"/>
        <v>52761311.789999977</v>
      </c>
      <c r="F291" s="491">
        <f t="shared" si="61"/>
        <v>141761311.78999987</v>
      </c>
      <c r="G291" s="70">
        <f t="shared" si="67"/>
        <v>141761311.7899999</v>
      </c>
      <c r="H291" s="269">
        <f t="shared" si="66"/>
        <v>590672.13245833281</v>
      </c>
      <c r="I291" s="70">
        <f t="shared" si="58"/>
        <v>-125813164.21362433</v>
      </c>
      <c r="J291" s="70">
        <f t="shared" si="64"/>
        <v>-122269131.41887434</v>
      </c>
      <c r="K291" s="70">
        <f t="shared" si="65"/>
        <v>19492180.371125564</v>
      </c>
      <c r="L291" s="814">
        <f t="shared" si="59"/>
        <v>15948147.576375544</v>
      </c>
      <c r="M291" s="814">
        <f t="shared" si="68"/>
        <v>46166.147816249977</v>
      </c>
      <c r="N291" s="70">
        <f t="shared" si="57"/>
        <v>-6355347.545703778</v>
      </c>
      <c r="O291" s="70">
        <f t="shared" si="62"/>
        <v>-6632344.4326012777</v>
      </c>
      <c r="P291" s="492">
        <f t="shared" si="63"/>
        <v>12859835.938524287</v>
      </c>
      <c r="S291" s="348">
        <f>$E$79-(SUM($H$79:H291)*$U$75)</f>
        <v>52761311.789999977</v>
      </c>
      <c r="T291" s="38"/>
      <c r="U291" s="504"/>
    </row>
    <row r="292" spans="1:21">
      <c r="A292" s="484"/>
      <c r="B292" s="80">
        <v>47361</v>
      </c>
      <c r="C292" s="37"/>
      <c r="D292" s="496"/>
      <c r="E292" s="490">
        <f t="shared" si="60"/>
        <v>52761311.789999977</v>
      </c>
      <c r="F292" s="491">
        <f t="shared" si="61"/>
        <v>141761311.78999987</v>
      </c>
      <c r="G292" s="70">
        <f t="shared" si="67"/>
        <v>141761311.7899999</v>
      </c>
      <c r="H292" s="269">
        <f t="shared" si="66"/>
        <v>590672.13245833281</v>
      </c>
      <c r="I292" s="70">
        <f t="shared" si="58"/>
        <v>-126403836.34608266</v>
      </c>
      <c r="J292" s="70">
        <f t="shared" si="64"/>
        <v>-122859803.5513327</v>
      </c>
      <c r="K292" s="70">
        <f t="shared" si="65"/>
        <v>18901508.238667205</v>
      </c>
      <c r="L292" s="814">
        <f t="shared" si="59"/>
        <v>15357475.443917215</v>
      </c>
      <c r="M292" s="814">
        <f t="shared" si="68"/>
        <v>46166.147816249977</v>
      </c>
      <c r="N292" s="70">
        <f t="shared" si="57"/>
        <v>-6309181.3978875279</v>
      </c>
      <c r="O292" s="70">
        <f t="shared" si="62"/>
        <v>-6586178.2847850295</v>
      </c>
      <c r="P292" s="492">
        <f t="shared" si="63"/>
        <v>12315329.953882176</v>
      </c>
      <c r="S292" s="348">
        <f>$E$79-(SUM($H$79:H292)*$U$75)</f>
        <v>52761311.789999977</v>
      </c>
      <c r="T292" s="38"/>
      <c r="U292" s="504"/>
    </row>
    <row r="293" spans="1:21">
      <c r="A293" s="484"/>
      <c r="B293" s="80">
        <v>47391</v>
      </c>
      <c r="C293" s="37"/>
      <c r="D293" s="496"/>
      <c r="E293" s="490">
        <f t="shared" si="60"/>
        <v>52761311.789999977</v>
      </c>
      <c r="F293" s="491">
        <f t="shared" si="61"/>
        <v>141761311.78999987</v>
      </c>
      <c r="G293" s="70">
        <f t="shared" si="67"/>
        <v>141761311.7899999</v>
      </c>
      <c r="H293" s="269">
        <f t="shared" si="66"/>
        <v>590672.13245833281</v>
      </c>
      <c r="I293" s="70">
        <f t="shared" si="58"/>
        <v>-126994508.47854099</v>
      </c>
      <c r="J293" s="70">
        <f t="shared" si="64"/>
        <v>-123450475.683791</v>
      </c>
      <c r="K293" s="70">
        <f t="shared" si="65"/>
        <v>18310836.106208906</v>
      </c>
      <c r="L293" s="814">
        <f t="shared" si="59"/>
        <v>14766803.311458886</v>
      </c>
      <c r="M293" s="814">
        <f t="shared" si="68"/>
        <v>46166.147816249977</v>
      </c>
      <c r="N293" s="70">
        <f t="shared" si="57"/>
        <v>-6263015.2500712778</v>
      </c>
      <c r="O293" s="70">
        <f t="shared" si="62"/>
        <v>-6540012.1369687775</v>
      </c>
      <c r="P293" s="492">
        <f t="shared" si="63"/>
        <v>11770823.969240129</v>
      </c>
      <c r="S293" s="348">
        <f>$E$79-(SUM($H$79:H293)*$U$75)</f>
        <v>52761311.789999977</v>
      </c>
      <c r="T293" s="38"/>
      <c r="U293" s="504"/>
    </row>
    <row r="294" spans="1:21">
      <c r="A294" s="484"/>
      <c r="B294" s="80">
        <v>47422</v>
      </c>
      <c r="C294" s="37"/>
      <c r="D294" s="496"/>
      <c r="E294" s="490">
        <f t="shared" si="60"/>
        <v>52761311.789999977</v>
      </c>
      <c r="F294" s="491">
        <f t="shared" si="61"/>
        <v>141761311.78999987</v>
      </c>
      <c r="G294" s="70">
        <f t="shared" si="67"/>
        <v>141761311.7899999</v>
      </c>
      <c r="H294" s="269">
        <f t="shared" si="66"/>
        <v>590672.13245833281</v>
      </c>
      <c r="I294" s="70">
        <f t="shared" si="58"/>
        <v>-127585180.61099932</v>
      </c>
      <c r="J294" s="70">
        <f t="shared" si="64"/>
        <v>-124041147.81624936</v>
      </c>
      <c r="K294" s="70">
        <f t="shared" si="65"/>
        <v>17720163.973750547</v>
      </c>
      <c r="L294" s="814">
        <f t="shared" si="59"/>
        <v>14176131.179000556</v>
      </c>
      <c r="M294" s="814">
        <f t="shared" si="68"/>
        <v>46166.147816249977</v>
      </c>
      <c r="N294" s="70">
        <f t="shared" si="57"/>
        <v>-6216849.1022550277</v>
      </c>
      <c r="O294" s="70">
        <f t="shared" si="62"/>
        <v>-6493845.9891525283</v>
      </c>
      <c r="P294" s="492">
        <f t="shared" si="63"/>
        <v>11226317.984598018</v>
      </c>
      <c r="S294" s="348">
        <f>$E$79-(SUM($H$79:H294)*$U$75)</f>
        <v>52761311.789999977</v>
      </c>
      <c r="T294" s="38"/>
      <c r="U294" s="504"/>
    </row>
    <row r="295" spans="1:21">
      <c r="A295" s="484"/>
      <c r="B295" s="80">
        <v>47452</v>
      </c>
      <c r="C295" s="37"/>
      <c r="D295" s="496"/>
      <c r="E295" s="490">
        <f t="shared" si="60"/>
        <v>52761311.789999977</v>
      </c>
      <c r="F295" s="491">
        <f t="shared" si="61"/>
        <v>141761311.78999987</v>
      </c>
      <c r="G295" s="70">
        <f t="shared" si="67"/>
        <v>141761311.7899999</v>
      </c>
      <c r="H295" s="269">
        <f t="shared" si="66"/>
        <v>590672.13245833281</v>
      </c>
      <c r="I295" s="70">
        <f t="shared" si="58"/>
        <v>-128175852.74345765</v>
      </c>
      <c r="J295" s="70">
        <f t="shared" si="64"/>
        <v>-124631819.94870766</v>
      </c>
      <c r="K295" s="70">
        <f t="shared" si="65"/>
        <v>17129491.841292247</v>
      </c>
      <c r="L295" s="814">
        <f t="shared" si="59"/>
        <v>13585459.046542227</v>
      </c>
      <c r="M295" s="814">
        <f t="shared" si="68"/>
        <v>46166.147816249977</v>
      </c>
      <c r="N295" s="70">
        <f t="shared" si="57"/>
        <v>-6170682.9544387776</v>
      </c>
      <c r="O295" s="70">
        <f t="shared" si="62"/>
        <v>-6447679.8413362792</v>
      </c>
      <c r="P295" s="492">
        <f t="shared" si="63"/>
        <v>10681811.999955967</v>
      </c>
      <c r="S295" s="348">
        <f>$E$79-(SUM($H$79:H295)*$U$75)</f>
        <v>52761311.789999977</v>
      </c>
      <c r="T295" s="38"/>
      <c r="U295" s="504"/>
    </row>
    <row r="296" spans="1:21">
      <c r="A296" s="484"/>
      <c r="B296" s="80">
        <v>47483</v>
      </c>
      <c r="C296" s="37"/>
      <c r="D296" s="496"/>
      <c r="E296" s="490">
        <f t="shared" si="60"/>
        <v>52761311.789999977</v>
      </c>
      <c r="F296" s="491">
        <f t="shared" si="61"/>
        <v>141761311.78999987</v>
      </c>
      <c r="G296" s="70">
        <f t="shared" si="67"/>
        <v>141761311.7899999</v>
      </c>
      <c r="H296" s="269">
        <f t="shared" si="66"/>
        <v>590672.13245833281</v>
      </c>
      <c r="I296" s="70">
        <f t="shared" si="58"/>
        <v>-128766524.87591597</v>
      </c>
      <c r="J296" s="70">
        <f t="shared" si="64"/>
        <v>-125222492.08116601</v>
      </c>
      <c r="K296" s="70">
        <f t="shared" si="65"/>
        <v>16538819.708833888</v>
      </c>
      <c r="L296" s="814">
        <f t="shared" si="59"/>
        <v>12994786.914083898</v>
      </c>
      <c r="M296" s="814">
        <f t="shared" si="68"/>
        <v>46166.147816249977</v>
      </c>
      <c r="N296" s="70">
        <f t="shared" si="57"/>
        <v>-6124516.8066225275</v>
      </c>
      <c r="O296" s="70">
        <f t="shared" si="62"/>
        <v>-6401513.6935200281</v>
      </c>
      <c r="P296" s="492">
        <f t="shared" si="63"/>
        <v>10137306.01531386</v>
      </c>
      <c r="S296" s="348">
        <f>$E$79-(SUM($H$79:H296)*$U$75)</f>
        <v>52761311.789999977</v>
      </c>
      <c r="T296" s="38"/>
      <c r="U296" s="504"/>
    </row>
    <row r="297" spans="1:21">
      <c r="A297" s="484"/>
      <c r="B297" s="80">
        <v>47514</v>
      </c>
      <c r="C297" s="37"/>
      <c r="D297" s="496"/>
      <c r="E297" s="490">
        <f t="shared" si="60"/>
        <v>52761311.789999977</v>
      </c>
      <c r="F297" s="491">
        <f t="shared" si="61"/>
        <v>141761311.78999987</v>
      </c>
      <c r="G297" s="70">
        <f t="shared" si="67"/>
        <v>141761311.7899999</v>
      </c>
      <c r="H297" s="269">
        <f t="shared" si="66"/>
        <v>590672.13245833281</v>
      </c>
      <c r="I297" s="70">
        <f t="shared" si="58"/>
        <v>-129357197.0083743</v>
      </c>
      <c r="J297" s="70">
        <f t="shared" si="64"/>
        <v>-125813164.21362431</v>
      </c>
      <c r="K297" s="70">
        <f t="shared" si="65"/>
        <v>15948147.576375589</v>
      </c>
      <c r="L297" s="814">
        <f t="shared" si="59"/>
        <v>12404114.781625569</v>
      </c>
      <c r="M297" s="814">
        <f t="shared" si="68"/>
        <v>46166.147816249977</v>
      </c>
      <c r="N297" s="70">
        <f t="shared" ref="N297:N316" si="69">N296+M297</f>
        <v>-6078350.6588062774</v>
      </c>
      <c r="O297" s="70">
        <f t="shared" si="62"/>
        <v>-6355347.5457037799</v>
      </c>
      <c r="P297" s="492">
        <f t="shared" si="63"/>
        <v>9592800.0306718089</v>
      </c>
      <c r="S297" s="348">
        <f>$E$79-(SUM($H$79:H297)*$U$75)</f>
        <v>52761311.789999977</v>
      </c>
      <c r="T297" s="38"/>
      <c r="U297" s="504"/>
    </row>
    <row r="298" spans="1:21">
      <c r="A298" s="484"/>
      <c r="B298" s="80">
        <v>47542</v>
      </c>
      <c r="C298" s="37"/>
      <c r="D298" s="496"/>
      <c r="E298" s="490">
        <f t="shared" si="60"/>
        <v>52761311.789999977</v>
      </c>
      <c r="F298" s="491">
        <f t="shared" si="61"/>
        <v>141761311.78999987</v>
      </c>
      <c r="G298" s="70">
        <f t="shared" si="67"/>
        <v>141761311.7899999</v>
      </c>
      <c r="H298" s="269">
        <f t="shared" si="66"/>
        <v>590672.13245833281</v>
      </c>
      <c r="I298" s="70">
        <f t="shared" si="58"/>
        <v>-129947869.14083263</v>
      </c>
      <c r="J298" s="70">
        <f t="shared" si="64"/>
        <v>-126403836.34608267</v>
      </c>
      <c r="K298" s="70">
        <f t="shared" si="65"/>
        <v>15357475.44391723</v>
      </c>
      <c r="L298" s="814">
        <f t="shared" si="59"/>
        <v>11813442.64916724</v>
      </c>
      <c r="M298" s="814">
        <f t="shared" si="68"/>
        <v>46166.147816249977</v>
      </c>
      <c r="N298" s="70">
        <f t="shared" si="69"/>
        <v>-6032184.5109900273</v>
      </c>
      <c r="O298" s="70">
        <f t="shared" si="62"/>
        <v>-6309181.3978875279</v>
      </c>
      <c r="P298" s="492">
        <f t="shared" si="63"/>
        <v>9048294.0460297018</v>
      </c>
      <c r="S298" s="348">
        <f>$E$79-(SUM($H$79:H298)*$U$75)</f>
        <v>52761311.789999977</v>
      </c>
      <c r="T298" s="38"/>
      <c r="U298" s="504"/>
    </row>
    <row r="299" spans="1:21">
      <c r="A299" s="484"/>
      <c r="B299" s="80">
        <v>47573</v>
      </c>
      <c r="C299" s="37"/>
      <c r="D299" s="496"/>
      <c r="E299" s="490">
        <f t="shared" si="60"/>
        <v>52761311.789999977</v>
      </c>
      <c r="F299" s="491">
        <f t="shared" si="61"/>
        <v>141761311.78999987</v>
      </c>
      <c r="G299" s="70">
        <f t="shared" si="67"/>
        <v>141761311.7899999</v>
      </c>
      <c r="H299" s="269">
        <f t="shared" si="66"/>
        <v>590672.13245833281</v>
      </c>
      <c r="I299" s="70">
        <f t="shared" si="58"/>
        <v>-130538541.27329096</v>
      </c>
      <c r="J299" s="70">
        <f t="shared" si="64"/>
        <v>-126994508.47854097</v>
      </c>
      <c r="K299" s="70">
        <f t="shared" si="65"/>
        <v>14766803.31145893</v>
      </c>
      <c r="L299" s="814">
        <f t="shared" si="59"/>
        <v>11222770.51670891</v>
      </c>
      <c r="M299" s="814">
        <f t="shared" si="68"/>
        <v>46166.147816249977</v>
      </c>
      <c r="N299" s="70">
        <f t="shared" si="69"/>
        <v>-5986018.3631737772</v>
      </c>
      <c r="O299" s="70">
        <f t="shared" si="62"/>
        <v>-6263015.2500712769</v>
      </c>
      <c r="P299" s="492">
        <f t="shared" si="63"/>
        <v>8503788.0613876544</v>
      </c>
      <c r="S299" s="348">
        <f>$E$79-(SUM($H$79:H299)*$U$75)</f>
        <v>52761311.789999977</v>
      </c>
      <c r="T299" s="38"/>
      <c r="U299" s="504"/>
    </row>
    <row r="300" spans="1:21">
      <c r="A300" s="484"/>
      <c r="B300" s="80">
        <v>47603</v>
      </c>
      <c r="C300" s="37"/>
      <c r="D300" s="496"/>
      <c r="E300" s="490">
        <f t="shared" si="60"/>
        <v>52761311.789999977</v>
      </c>
      <c r="F300" s="491">
        <f t="shared" si="61"/>
        <v>141761311.78999987</v>
      </c>
      <c r="G300" s="70">
        <f t="shared" si="67"/>
        <v>141761311.7899999</v>
      </c>
      <c r="H300" s="269">
        <f t="shared" si="66"/>
        <v>590672.13245833281</v>
      </c>
      <c r="I300" s="70">
        <f t="shared" si="58"/>
        <v>-131129213.40574929</v>
      </c>
      <c r="J300" s="70">
        <f t="shared" si="64"/>
        <v>-127585180.61099933</v>
      </c>
      <c r="K300" s="70">
        <f t="shared" si="65"/>
        <v>14176131.179000571</v>
      </c>
      <c r="L300" s="814">
        <f t="shared" si="59"/>
        <v>10632098.384250581</v>
      </c>
      <c r="M300" s="814">
        <f t="shared" si="68"/>
        <v>46166.147816249977</v>
      </c>
      <c r="N300" s="70">
        <f t="shared" si="69"/>
        <v>-5939852.2153575271</v>
      </c>
      <c r="O300" s="70">
        <f t="shared" si="62"/>
        <v>-6216849.1022550287</v>
      </c>
      <c r="P300" s="492">
        <f t="shared" si="63"/>
        <v>7959282.0767455427</v>
      </c>
      <c r="S300" s="348">
        <f>$E$79-(SUM($H$79:H300)*$U$75)</f>
        <v>52761311.789999977</v>
      </c>
      <c r="T300" s="38"/>
      <c r="U300" s="504"/>
    </row>
    <row r="301" spans="1:21">
      <c r="A301" s="484"/>
      <c r="B301" s="80">
        <v>47634</v>
      </c>
      <c r="C301" s="37"/>
      <c r="D301" s="496"/>
      <c r="E301" s="490">
        <f t="shared" si="60"/>
        <v>52761311.789999977</v>
      </c>
      <c r="F301" s="491">
        <f t="shared" si="61"/>
        <v>141761311.78999987</v>
      </c>
      <c r="G301" s="70">
        <f t="shared" si="67"/>
        <v>141761311.7899999</v>
      </c>
      <c r="H301" s="269">
        <f t="shared" si="66"/>
        <v>590672.13245833281</v>
      </c>
      <c r="I301" s="70">
        <f t="shared" si="58"/>
        <v>-131719885.53820762</v>
      </c>
      <c r="J301" s="70">
        <f t="shared" si="64"/>
        <v>-128175852.74345763</v>
      </c>
      <c r="K301" s="70">
        <f t="shared" si="65"/>
        <v>13585459.046542272</v>
      </c>
      <c r="L301" s="814">
        <f t="shared" si="59"/>
        <v>10041426.251792252</v>
      </c>
      <c r="M301" s="814">
        <f t="shared" si="68"/>
        <v>46166.147816249977</v>
      </c>
      <c r="N301" s="70">
        <f t="shared" si="69"/>
        <v>-5893686.067541277</v>
      </c>
      <c r="O301" s="70">
        <f t="shared" si="62"/>
        <v>-6170682.9544387786</v>
      </c>
      <c r="P301" s="492">
        <f t="shared" si="63"/>
        <v>7414776.0921034934</v>
      </c>
      <c r="S301" s="348">
        <f>$E$79-(SUM($H$79:H301)*$U$75)</f>
        <v>52761311.789999977</v>
      </c>
      <c r="T301" s="38"/>
      <c r="U301" s="504"/>
    </row>
    <row r="302" spans="1:21">
      <c r="A302" s="484"/>
      <c r="B302" s="80">
        <v>47664</v>
      </c>
      <c r="C302" s="37"/>
      <c r="D302" s="496"/>
      <c r="E302" s="490">
        <f t="shared" si="60"/>
        <v>52761311.789999977</v>
      </c>
      <c r="F302" s="491">
        <f t="shared" si="61"/>
        <v>141761311.78999987</v>
      </c>
      <c r="G302" s="70">
        <f t="shared" si="67"/>
        <v>141761311.7899999</v>
      </c>
      <c r="H302" s="269">
        <f t="shared" si="66"/>
        <v>590672.13245833281</v>
      </c>
      <c r="I302" s="70">
        <f t="shared" si="58"/>
        <v>-132310557.67066595</v>
      </c>
      <c r="J302" s="70">
        <f t="shared" si="64"/>
        <v>-128766524.87591599</v>
      </c>
      <c r="K302" s="70">
        <f t="shared" si="65"/>
        <v>12994786.914083913</v>
      </c>
      <c r="L302" s="814">
        <f t="shared" si="59"/>
        <v>9450754.1193339229</v>
      </c>
      <c r="M302" s="814">
        <f t="shared" si="68"/>
        <v>46166.147816249977</v>
      </c>
      <c r="N302" s="70">
        <f t="shared" si="69"/>
        <v>-5847519.9197250269</v>
      </c>
      <c r="O302" s="70">
        <f t="shared" si="62"/>
        <v>-6124516.8066225275</v>
      </c>
      <c r="P302" s="492">
        <f t="shared" si="63"/>
        <v>6870270.1074613854</v>
      </c>
      <c r="S302" s="348">
        <f>$E$79-(SUM($H$79:H302)*$U$75)</f>
        <v>52761311.789999977</v>
      </c>
      <c r="T302" s="38"/>
      <c r="U302" s="504"/>
    </row>
    <row r="303" spans="1:21">
      <c r="A303" s="484"/>
      <c r="B303" s="80">
        <v>47695</v>
      </c>
      <c r="C303" s="37"/>
      <c r="D303" s="496"/>
      <c r="E303" s="490">
        <f t="shared" si="60"/>
        <v>52761311.789999977</v>
      </c>
      <c r="F303" s="491">
        <f t="shared" si="61"/>
        <v>141761311.78999987</v>
      </c>
      <c r="G303" s="70">
        <f t="shared" si="67"/>
        <v>141761311.7899999</v>
      </c>
      <c r="H303" s="269">
        <f t="shared" si="66"/>
        <v>590672.13245833281</v>
      </c>
      <c r="I303" s="70">
        <f t="shared" si="58"/>
        <v>-132901229.80312428</v>
      </c>
      <c r="J303" s="70">
        <f t="shared" si="64"/>
        <v>-129357197.00837429</v>
      </c>
      <c r="K303" s="70">
        <f t="shared" si="65"/>
        <v>12404114.781625614</v>
      </c>
      <c r="L303" s="814">
        <f t="shared" si="59"/>
        <v>8860081.9868755937</v>
      </c>
      <c r="M303" s="814">
        <f t="shared" si="68"/>
        <v>46166.147816249977</v>
      </c>
      <c r="N303" s="70">
        <f t="shared" si="69"/>
        <v>-5801353.7719087768</v>
      </c>
      <c r="O303" s="70">
        <f t="shared" si="62"/>
        <v>-6078350.6588062784</v>
      </c>
      <c r="P303" s="492">
        <f t="shared" si="63"/>
        <v>6325764.1228193352</v>
      </c>
      <c r="S303" s="348">
        <f>$E$79-(SUM($H$79:H303)*$U$75)</f>
        <v>52761311.789999977</v>
      </c>
      <c r="T303" s="38"/>
      <c r="U303" s="504"/>
    </row>
    <row r="304" spans="1:21">
      <c r="A304" s="484"/>
      <c r="B304" s="80">
        <v>47726</v>
      </c>
      <c r="C304" s="37"/>
      <c r="D304" s="496"/>
      <c r="E304" s="490">
        <f t="shared" si="60"/>
        <v>52761311.789999977</v>
      </c>
      <c r="F304" s="491">
        <f t="shared" si="61"/>
        <v>141761311.78999987</v>
      </c>
      <c r="G304" s="70">
        <f t="shared" si="67"/>
        <v>141761311.7899999</v>
      </c>
      <c r="H304" s="269">
        <f t="shared" si="66"/>
        <v>590672.13245833281</v>
      </c>
      <c r="I304" s="70">
        <f t="shared" si="58"/>
        <v>-133491901.93558261</v>
      </c>
      <c r="J304" s="70">
        <f t="shared" si="64"/>
        <v>-129947869.14083265</v>
      </c>
      <c r="K304" s="70">
        <f t="shared" si="65"/>
        <v>11813442.649167255</v>
      </c>
      <c r="L304" s="814">
        <f t="shared" si="59"/>
        <v>8269409.8544172645</v>
      </c>
      <c r="M304" s="814">
        <f t="shared" si="68"/>
        <v>46166.147816249977</v>
      </c>
      <c r="N304" s="70">
        <f t="shared" si="69"/>
        <v>-5755187.6240925267</v>
      </c>
      <c r="O304" s="70">
        <f t="shared" si="62"/>
        <v>-6032184.5109900273</v>
      </c>
      <c r="P304" s="492">
        <f t="shared" si="63"/>
        <v>5781258.1381772272</v>
      </c>
      <c r="S304" s="348">
        <f>$E$79-(SUM($H$79:H304)*$U$75)</f>
        <v>52761311.789999977</v>
      </c>
      <c r="T304" s="38"/>
      <c r="U304" s="504"/>
    </row>
    <row r="305" spans="1:21">
      <c r="A305" s="484"/>
      <c r="B305" s="80">
        <v>47756</v>
      </c>
      <c r="C305" s="37"/>
      <c r="D305" s="496"/>
      <c r="E305" s="490">
        <f t="shared" si="60"/>
        <v>52761311.789999977</v>
      </c>
      <c r="F305" s="491">
        <f t="shared" si="61"/>
        <v>141761311.78999987</v>
      </c>
      <c r="G305" s="70">
        <f t="shared" si="67"/>
        <v>141761311.7899999</v>
      </c>
      <c r="H305" s="269">
        <f t="shared" si="66"/>
        <v>590672.13245833281</v>
      </c>
      <c r="I305" s="70">
        <f t="shared" si="58"/>
        <v>-134082574.06804094</v>
      </c>
      <c r="J305" s="70">
        <f t="shared" si="64"/>
        <v>-130538541.27329095</v>
      </c>
      <c r="K305" s="70">
        <f t="shared" si="65"/>
        <v>11222770.516708955</v>
      </c>
      <c r="L305" s="814">
        <f t="shared" si="59"/>
        <v>7678737.7219589353</v>
      </c>
      <c r="M305" s="814">
        <f t="shared" si="68"/>
        <v>46166.147816249977</v>
      </c>
      <c r="N305" s="70">
        <f t="shared" si="69"/>
        <v>-5709021.4762762766</v>
      </c>
      <c r="O305" s="70">
        <f t="shared" si="62"/>
        <v>-5986018.3631737782</v>
      </c>
      <c r="P305" s="492">
        <f t="shared" si="63"/>
        <v>5236752.153535177</v>
      </c>
      <c r="S305" s="348">
        <f>$E$79-(SUM($H$79:H305)*$U$75)</f>
        <v>52761311.789999977</v>
      </c>
      <c r="T305" s="38"/>
      <c r="U305" s="504"/>
    </row>
    <row r="306" spans="1:21">
      <c r="A306" s="484"/>
      <c r="B306" s="80">
        <v>47787</v>
      </c>
      <c r="C306" s="37"/>
      <c r="D306" s="496"/>
      <c r="E306" s="490">
        <f t="shared" si="60"/>
        <v>52761311.789999977</v>
      </c>
      <c r="F306" s="491">
        <f t="shared" si="61"/>
        <v>141761311.78999987</v>
      </c>
      <c r="G306" s="70">
        <f t="shared" si="67"/>
        <v>141761311.7899999</v>
      </c>
      <c r="H306" s="269">
        <f t="shared" si="66"/>
        <v>590672.13245833281</v>
      </c>
      <c r="I306" s="70">
        <f t="shared" si="58"/>
        <v>-134673246.20049927</v>
      </c>
      <c r="J306" s="70">
        <f t="shared" si="64"/>
        <v>-131129213.40574931</v>
      </c>
      <c r="K306" s="70">
        <f t="shared" si="65"/>
        <v>10632098.384250596</v>
      </c>
      <c r="L306" s="814">
        <f t="shared" si="59"/>
        <v>7088065.5895006061</v>
      </c>
      <c r="M306" s="814">
        <f t="shared" si="68"/>
        <v>46166.147816249977</v>
      </c>
      <c r="N306" s="70">
        <f t="shared" si="69"/>
        <v>-5662855.3284600265</v>
      </c>
      <c r="O306" s="70">
        <f t="shared" si="62"/>
        <v>-5939852.2153575271</v>
      </c>
      <c r="P306" s="492">
        <f t="shared" si="63"/>
        <v>4692246.168893069</v>
      </c>
      <c r="S306" s="348">
        <f>$E$79-(SUM($H$79:H306)*$U$75)</f>
        <v>52761311.789999977</v>
      </c>
      <c r="T306" s="38"/>
      <c r="U306" s="504"/>
    </row>
    <row r="307" spans="1:21">
      <c r="A307" s="484"/>
      <c r="B307" s="80">
        <v>47817</v>
      </c>
      <c r="C307" s="37"/>
      <c r="D307" s="496"/>
      <c r="E307" s="490">
        <f t="shared" si="60"/>
        <v>52761311.789999977</v>
      </c>
      <c r="F307" s="491">
        <f t="shared" si="61"/>
        <v>141761311.78999987</v>
      </c>
      <c r="G307" s="70">
        <f t="shared" si="67"/>
        <v>141761311.7899999</v>
      </c>
      <c r="H307" s="269">
        <f t="shared" si="66"/>
        <v>590672.13245833281</v>
      </c>
      <c r="I307" s="70">
        <f t="shared" si="58"/>
        <v>-135263918.3329576</v>
      </c>
      <c r="J307" s="70">
        <f t="shared" si="64"/>
        <v>-131719885.53820761</v>
      </c>
      <c r="K307" s="70">
        <f t="shared" si="65"/>
        <v>10041426.251792297</v>
      </c>
      <c r="L307" s="814">
        <f t="shared" si="59"/>
        <v>6497393.4570422769</v>
      </c>
      <c r="M307" s="814">
        <f t="shared" si="68"/>
        <v>46166.147816249977</v>
      </c>
      <c r="N307" s="70">
        <f t="shared" si="69"/>
        <v>-5616689.1806437764</v>
      </c>
      <c r="O307" s="70">
        <f t="shared" si="62"/>
        <v>-5893686.0675412761</v>
      </c>
      <c r="P307" s="492">
        <f t="shared" si="63"/>
        <v>4147740.1842510207</v>
      </c>
      <c r="S307" s="348">
        <f>$E$79-(SUM($H$79:H307)*$U$75)</f>
        <v>52761311.789999977</v>
      </c>
      <c r="T307" s="38"/>
      <c r="U307" s="504"/>
    </row>
    <row r="308" spans="1:21">
      <c r="A308" s="484"/>
      <c r="B308" s="80">
        <v>47848</v>
      </c>
      <c r="C308" s="37"/>
      <c r="D308" s="496"/>
      <c r="E308" s="490">
        <f t="shared" si="60"/>
        <v>52761311.789999977</v>
      </c>
      <c r="F308" s="491">
        <f t="shared" si="61"/>
        <v>141761311.78999987</v>
      </c>
      <c r="G308" s="70">
        <f t="shared" si="67"/>
        <v>141761311.7899999</v>
      </c>
      <c r="H308" s="269">
        <f t="shared" si="66"/>
        <v>590672.13245833281</v>
      </c>
      <c r="I308" s="70">
        <f t="shared" si="58"/>
        <v>-135854590.46541592</v>
      </c>
      <c r="J308" s="70">
        <f t="shared" si="64"/>
        <v>-132310557.67066596</v>
      </c>
      <c r="K308" s="70">
        <f t="shared" si="65"/>
        <v>9450754.1193339378</v>
      </c>
      <c r="L308" s="814">
        <f t="shared" si="59"/>
        <v>5906721.3245839477</v>
      </c>
      <c r="M308" s="814">
        <f t="shared" si="68"/>
        <v>46166.147816249977</v>
      </c>
      <c r="N308" s="70">
        <f t="shared" si="69"/>
        <v>-5570523.0328275263</v>
      </c>
      <c r="O308" s="70">
        <f t="shared" si="62"/>
        <v>-5847519.9197250269</v>
      </c>
      <c r="P308" s="492">
        <f t="shared" si="63"/>
        <v>3603234.1996089108</v>
      </c>
      <c r="S308" s="348">
        <f>$E$79-(SUM($H$79:H308)*$U$75)</f>
        <v>52761311.789999977</v>
      </c>
      <c r="T308" s="38"/>
      <c r="U308" s="504"/>
    </row>
    <row r="309" spans="1:21">
      <c r="A309" s="484"/>
      <c r="B309" s="80">
        <v>47879</v>
      </c>
      <c r="C309" s="37"/>
      <c r="D309" s="496"/>
      <c r="E309" s="490">
        <f t="shared" si="60"/>
        <v>52761311.789999977</v>
      </c>
      <c r="F309" s="491">
        <f t="shared" si="61"/>
        <v>141761311.78999987</v>
      </c>
      <c r="G309" s="70">
        <f t="shared" si="67"/>
        <v>141761311.7899999</v>
      </c>
      <c r="H309" s="269">
        <f t="shared" si="66"/>
        <v>590672.13245833281</v>
      </c>
      <c r="I309" s="70">
        <f t="shared" si="58"/>
        <v>-136445262.59787425</v>
      </c>
      <c r="J309" s="70">
        <f t="shared" si="64"/>
        <v>-132901229.80312426</v>
      </c>
      <c r="K309" s="70">
        <f t="shared" si="65"/>
        <v>8860081.9868756384</v>
      </c>
      <c r="L309" s="814">
        <f t="shared" si="59"/>
        <v>5316049.1921256185</v>
      </c>
      <c r="M309" s="814">
        <f t="shared" si="68"/>
        <v>46166.147816249977</v>
      </c>
      <c r="N309" s="70">
        <f t="shared" si="69"/>
        <v>-5524356.8850112762</v>
      </c>
      <c r="O309" s="70">
        <f t="shared" si="62"/>
        <v>-5801353.7719087778</v>
      </c>
      <c r="P309" s="492">
        <f t="shared" si="63"/>
        <v>3058728.2149668606</v>
      </c>
      <c r="S309" s="348">
        <f>$E$79-(SUM($H$79:H309)*$U$75)</f>
        <v>52761311.789999977</v>
      </c>
      <c r="T309" s="38"/>
      <c r="U309" s="504"/>
    </row>
    <row r="310" spans="1:21">
      <c r="A310" s="484"/>
      <c r="B310" s="80">
        <v>47907</v>
      </c>
      <c r="C310" s="37"/>
      <c r="D310" s="496"/>
      <c r="E310" s="490">
        <f t="shared" si="60"/>
        <v>52761311.789999977</v>
      </c>
      <c r="F310" s="491">
        <f t="shared" si="61"/>
        <v>141761311.78999987</v>
      </c>
      <c r="G310" s="70">
        <f t="shared" si="67"/>
        <v>141761311.7899999</v>
      </c>
      <c r="H310" s="269">
        <f t="shared" si="66"/>
        <v>590672.13245833281</v>
      </c>
      <c r="I310" s="70">
        <f>I309-H310</f>
        <v>-137035934.73033258</v>
      </c>
      <c r="J310" s="70">
        <f t="shared" si="64"/>
        <v>-133491901.93558262</v>
      </c>
      <c r="K310" s="70">
        <f t="shared" si="65"/>
        <v>8269409.8544172794</v>
      </c>
      <c r="L310" s="814">
        <f t="shared" si="59"/>
        <v>4725377.0596672893</v>
      </c>
      <c r="M310" s="814">
        <f t="shared" si="68"/>
        <v>46166.147816249977</v>
      </c>
      <c r="N310" s="70">
        <f t="shared" si="69"/>
        <v>-5478190.7371950261</v>
      </c>
      <c r="O310" s="70">
        <f t="shared" si="62"/>
        <v>-5755187.6240925267</v>
      </c>
      <c r="P310" s="492">
        <f t="shared" si="63"/>
        <v>2514222.2303247526</v>
      </c>
      <c r="S310" s="348">
        <f>$E$79-(SUM($H$79:H310)*$U$75)</f>
        <v>52761311.789999977</v>
      </c>
      <c r="T310" s="38"/>
      <c r="U310" s="504"/>
    </row>
    <row r="311" spans="1:21">
      <c r="A311" s="484"/>
      <c r="B311" s="80">
        <v>47938</v>
      </c>
      <c r="C311" s="37"/>
      <c r="D311" s="496"/>
      <c r="E311" s="490">
        <f t="shared" si="60"/>
        <v>52761311.789999977</v>
      </c>
      <c r="F311" s="491">
        <f t="shared" si="61"/>
        <v>141761311.78999987</v>
      </c>
      <c r="G311" s="70">
        <f t="shared" si="67"/>
        <v>141761311.7899999</v>
      </c>
      <c r="H311" s="269">
        <f t="shared" si="66"/>
        <v>590672.13245833281</v>
      </c>
      <c r="I311" s="70">
        <f t="shared" si="58"/>
        <v>-137626606.86279091</v>
      </c>
      <c r="J311" s="70">
        <f t="shared" si="64"/>
        <v>-134082574.06804092</v>
      </c>
      <c r="K311" s="70">
        <f t="shared" si="65"/>
        <v>7678737.72195898</v>
      </c>
      <c r="L311" s="814">
        <f t="shared" si="59"/>
        <v>4134704.9272089601</v>
      </c>
      <c r="M311" s="814">
        <f t="shared" si="68"/>
        <v>46166.147816249977</v>
      </c>
      <c r="N311" s="70">
        <f t="shared" si="69"/>
        <v>-5432024.589378776</v>
      </c>
      <c r="O311" s="70">
        <f t="shared" si="62"/>
        <v>-5709021.4762762776</v>
      </c>
      <c r="P311" s="492">
        <f t="shared" si="63"/>
        <v>1969716.2456827024</v>
      </c>
      <c r="S311" s="348">
        <f>$E$79-(SUM($H$79:H311)*$U$75)</f>
        <v>52761311.789999977</v>
      </c>
      <c r="T311" s="38"/>
      <c r="U311" s="504"/>
    </row>
    <row r="312" spans="1:21">
      <c r="A312" s="484"/>
      <c r="B312" s="80">
        <v>47968</v>
      </c>
      <c r="C312" s="37"/>
      <c r="D312" s="496"/>
      <c r="E312" s="490">
        <f t="shared" si="60"/>
        <v>52761311.789999977</v>
      </c>
      <c r="F312" s="491">
        <f t="shared" si="61"/>
        <v>141761311.78999987</v>
      </c>
      <c r="G312" s="70">
        <f t="shared" si="67"/>
        <v>141761311.7899999</v>
      </c>
      <c r="H312" s="269">
        <f t="shared" si="66"/>
        <v>590672.13245833281</v>
      </c>
      <c r="I312" s="70">
        <f t="shared" si="58"/>
        <v>-138217278.99524924</v>
      </c>
      <c r="J312" s="70">
        <f t="shared" si="64"/>
        <v>-134673246.20049927</v>
      </c>
      <c r="K312" s="70">
        <f t="shared" si="65"/>
        <v>7088065.5895006359</v>
      </c>
      <c r="L312" s="814">
        <f t="shared" si="59"/>
        <v>3544032.7947506309</v>
      </c>
      <c r="M312" s="814">
        <f t="shared" si="68"/>
        <v>46166.147816249977</v>
      </c>
      <c r="N312" s="70">
        <f t="shared" si="69"/>
        <v>-5385858.4415625259</v>
      </c>
      <c r="O312" s="70">
        <f t="shared" si="62"/>
        <v>-5662855.3284600265</v>
      </c>
      <c r="P312" s="492">
        <f t="shared" si="63"/>
        <v>1425210.2610406093</v>
      </c>
      <c r="S312" s="348">
        <f>$E$79-(SUM($H$79:H312)*$U$75)</f>
        <v>52761311.789999977</v>
      </c>
      <c r="T312" s="38"/>
      <c r="U312" s="504"/>
    </row>
    <row r="313" spans="1:21">
      <c r="A313" s="484"/>
      <c r="B313" s="80">
        <v>47999</v>
      </c>
      <c r="C313" s="37"/>
      <c r="D313" s="496"/>
      <c r="E313" s="490">
        <f t="shared" si="60"/>
        <v>52761311.789999977</v>
      </c>
      <c r="F313" s="491">
        <f t="shared" si="61"/>
        <v>141761311.78999987</v>
      </c>
      <c r="G313" s="70">
        <f t="shared" si="67"/>
        <v>141761311.7899999</v>
      </c>
      <c r="H313" s="269">
        <f t="shared" si="66"/>
        <v>590672.13245833281</v>
      </c>
      <c r="I313" s="70">
        <f t="shared" ref="I313:I330" si="70">I312-H313</f>
        <v>-138807951.12770757</v>
      </c>
      <c r="J313" s="70">
        <f t="shared" si="64"/>
        <v>-135263918.3329576</v>
      </c>
      <c r="K313" s="70">
        <f t="shared" si="65"/>
        <v>6497393.4570423067</v>
      </c>
      <c r="L313" s="814">
        <f t="shared" si="59"/>
        <v>2953360.6622923017</v>
      </c>
      <c r="M313" s="814">
        <f t="shared" si="68"/>
        <v>46166.147816249977</v>
      </c>
      <c r="N313" s="70">
        <f t="shared" si="69"/>
        <v>-5339692.2937462758</v>
      </c>
      <c r="O313" s="70">
        <f t="shared" si="62"/>
        <v>-5616689.1806437774</v>
      </c>
      <c r="P313" s="492">
        <f t="shared" si="63"/>
        <v>880704.2763985293</v>
      </c>
      <c r="S313" s="348">
        <f>$E$79-(SUM($H$79:H313)*$U$75)</f>
        <v>52761311.789999977</v>
      </c>
      <c r="T313" s="38"/>
      <c r="U313" s="504"/>
    </row>
    <row r="314" spans="1:21">
      <c r="A314" s="484"/>
      <c r="B314" s="80">
        <v>48029</v>
      </c>
      <c r="C314" s="37"/>
      <c r="D314" s="496"/>
      <c r="E314" s="490">
        <f t="shared" si="60"/>
        <v>52761311.789999977</v>
      </c>
      <c r="F314" s="491">
        <f t="shared" si="61"/>
        <v>141761311.78999987</v>
      </c>
      <c r="G314" s="70">
        <f t="shared" si="67"/>
        <v>141761311.7899999</v>
      </c>
      <c r="H314" s="269">
        <f t="shared" si="66"/>
        <v>590672.13245833281</v>
      </c>
      <c r="I314" s="70">
        <f t="shared" si="70"/>
        <v>-139398623.2601659</v>
      </c>
      <c r="J314" s="70">
        <f t="shared" si="64"/>
        <v>-135854590.46541592</v>
      </c>
      <c r="K314" s="70">
        <f t="shared" si="65"/>
        <v>5906721.3245839775</v>
      </c>
      <c r="L314" s="814">
        <f t="shared" si="59"/>
        <v>2362688.5298339725</v>
      </c>
      <c r="M314" s="814">
        <f t="shared" si="68"/>
        <v>46166.147816249977</v>
      </c>
      <c r="N314" s="70">
        <f t="shared" si="69"/>
        <v>-5293526.1459300257</v>
      </c>
      <c r="O314" s="70">
        <f t="shared" si="62"/>
        <v>-5570523.0328275273</v>
      </c>
      <c r="P314" s="492">
        <f t="shared" si="63"/>
        <v>336198.2917564502</v>
      </c>
      <c r="S314" s="348">
        <f>$E$79-(SUM($H$79:H314)*$U$75)</f>
        <v>52761311.789999977</v>
      </c>
      <c r="T314" s="38"/>
      <c r="U314" s="504"/>
    </row>
    <row r="315" spans="1:21">
      <c r="A315" s="484"/>
      <c r="B315" s="80">
        <v>48060</v>
      </c>
      <c r="C315" s="37"/>
      <c r="D315" s="496"/>
      <c r="E315" s="490">
        <f t="shared" si="60"/>
        <v>52761311.789999977</v>
      </c>
      <c r="F315" s="491">
        <f t="shared" si="61"/>
        <v>141761311.78999987</v>
      </c>
      <c r="G315" s="70">
        <f t="shared" si="67"/>
        <v>141761311.7899999</v>
      </c>
      <c r="H315" s="269">
        <f t="shared" si="66"/>
        <v>590672.13245833281</v>
      </c>
      <c r="I315" s="70">
        <f t="shared" si="70"/>
        <v>-139989295.39262423</v>
      </c>
      <c r="J315" s="70">
        <f t="shared" si="64"/>
        <v>-136445262.59787425</v>
      </c>
      <c r="K315" s="70">
        <f t="shared" si="65"/>
        <v>5316049.1921256483</v>
      </c>
      <c r="L315" s="814">
        <f t="shared" si="59"/>
        <v>1772016.3973756433</v>
      </c>
      <c r="M315" s="814">
        <f t="shared" si="68"/>
        <v>46166.147816249977</v>
      </c>
      <c r="N315" s="70">
        <f t="shared" si="69"/>
        <v>-5247359.9981137756</v>
      </c>
      <c r="O315" s="70">
        <f t="shared" si="62"/>
        <v>-5524356.8850112762</v>
      </c>
      <c r="P315" s="492">
        <f t="shared" si="63"/>
        <v>-208307.69288562797</v>
      </c>
      <c r="S315" s="348">
        <f>$E$79-(SUM($H$79:H315)*$U$75)</f>
        <v>52761311.789999977</v>
      </c>
      <c r="T315" s="38"/>
      <c r="U315" s="504"/>
    </row>
    <row r="316" spans="1:21">
      <c r="A316" s="484"/>
      <c r="B316" s="80">
        <v>48091</v>
      </c>
      <c r="C316" s="37"/>
      <c r="D316" s="496"/>
      <c r="E316" s="490">
        <f t="shared" si="60"/>
        <v>52761311.789999977</v>
      </c>
      <c r="F316" s="491">
        <f t="shared" si="61"/>
        <v>141761311.78999987</v>
      </c>
      <c r="G316" s="70">
        <f t="shared" si="67"/>
        <v>141761311.7899999</v>
      </c>
      <c r="H316" s="269">
        <f t="shared" si="66"/>
        <v>590672.13245833281</v>
      </c>
      <c r="I316" s="70">
        <f t="shared" si="70"/>
        <v>-140579967.52508256</v>
      </c>
      <c r="J316" s="70">
        <f t="shared" si="64"/>
        <v>-137035934.73033258</v>
      </c>
      <c r="K316" s="70">
        <f t="shared" si="65"/>
        <v>4725377.0596673191</v>
      </c>
      <c r="L316" s="814">
        <f t="shared" si="59"/>
        <v>1181344.2649173141</v>
      </c>
      <c r="M316" s="814">
        <f t="shared" si="68"/>
        <v>46166.147816249977</v>
      </c>
      <c r="N316" s="70">
        <f t="shared" si="69"/>
        <v>-5201193.8502975255</v>
      </c>
      <c r="O316" s="70">
        <f t="shared" si="62"/>
        <v>-5478190.7371950261</v>
      </c>
      <c r="P316" s="492">
        <f t="shared" si="63"/>
        <v>-752813.67752770707</v>
      </c>
      <c r="S316" s="348">
        <f>$E$79-(SUM($H$79:H316)*$U$75)</f>
        <v>52761311.789999977</v>
      </c>
      <c r="T316" s="38"/>
      <c r="U316" s="504"/>
    </row>
    <row r="317" spans="1:21">
      <c r="A317" s="484"/>
      <c r="B317" s="80">
        <v>48121</v>
      </c>
      <c r="C317" s="37"/>
      <c r="D317" s="496"/>
      <c r="E317" s="490">
        <f t="shared" si="60"/>
        <v>52761311.789999977</v>
      </c>
      <c r="F317" s="491">
        <f t="shared" si="61"/>
        <v>141761311.78999987</v>
      </c>
      <c r="G317" s="70">
        <f t="shared" si="67"/>
        <v>141761311.7899999</v>
      </c>
      <c r="H317" s="269">
        <f t="shared" si="66"/>
        <v>590672.13245833281</v>
      </c>
      <c r="I317" s="70">
        <f t="shared" si="70"/>
        <v>-141170639.65754089</v>
      </c>
      <c r="J317" s="70">
        <f t="shared" si="64"/>
        <v>-137626606.86279091</v>
      </c>
      <c r="K317" s="70">
        <f t="shared" si="65"/>
        <v>4134704.9272089899</v>
      </c>
      <c r="L317" s="814">
        <f>F317+I317</f>
        <v>590672.13245898485</v>
      </c>
      <c r="M317" s="814">
        <f t="shared" si="68"/>
        <v>46166.147816249977</v>
      </c>
      <c r="N317" s="70">
        <f>N316+M317</f>
        <v>-5155027.7024812754</v>
      </c>
      <c r="O317" s="70">
        <f t="shared" si="62"/>
        <v>-5432024.589378776</v>
      </c>
      <c r="P317" s="492">
        <f t="shared" si="63"/>
        <v>-1297319.6621697862</v>
      </c>
      <c r="S317" s="348">
        <f>$E$79-(SUM($H$79:H317)*$U$75)</f>
        <v>52761311.789999977</v>
      </c>
      <c r="T317" s="38"/>
      <c r="U317" s="504"/>
    </row>
    <row r="318" spans="1:21">
      <c r="A318" s="484"/>
      <c r="B318" s="497">
        <v>48152</v>
      </c>
      <c r="C318" s="37"/>
      <c r="D318" s="496"/>
      <c r="E318" s="490">
        <f t="shared" si="60"/>
        <v>52761311.789999977</v>
      </c>
      <c r="F318" s="491">
        <f t="shared" si="61"/>
        <v>141761311.78999987</v>
      </c>
      <c r="G318" s="70">
        <f t="shared" si="67"/>
        <v>141761311.7899999</v>
      </c>
      <c r="H318" s="269">
        <f t="shared" si="66"/>
        <v>590672.13245833281</v>
      </c>
      <c r="I318" s="70">
        <f t="shared" si="70"/>
        <v>-141761311.78999922</v>
      </c>
      <c r="J318" s="70">
        <f>(I306+I318+SUM(I307:I317)*2)/24</f>
        <v>-138217278.99524924</v>
      </c>
      <c r="K318" s="70">
        <f t="shared" si="65"/>
        <v>3544032.7947506607</v>
      </c>
      <c r="L318" s="814">
        <f>F318+I318</f>
        <v>6.5565109252929688E-7</v>
      </c>
      <c r="M318" s="814">
        <f t="shared" si="68"/>
        <v>46166.147816249977</v>
      </c>
      <c r="N318" s="70">
        <f>N317+M318</f>
        <v>-5108861.5546650253</v>
      </c>
      <c r="O318" s="70">
        <f t="shared" si="62"/>
        <v>-5385858.4415625269</v>
      </c>
      <c r="P318" s="492">
        <f>O318+K318</f>
        <v>-1841825.6468118662</v>
      </c>
      <c r="S318" s="348">
        <f>$E$79-(SUM($H$79:H318)*$U$75)</f>
        <v>52761311.789999977</v>
      </c>
      <c r="T318" s="38"/>
      <c r="U318" s="504"/>
    </row>
    <row r="319" spans="1:21">
      <c r="A319" s="484"/>
      <c r="B319" s="80">
        <v>48182</v>
      </c>
      <c r="C319" s="37"/>
      <c r="D319" s="496"/>
      <c r="E319" s="490">
        <f t="shared" si="60"/>
        <v>52761311.789999977</v>
      </c>
      <c r="F319" s="491">
        <f t="shared" si="61"/>
        <v>141761311.78999987</v>
      </c>
      <c r="G319" s="70">
        <f t="shared" si="67"/>
        <v>141761311.7899999</v>
      </c>
      <c r="H319" s="550">
        <f>L318</f>
        <v>6.5565109252929688E-7</v>
      </c>
      <c r="I319" s="70">
        <f t="shared" si="70"/>
        <v>-141761311.78999987</v>
      </c>
      <c r="J319" s="70">
        <f>(I307+I319+SUM(I308:I318)*2)/24</f>
        <v>-138783339.78885517</v>
      </c>
      <c r="K319" s="70">
        <f>G319+J319</f>
        <v>2977972.001144737</v>
      </c>
      <c r="L319" s="814">
        <f t="shared" ref="L319:L330" si="71">F319+I319</f>
        <v>0</v>
      </c>
      <c r="M319" s="814">
        <f t="shared" si="68"/>
        <v>46166.147816249977</v>
      </c>
      <c r="N319" s="346">
        <f>N318+M319</f>
        <v>-5062695.4068487752</v>
      </c>
      <c r="O319" s="70">
        <f>(N307+N319+SUM(N308:N318)*2)/24</f>
        <v>-5339692.2937462768</v>
      </c>
      <c r="P319" s="492">
        <f>O319+K319</f>
        <v>-2361720.2926015398</v>
      </c>
      <c r="S319" s="348">
        <f>$E$79-(SUM($H$79:H319)*$U$75)</f>
        <v>52761311.789999977</v>
      </c>
      <c r="T319" s="38"/>
      <c r="U319" s="504"/>
    </row>
    <row r="320" spans="1:21">
      <c r="A320" s="484"/>
      <c r="B320" s="80">
        <v>48213</v>
      </c>
      <c r="C320" s="37"/>
      <c r="D320" s="496"/>
      <c r="E320" s="490">
        <f t="shared" ref="E320:E330" si="72">D320+E319</f>
        <v>52761311.789999977</v>
      </c>
      <c r="F320" s="491">
        <f t="shared" ref="F320:F330" si="73">F319+D320</f>
        <v>141761311.78999987</v>
      </c>
      <c r="G320" s="70">
        <f t="shared" ref="G320:G330" si="74">(F308+F320+SUM(F309:F319)*2)/24</f>
        <v>141761311.7899999</v>
      </c>
      <c r="H320" s="550">
        <f>H319</f>
        <v>6.5565109252929688E-7</v>
      </c>
      <c r="I320" s="70">
        <f t="shared" si="70"/>
        <v>-141761311.79000053</v>
      </c>
      <c r="J320" s="70">
        <f t="shared" ref="J320:J330" si="75">(I308+I320+SUM(I309:I319)*2)/24</f>
        <v>-139300177.90475628</v>
      </c>
      <c r="K320" s="70">
        <f t="shared" ref="K320:K330" si="76">G320+J320</f>
        <v>2461133.8852436244</v>
      </c>
      <c r="L320" s="814">
        <f t="shared" si="71"/>
        <v>-6.5565109252929688E-7</v>
      </c>
      <c r="M320" s="814">
        <f t="shared" si="68"/>
        <v>46166.147816249977</v>
      </c>
      <c r="N320" s="346">
        <f t="shared" ref="N320:N330" si="77">N319+M320</f>
        <v>-5016529.2590325251</v>
      </c>
      <c r="O320" s="70">
        <f t="shared" ref="O320:O330" si="78">(N308+N320+SUM(N309:N319)*2)/24</f>
        <v>-5293526.1459300257</v>
      </c>
      <c r="P320" s="492">
        <f t="shared" ref="P320:P330" si="79">O320+K320</f>
        <v>-2832392.2606864013</v>
      </c>
      <c r="S320" s="348">
        <f>$E$79-(SUM($H$79:H320)*$U$75)</f>
        <v>52761311.789999977</v>
      </c>
      <c r="T320" s="38"/>
      <c r="U320" s="504"/>
    </row>
    <row r="321" spans="1:21">
      <c r="A321" s="484"/>
      <c r="B321" s="80">
        <v>48244</v>
      </c>
      <c r="C321" s="37"/>
      <c r="D321" s="496"/>
      <c r="E321" s="490">
        <f t="shared" si="72"/>
        <v>52761311.789999977</v>
      </c>
      <c r="F321" s="491">
        <f t="shared" si="73"/>
        <v>141761311.78999987</v>
      </c>
      <c r="G321" s="70">
        <f t="shared" si="74"/>
        <v>141761311.7899999</v>
      </c>
      <c r="H321" s="550">
        <f t="shared" ref="H321:H330" si="80">H320</f>
        <v>6.5565109252929688E-7</v>
      </c>
      <c r="I321" s="70">
        <f t="shared" si="70"/>
        <v>-141761311.79000118</v>
      </c>
      <c r="J321" s="70">
        <f t="shared" si="75"/>
        <v>-139767793.34295261</v>
      </c>
      <c r="K321" s="70">
        <f t="shared" si="76"/>
        <v>1993518.4470472932</v>
      </c>
      <c r="L321" s="814">
        <f t="shared" si="71"/>
        <v>-1.3113021850585938E-6</v>
      </c>
      <c r="M321" s="814">
        <f t="shared" si="68"/>
        <v>46166.147816249977</v>
      </c>
      <c r="N321" s="346">
        <f t="shared" si="77"/>
        <v>-4970363.111216275</v>
      </c>
      <c r="O321" s="70">
        <f t="shared" si="78"/>
        <v>-5247359.9981137747</v>
      </c>
      <c r="P321" s="492">
        <f t="shared" si="79"/>
        <v>-3253841.5510664815</v>
      </c>
      <c r="S321" s="348">
        <f>$E$79-(SUM($H$79:H321)*$U$75)</f>
        <v>52761311.789999977</v>
      </c>
      <c r="T321" s="38"/>
      <c r="U321" s="504"/>
    </row>
    <row r="322" spans="1:21">
      <c r="A322" s="484"/>
      <c r="B322" s="80">
        <v>48272</v>
      </c>
      <c r="C322" s="37"/>
      <c r="D322" s="37"/>
      <c r="E322" s="490">
        <f t="shared" si="72"/>
        <v>52761311.789999977</v>
      </c>
      <c r="F322" s="491">
        <f t="shared" si="73"/>
        <v>141761311.78999987</v>
      </c>
      <c r="G322" s="70">
        <f t="shared" si="74"/>
        <v>141761311.7899999</v>
      </c>
      <c r="H322" s="550">
        <f t="shared" si="80"/>
        <v>6.5565109252929688E-7</v>
      </c>
      <c r="I322" s="70">
        <f t="shared" si="70"/>
        <v>-141761311.79000184</v>
      </c>
      <c r="J322" s="70">
        <f t="shared" si="75"/>
        <v>-140186186.1034441</v>
      </c>
      <c r="K322" s="70">
        <f t="shared" si="76"/>
        <v>1575125.6865558028</v>
      </c>
      <c r="L322" s="814">
        <f t="shared" si="71"/>
        <v>-1.9669532775878906E-6</v>
      </c>
      <c r="M322" s="814">
        <f t="shared" si="68"/>
        <v>46166.147816249977</v>
      </c>
      <c r="N322" s="346">
        <f t="shared" si="77"/>
        <v>-4924196.9634000249</v>
      </c>
      <c r="O322" s="70">
        <f t="shared" si="78"/>
        <v>-5201193.8502975265</v>
      </c>
      <c r="P322" s="492">
        <f t="shared" si="79"/>
        <v>-3626068.1637417236</v>
      </c>
      <c r="S322" s="348">
        <f>$E$79-(SUM($H$79:H322)*$U$75)</f>
        <v>52761311.789999977</v>
      </c>
      <c r="T322" s="38"/>
      <c r="U322" s="504"/>
    </row>
    <row r="323" spans="1:21">
      <c r="A323" s="484"/>
      <c r="B323" s="80">
        <v>48304</v>
      </c>
      <c r="C323" s="37"/>
      <c r="D323" s="37"/>
      <c r="E323" s="490">
        <f t="shared" si="72"/>
        <v>52761311.789999977</v>
      </c>
      <c r="F323" s="491">
        <f t="shared" si="73"/>
        <v>141761311.78999987</v>
      </c>
      <c r="G323" s="70">
        <f t="shared" si="74"/>
        <v>141761311.7899999</v>
      </c>
      <c r="H323" s="550">
        <f t="shared" si="80"/>
        <v>6.5565109252929688E-7</v>
      </c>
      <c r="I323" s="70">
        <f t="shared" si="70"/>
        <v>-141761311.7900025</v>
      </c>
      <c r="J323" s="70">
        <f t="shared" si="75"/>
        <v>-140555356.18623081</v>
      </c>
      <c r="K323" s="70">
        <f t="shared" si="76"/>
        <v>1205955.6037690938</v>
      </c>
      <c r="L323" s="814">
        <f t="shared" si="71"/>
        <v>-2.6226043701171875E-6</v>
      </c>
      <c r="M323" s="814">
        <f t="shared" si="68"/>
        <v>46166.147816249977</v>
      </c>
      <c r="N323" s="346">
        <f t="shared" si="77"/>
        <v>-4878030.8155837748</v>
      </c>
      <c r="O323" s="70">
        <f t="shared" si="78"/>
        <v>-5155027.7024812754</v>
      </c>
      <c r="P323" s="492">
        <f t="shared" si="79"/>
        <v>-3949072.0987121817</v>
      </c>
      <c r="S323" s="348">
        <f>$E$79-(SUM($H$79:H323)*$U$75)</f>
        <v>52761311.789999977</v>
      </c>
      <c r="T323" s="38"/>
      <c r="U323" s="504"/>
    </row>
    <row r="324" spans="1:21">
      <c r="A324" s="484"/>
      <c r="B324" s="80">
        <v>48334</v>
      </c>
      <c r="C324" s="37"/>
      <c r="D324" s="496"/>
      <c r="E324" s="490">
        <f t="shared" si="72"/>
        <v>52761311.789999977</v>
      </c>
      <c r="F324" s="491">
        <f t="shared" si="73"/>
        <v>141761311.78999987</v>
      </c>
      <c r="G324" s="70">
        <f t="shared" si="74"/>
        <v>141761311.7899999</v>
      </c>
      <c r="H324" s="550">
        <f t="shared" si="80"/>
        <v>6.5565109252929688E-7</v>
      </c>
      <c r="I324" s="70">
        <f t="shared" si="70"/>
        <v>-141761311.79000315</v>
      </c>
      <c r="J324" s="70">
        <f t="shared" si="75"/>
        <v>-140875303.59131274</v>
      </c>
      <c r="K324" s="70">
        <f t="shared" si="76"/>
        <v>886008.19868716598</v>
      </c>
      <c r="L324" s="814">
        <f t="shared" si="71"/>
        <v>-3.2782554626464844E-6</v>
      </c>
      <c r="M324" s="814">
        <f t="shared" si="68"/>
        <v>46166.147816249977</v>
      </c>
      <c r="N324" s="346">
        <f t="shared" si="77"/>
        <v>-4831864.6677675247</v>
      </c>
      <c r="O324" s="70">
        <f t="shared" si="78"/>
        <v>-5108861.5546650253</v>
      </c>
      <c r="P324" s="492">
        <f t="shared" si="79"/>
        <v>-4222853.3559778593</v>
      </c>
      <c r="S324" s="348">
        <f>$E$79-(SUM($H$79:H324)*$U$75)</f>
        <v>52761311.789999977</v>
      </c>
      <c r="T324" s="38"/>
      <c r="U324" s="504"/>
    </row>
    <row r="325" spans="1:21">
      <c r="A325" s="484"/>
      <c r="B325" s="80">
        <v>48365</v>
      </c>
      <c r="C325" s="37"/>
      <c r="D325" s="496"/>
      <c r="E325" s="490">
        <f t="shared" si="72"/>
        <v>52761311.789999977</v>
      </c>
      <c r="F325" s="491">
        <f t="shared" si="73"/>
        <v>141761311.78999987</v>
      </c>
      <c r="G325" s="70">
        <f t="shared" si="74"/>
        <v>141761311.7899999</v>
      </c>
      <c r="H325" s="550">
        <f t="shared" si="80"/>
        <v>6.5565109252929688E-7</v>
      </c>
      <c r="I325" s="70">
        <f t="shared" si="70"/>
        <v>-141761311.79000381</v>
      </c>
      <c r="J325" s="70">
        <f t="shared" si="75"/>
        <v>-141146028.31868979</v>
      </c>
      <c r="K325" s="70">
        <f t="shared" si="76"/>
        <v>615283.4713101089</v>
      </c>
      <c r="L325" s="814">
        <f t="shared" si="71"/>
        <v>-3.9339065551757813E-6</v>
      </c>
      <c r="M325" s="814">
        <f t="shared" si="68"/>
        <v>46166.147816249977</v>
      </c>
      <c r="N325" s="346">
        <f t="shared" si="77"/>
        <v>-4785698.5199512746</v>
      </c>
      <c r="O325" s="70">
        <f t="shared" si="78"/>
        <v>-5062695.4068487752</v>
      </c>
      <c r="P325" s="492">
        <f t="shared" si="79"/>
        <v>-4447411.9355386663</v>
      </c>
      <c r="S325" s="348">
        <f>$E$79-(SUM($H$79:H325)*$U$75)</f>
        <v>52761311.789999977</v>
      </c>
      <c r="T325" s="38"/>
      <c r="U325" s="504"/>
    </row>
    <row r="326" spans="1:21">
      <c r="A326" s="484"/>
      <c r="B326" s="80">
        <v>48395</v>
      </c>
      <c r="C326" s="37"/>
      <c r="D326" s="496"/>
      <c r="E326" s="490">
        <f t="shared" si="72"/>
        <v>52761311.789999977</v>
      </c>
      <c r="F326" s="491">
        <f t="shared" si="73"/>
        <v>141761311.78999987</v>
      </c>
      <c r="G326" s="70">
        <f t="shared" si="74"/>
        <v>141761311.7899999</v>
      </c>
      <c r="H326" s="550">
        <f t="shared" si="80"/>
        <v>6.5565109252929688E-7</v>
      </c>
      <c r="I326" s="70">
        <f t="shared" si="70"/>
        <v>-141761311.79000446</v>
      </c>
      <c r="J326" s="70">
        <f t="shared" si="75"/>
        <v>-141367530.36836207</v>
      </c>
      <c r="K326" s="70">
        <f t="shared" si="76"/>
        <v>393781.42163783312</v>
      </c>
      <c r="L326" s="814">
        <f t="shared" si="71"/>
        <v>-4.5895576477050781E-6</v>
      </c>
      <c r="M326" s="814">
        <f t="shared" si="68"/>
        <v>46166.147816249977</v>
      </c>
      <c r="N326" s="346">
        <f t="shared" si="77"/>
        <v>-4739532.3721350245</v>
      </c>
      <c r="O326" s="70">
        <f t="shared" si="78"/>
        <v>-5016529.2590325261</v>
      </c>
      <c r="P326" s="492">
        <f t="shared" si="79"/>
        <v>-4622747.8373946929</v>
      </c>
      <c r="S326" s="348">
        <f>$E$79-(SUM($H$79:H326)*$U$75)</f>
        <v>52761311.789999977</v>
      </c>
      <c r="T326" s="38"/>
      <c r="U326" s="504"/>
    </row>
    <row r="327" spans="1:21">
      <c r="A327" s="484"/>
      <c r="B327" s="80">
        <v>48426</v>
      </c>
      <c r="C327" s="37"/>
      <c r="D327" s="496"/>
      <c r="E327" s="490">
        <f t="shared" si="72"/>
        <v>52761311.789999977</v>
      </c>
      <c r="F327" s="491">
        <f t="shared" si="73"/>
        <v>141761311.78999987</v>
      </c>
      <c r="G327" s="70">
        <f t="shared" si="74"/>
        <v>141761311.7899999</v>
      </c>
      <c r="H327" s="550">
        <f t="shared" si="80"/>
        <v>6.5565109252929688E-7</v>
      </c>
      <c r="I327" s="70">
        <f t="shared" si="70"/>
        <v>-141761311.79000512</v>
      </c>
      <c r="J327" s="70">
        <f t="shared" si="75"/>
        <v>-141539809.74032953</v>
      </c>
      <c r="K327" s="70">
        <f t="shared" si="76"/>
        <v>221502.04967036843</v>
      </c>
      <c r="L327" s="814">
        <f t="shared" si="71"/>
        <v>-5.245208740234375E-6</v>
      </c>
      <c r="M327" s="814">
        <f t="shared" si="68"/>
        <v>46166.147816249977</v>
      </c>
      <c r="N327" s="346">
        <f t="shared" si="77"/>
        <v>-4693366.2243187744</v>
      </c>
      <c r="O327" s="70">
        <f t="shared" si="78"/>
        <v>-4970363.111216276</v>
      </c>
      <c r="P327" s="492">
        <f t="shared" si="79"/>
        <v>-4748861.0615459075</v>
      </c>
      <c r="S327" s="348">
        <f>$E$79-(SUM($H$79:H327)*$U$75)</f>
        <v>52761311.789999977</v>
      </c>
      <c r="T327" s="38"/>
      <c r="U327" s="504"/>
    </row>
    <row r="328" spans="1:21">
      <c r="A328" s="484"/>
      <c r="B328" s="80">
        <v>48457</v>
      </c>
      <c r="C328" s="37"/>
      <c r="D328" s="496"/>
      <c r="E328" s="490">
        <f t="shared" si="72"/>
        <v>52761311.789999977</v>
      </c>
      <c r="F328" s="491">
        <f t="shared" si="73"/>
        <v>141761311.78999987</v>
      </c>
      <c r="G328" s="70">
        <f t="shared" si="74"/>
        <v>141761311.7899999</v>
      </c>
      <c r="H328" s="550">
        <f t="shared" si="80"/>
        <v>6.5565109252929688E-7</v>
      </c>
      <c r="I328" s="70">
        <f t="shared" si="70"/>
        <v>-141761311.79000577</v>
      </c>
      <c r="J328" s="70">
        <f t="shared" si="75"/>
        <v>-141662866.43459222</v>
      </c>
      <c r="K328" s="70">
        <f t="shared" si="76"/>
        <v>98445.355407685041</v>
      </c>
      <c r="L328" s="814">
        <f t="shared" si="71"/>
        <v>-5.9008598327636719E-6</v>
      </c>
      <c r="M328" s="814">
        <f t="shared" si="68"/>
        <v>46166.147816249977</v>
      </c>
      <c r="N328" s="346">
        <f t="shared" si="77"/>
        <v>-4647200.0765025243</v>
      </c>
      <c r="O328" s="70">
        <f t="shared" si="78"/>
        <v>-4924196.9634000249</v>
      </c>
      <c r="P328" s="492">
        <f t="shared" si="79"/>
        <v>-4825751.6079923399</v>
      </c>
      <c r="S328" s="348">
        <f>$E$79-(SUM($H$79:H328)*$U$75)</f>
        <v>52761311.789999977</v>
      </c>
      <c r="T328" s="38"/>
      <c r="U328" s="504"/>
    </row>
    <row r="329" spans="1:21">
      <c r="A329" s="484"/>
      <c r="B329" s="80">
        <v>48487</v>
      </c>
      <c r="C329" s="37"/>
      <c r="D329" s="496"/>
      <c r="E329" s="490">
        <f t="shared" si="72"/>
        <v>52761311.789999977</v>
      </c>
      <c r="F329" s="491">
        <f t="shared" si="73"/>
        <v>141761311.78999987</v>
      </c>
      <c r="G329" s="70">
        <f t="shared" si="74"/>
        <v>141761311.7899999</v>
      </c>
      <c r="H329" s="550">
        <f t="shared" si="80"/>
        <v>6.5565109252929688E-7</v>
      </c>
      <c r="I329" s="70">
        <f t="shared" si="70"/>
        <v>-141761311.79000643</v>
      </c>
      <c r="J329" s="70">
        <f t="shared" si="75"/>
        <v>-141736700.45115009</v>
      </c>
      <c r="K329" s="70">
        <f t="shared" si="76"/>
        <v>24611.338849812746</v>
      </c>
      <c r="L329" s="814">
        <f t="shared" si="71"/>
        <v>-6.5565109252929688E-6</v>
      </c>
      <c r="M329" s="814">
        <f t="shared" si="68"/>
        <v>46166.147816249977</v>
      </c>
      <c r="N329" s="346">
        <f t="shared" si="77"/>
        <v>-4601033.9286862742</v>
      </c>
      <c r="O329" s="70">
        <f t="shared" si="78"/>
        <v>-4878030.8155837739</v>
      </c>
      <c r="P329" s="492">
        <f>O329+K329</f>
        <v>-4853419.4767339611</v>
      </c>
      <c r="S329" s="348">
        <f>$E$79-(SUM($H$79:H329)*$U$75)</f>
        <v>52761311.789999977</v>
      </c>
      <c r="T329" s="38"/>
      <c r="U329" s="504"/>
    </row>
    <row r="330" spans="1:21">
      <c r="A330" s="484"/>
      <c r="B330" s="80">
        <v>48518</v>
      </c>
      <c r="C330" s="37"/>
      <c r="D330" s="496"/>
      <c r="E330" s="490">
        <f t="shared" si="72"/>
        <v>52761311.789999977</v>
      </c>
      <c r="F330" s="491">
        <f t="shared" si="73"/>
        <v>141761311.78999987</v>
      </c>
      <c r="G330" s="70">
        <f t="shared" si="74"/>
        <v>141761311.7899999</v>
      </c>
      <c r="H330" s="550">
        <f t="shared" si="80"/>
        <v>6.5565109252929688E-7</v>
      </c>
      <c r="I330" s="70">
        <f t="shared" si="70"/>
        <v>-141761311.79000708</v>
      </c>
      <c r="J330" s="70">
        <f t="shared" si="75"/>
        <v>-141761311.79000315</v>
      </c>
      <c r="K330" s="346">
        <f t="shared" si="76"/>
        <v>-3.2484531402587891E-6</v>
      </c>
      <c r="L330" s="814">
        <f t="shared" si="71"/>
        <v>-7.2121620178222656E-6</v>
      </c>
      <c r="M330" s="814">
        <f t="shared" si="68"/>
        <v>46166.147816249977</v>
      </c>
      <c r="N330" s="346">
        <f t="shared" si="77"/>
        <v>-4554867.7808700241</v>
      </c>
      <c r="O330" s="70">
        <f t="shared" si="78"/>
        <v>-4831864.6677675257</v>
      </c>
      <c r="P330" s="492">
        <f t="shared" si="79"/>
        <v>-4831864.6677707741</v>
      </c>
      <c r="S330" s="348">
        <f>$E$79-(SUM($H$79:H330)*$U$75)</f>
        <v>52761311.789999977</v>
      </c>
      <c r="T330" s="38"/>
      <c r="U330" s="504"/>
    </row>
    <row r="331" spans="1:21">
      <c r="A331" s="487"/>
      <c r="B331" s="47"/>
      <c r="C331" s="47"/>
      <c r="D331" s="498"/>
      <c r="E331" s="499"/>
      <c r="F331" s="499"/>
      <c r="G331" s="500"/>
      <c r="H331" s="501"/>
      <c r="I331" s="500"/>
      <c r="J331" s="500"/>
      <c r="K331" s="500"/>
      <c r="L331" s="828"/>
      <c r="M331" s="502"/>
      <c r="N331" s="47"/>
      <c r="O331" s="47"/>
      <c r="P331" s="503"/>
      <c r="S331" s="348"/>
      <c r="T331" s="38"/>
      <c r="U331" s="504"/>
    </row>
    <row r="332" spans="1:21">
      <c r="B332" s="34" t="s">
        <v>159</v>
      </c>
      <c r="D332" s="92"/>
      <c r="E332" s="63"/>
      <c r="F332" s="63"/>
      <c r="G332" s="70"/>
      <c r="H332" s="74"/>
      <c r="I332" s="72"/>
      <c r="J332" s="70"/>
      <c r="K332" s="70"/>
      <c r="L332" s="394"/>
      <c r="M332" s="384"/>
      <c r="N332" s="72"/>
    </row>
    <row r="333" spans="1:21">
      <c r="B333" s="34" t="s">
        <v>158</v>
      </c>
      <c r="D333" s="92"/>
      <c r="E333" s="63"/>
      <c r="F333" s="63"/>
      <c r="G333" s="70"/>
      <c r="H333" s="74"/>
      <c r="I333" s="72"/>
      <c r="J333" s="70"/>
      <c r="K333" s="70"/>
      <c r="L333" s="394"/>
      <c r="M333" s="384"/>
    </row>
    <row r="334" spans="1:21" collapsed="1">
      <c r="D334" s="92"/>
      <c r="E334" s="63"/>
      <c r="F334" s="63"/>
      <c r="G334" s="70"/>
      <c r="H334" s="74"/>
      <c r="I334" s="72"/>
      <c r="J334" s="70"/>
      <c r="K334" s="70"/>
      <c r="L334" s="394"/>
      <c r="M334" s="384"/>
    </row>
    <row r="335" spans="1:21">
      <c r="D335" s="92"/>
      <c r="E335" s="63"/>
      <c r="F335" s="63"/>
      <c r="G335" s="70"/>
      <c r="H335" s="74"/>
      <c r="I335" s="72"/>
      <c r="J335" s="70"/>
      <c r="K335" s="70"/>
      <c r="L335" s="394"/>
      <c r="M335" s="384"/>
    </row>
    <row r="336" spans="1:21">
      <c r="D336" s="92"/>
      <c r="E336" s="63"/>
      <c r="F336" s="63"/>
      <c r="G336" s="70"/>
      <c r="H336" s="74"/>
      <c r="I336" s="72"/>
      <c r="L336" s="394"/>
      <c r="M336" s="384"/>
    </row>
    <row r="337" spans="4:13">
      <c r="D337" s="92"/>
      <c r="E337" s="63"/>
      <c r="F337" s="63"/>
      <c r="G337" s="70"/>
      <c r="H337" s="74"/>
      <c r="I337" s="72"/>
      <c r="L337" s="394"/>
      <c r="M337" s="384"/>
    </row>
    <row r="338" spans="4:13">
      <c r="D338" s="92"/>
      <c r="E338" s="63"/>
      <c r="F338" s="63"/>
      <c r="G338" s="70"/>
      <c r="H338" s="74"/>
      <c r="I338" s="72"/>
      <c r="L338" s="394"/>
      <c r="M338" s="384"/>
    </row>
    <row r="339" spans="4:13">
      <c r="D339" s="92"/>
      <c r="E339" s="63"/>
      <c r="F339" s="63"/>
      <c r="G339" s="70"/>
      <c r="H339" s="74"/>
      <c r="I339" s="72"/>
      <c r="M339" s="384"/>
    </row>
    <row r="340" spans="4:13">
      <c r="D340" s="92"/>
      <c r="E340" s="63"/>
      <c r="F340" s="63"/>
      <c r="G340" s="70"/>
      <c r="H340" s="74"/>
      <c r="I340" s="72"/>
      <c r="M340" s="384"/>
    </row>
    <row r="341" spans="4:13">
      <c r="D341" s="92"/>
      <c r="E341" s="63"/>
      <c r="F341" s="63"/>
      <c r="G341" s="70"/>
      <c r="H341" s="74"/>
      <c r="I341" s="72"/>
      <c r="M341" s="384"/>
    </row>
    <row r="342" spans="4:13">
      <c r="D342" s="92"/>
      <c r="E342" s="63"/>
      <c r="F342" s="63"/>
      <c r="G342" s="70"/>
      <c r="H342" s="74"/>
      <c r="I342" s="72"/>
    </row>
    <row r="343" spans="4:13">
      <c r="D343" s="92"/>
      <c r="E343" s="63"/>
      <c r="F343" s="63"/>
      <c r="G343" s="70"/>
      <c r="H343" s="74"/>
      <c r="I343" s="72"/>
    </row>
    <row r="344" spans="4:13">
      <c r="D344" s="92"/>
      <c r="E344" s="63"/>
      <c r="F344" s="63"/>
      <c r="G344" s="70"/>
      <c r="H344" s="74"/>
      <c r="I344" s="72"/>
    </row>
    <row r="345" spans="4:13">
      <c r="D345" s="92"/>
      <c r="E345" s="63"/>
      <c r="F345" s="63"/>
      <c r="G345" s="70"/>
      <c r="H345" s="74"/>
      <c r="I345" s="72"/>
    </row>
    <row r="346" spans="4:13">
      <c r="D346" s="92"/>
      <c r="E346" s="63"/>
      <c r="F346" s="63"/>
      <c r="G346" s="70"/>
      <c r="H346" s="74"/>
      <c r="I346" s="72"/>
    </row>
    <row r="347" spans="4:13">
      <c r="D347" s="92"/>
      <c r="E347" s="63"/>
      <c r="F347" s="63"/>
      <c r="G347" s="70"/>
      <c r="H347" s="74"/>
      <c r="I347" s="72"/>
    </row>
    <row r="348" spans="4:13">
      <c r="D348" s="92"/>
      <c r="E348" s="63"/>
      <c r="F348" s="63"/>
      <c r="G348" s="70"/>
      <c r="H348" s="74"/>
      <c r="I348" s="72"/>
    </row>
    <row r="349" spans="4:13">
      <c r="D349" s="92"/>
      <c r="E349" s="63"/>
      <c r="F349" s="63"/>
      <c r="G349" s="70"/>
      <c r="H349" s="74"/>
      <c r="I349" s="72"/>
    </row>
    <row r="350" spans="4:13">
      <c r="D350" s="92"/>
      <c r="E350" s="63"/>
      <c r="F350" s="63"/>
      <c r="G350" s="70"/>
      <c r="H350" s="74"/>
      <c r="I350" s="72"/>
    </row>
    <row r="351" spans="4:13">
      <c r="D351" s="92"/>
      <c r="E351" s="63"/>
      <c r="F351" s="63"/>
      <c r="G351" s="70"/>
      <c r="H351" s="74"/>
      <c r="I351" s="72"/>
    </row>
    <row r="352" spans="4:13">
      <c r="D352" s="92"/>
      <c r="E352" s="63"/>
      <c r="F352" s="63"/>
      <c r="G352" s="70"/>
      <c r="H352" s="74"/>
      <c r="I352" s="72"/>
    </row>
    <row r="353" spans="4:9">
      <c r="D353" s="92"/>
      <c r="E353" s="63"/>
      <c r="F353" s="63"/>
      <c r="G353" s="70"/>
      <c r="H353" s="74"/>
      <c r="I353" s="72"/>
    </row>
    <row r="354" spans="4:9">
      <c r="D354" s="92"/>
      <c r="E354" s="63"/>
      <c r="F354" s="63"/>
      <c r="G354" s="70"/>
      <c r="H354" s="74"/>
      <c r="I354" s="72"/>
    </row>
    <row r="355" spans="4:9">
      <c r="D355" s="92"/>
      <c r="E355" s="63"/>
      <c r="F355" s="63"/>
      <c r="G355" s="70"/>
      <c r="H355" s="74"/>
      <c r="I355" s="72"/>
    </row>
    <row r="356" spans="4:9">
      <c r="D356" s="92"/>
      <c r="E356" s="63"/>
      <c r="F356" s="63"/>
      <c r="G356" s="70"/>
      <c r="H356" s="74"/>
      <c r="I356" s="72"/>
    </row>
    <row r="357" spans="4:9">
      <c r="D357" s="92"/>
      <c r="E357" s="63"/>
      <c r="F357" s="63"/>
      <c r="G357" s="70"/>
      <c r="H357" s="74"/>
      <c r="I357" s="72"/>
    </row>
    <row r="358" spans="4:9">
      <c r="D358" s="92"/>
      <c r="E358" s="63"/>
      <c r="F358" s="63"/>
      <c r="G358" s="70"/>
      <c r="H358" s="74"/>
      <c r="I358" s="72"/>
    </row>
    <row r="359" spans="4:9">
      <c r="D359" s="92"/>
      <c r="E359" s="63"/>
      <c r="F359" s="63"/>
      <c r="G359" s="70"/>
      <c r="H359" s="74"/>
      <c r="I359" s="72"/>
    </row>
    <row r="360" spans="4:9">
      <c r="D360" s="92"/>
      <c r="E360" s="63"/>
      <c r="F360" s="63"/>
      <c r="G360" s="70"/>
      <c r="H360" s="74"/>
      <c r="I360" s="72"/>
    </row>
    <row r="361" spans="4:9">
      <c r="D361" s="92"/>
      <c r="E361" s="63"/>
      <c r="F361" s="63"/>
      <c r="G361" s="70"/>
      <c r="H361" s="74"/>
      <c r="I361" s="72"/>
    </row>
  </sheetData>
  <mergeCells count="1">
    <mergeCell ref="D11:F11"/>
  </mergeCells>
  <phoneticPr fontId="0" type="noConversion"/>
  <printOptions horizontalCentered="1"/>
  <pageMargins left="0" right="0" top="0.75" bottom="0.5" header="0.11" footer="0"/>
  <pageSetup scale="70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AE362"/>
  <sheetViews>
    <sheetView zoomScale="55" zoomScaleNormal="55" workbookViewId="0">
      <pane xSplit="2" ySplit="11" topLeftCell="C300" activePane="bottomRight" state="frozen"/>
      <selection activeCell="R193" sqref="R193"/>
      <selection pane="topRight" activeCell="R193" sqref="R193"/>
      <selection pane="bottomLeft" activeCell="R193" sqref="R193"/>
      <selection pane="bottomRight" activeCell="K301" sqref="K301"/>
    </sheetView>
  </sheetViews>
  <sheetFormatPr defaultColWidth="9.33203125" defaultRowHeight="12.75" outlineLevelRow="1"/>
  <cols>
    <col min="1" max="1" width="2.1640625" style="34" customWidth="1"/>
    <col min="2" max="2" width="10.83203125" style="34" customWidth="1"/>
    <col min="3" max="3" width="3.1640625" style="34" customWidth="1"/>
    <col min="4" max="5" width="15.6640625" style="34" bestFit="1" customWidth="1"/>
    <col min="6" max="6" width="15.5" style="34" customWidth="1"/>
    <col min="7" max="7" width="16.1640625" style="34" bestFit="1" customWidth="1"/>
    <col min="8" max="8" width="15.83203125" style="34" bestFit="1" customWidth="1"/>
    <col min="9" max="9" width="17.33203125" style="36" bestFit="1" customWidth="1"/>
    <col min="10" max="10" width="18.33203125" style="36" bestFit="1" customWidth="1"/>
    <col min="11" max="11" width="16.1640625" style="36" bestFit="1" customWidth="1"/>
    <col min="12" max="12" width="16.5" style="36" bestFit="1" customWidth="1"/>
    <col min="13" max="13" width="19.5" style="37" bestFit="1" customWidth="1"/>
    <col min="14" max="14" width="16.5" style="37" bestFit="1" customWidth="1"/>
    <col min="15" max="15" width="15.6640625" style="37" bestFit="1" customWidth="1"/>
    <col min="16" max="16" width="16.1640625" style="37" bestFit="1" customWidth="1"/>
    <col min="17" max="17" width="1.83203125" style="37" customWidth="1"/>
    <col min="18" max="18" width="19.5" style="38" bestFit="1" customWidth="1"/>
    <col min="19" max="19" width="19.6640625" style="37" bestFit="1" customWidth="1"/>
    <col min="20" max="20" width="2" style="37" customWidth="1"/>
    <col min="21" max="21" width="15.33203125" style="37" bestFit="1" customWidth="1"/>
    <col min="22" max="22" width="47.5" style="37" bestFit="1" customWidth="1"/>
    <col min="23" max="23" width="9.33203125" style="37"/>
    <col min="24" max="24" width="15.83203125" style="37" bestFit="1" customWidth="1"/>
    <col min="25" max="31" width="9.33203125" style="37"/>
    <col min="32" max="16384" width="9.33203125" style="34"/>
  </cols>
  <sheetData>
    <row r="1" spans="1:19" ht="14.25" customHeight="1">
      <c r="B1" s="35" t="s">
        <v>8</v>
      </c>
      <c r="S1" s="39"/>
    </row>
    <row r="2" spans="1:19">
      <c r="B2" s="35" t="s">
        <v>141</v>
      </c>
      <c r="I2" s="118"/>
      <c r="J2" s="118"/>
      <c r="M2" s="91"/>
    </row>
    <row r="3" spans="1:19" ht="12.75" customHeight="1">
      <c r="B3" s="35" t="s">
        <v>146</v>
      </c>
      <c r="M3" s="120"/>
    </row>
    <row r="4" spans="1:19" ht="12.75" customHeight="1">
      <c r="B4" s="40" t="s">
        <v>142</v>
      </c>
      <c r="M4" s="91"/>
      <c r="N4" s="122"/>
    </row>
    <row r="5" spans="1:19">
      <c r="B5" s="35" t="s">
        <v>169</v>
      </c>
      <c r="C5" s="93"/>
      <c r="D5" s="94">
        <v>89000000</v>
      </c>
      <c r="I5" s="118"/>
      <c r="J5" s="119"/>
    </row>
    <row r="6" spans="1:19">
      <c r="D6" s="41"/>
      <c r="E6" s="41"/>
      <c r="F6" s="41"/>
      <c r="G6" s="42"/>
      <c r="H6" s="43"/>
      <c r="I6" s="44"/>
      <c r="J6" s="44"/>
      <c r="K6" s="44"/>
      <c r="L6" s="44"/>
      <c r="M6" s="45"/>
      <c r="N6" s="45"/>
      <c r="O6" s="45"/>
      <c r="P6" s="45"/>
      <c r="Q6" s="45"/>
      <c r="R6" s="46"/>
    </row>
    <row r="7" spans="1:19">
      <c r="A7" s="47"/>
      <c r="B7" s="47"/>
      <c r="C7" s="47"/>
      <c r="D7" s="48"/>
      <c r="E7" s="90"/>
      <c r="F7" s="90"/>
      <c r="G7" s="49"/>
      <c r="H7" s="50"/>
      <c r="I7" s="51"/>
      <c r="J7" s="51"/>
      <c r="K7" s="51"/>
      <c r="L7" s="51"/>
      <c r="M7" s="662" t="s">
        <v>144</v>
      </c>
      <c r="N7" s="51"/>
      <c r="O7" s="51"/>
      <c r="P7" s="51"/>
      <c r="Q7" s="52"/>
      <c r="R7" s="53"/>
      <c r="S7" s="54"/>
    </row>
    <row r="8" spans="1:19" ht="16.5" customHeight="1">
      <c r="B8" s="34" t="s">
        <v>15</v>
      </c>
      <c r="D8" s="97" t="s">
        <v>145</v>
      </c>
      <c r="E8" s="97" t="s">
        <v>13</v>
      </c>
      <c r="F8" s="97" t="s">
        <v>2</v>
      </c>
      <c r="G8" s="57" t="s">
        <v>101</v>
      </c>
      <c r="H8" s="43" t="s">
        <v>12</v>
      </c>
      <c r="I8" s="44" t="s">
        <v>13</v>
      </c>
      <c r="J8" s="44" t="s">
        <v>102</v>
      </c>
      <c r="K8" s="44" t="s">
        <v>11</v>
      </c>
      <c r="L8" s="44" t="s">
        <v>14</v>
      </c>
      <c r="M8" s="55" t="s">
        <v>12</v>
      </c>
      <c r="N8" s="55" t="s">
        <v>13</v>
      </c>
      <c r="O8" s="57" t="s">
        <v>103</v>
      </c>
      <c r="P8" s="55" t="s">
        <v>104</v>
      </c>
      <c r="Q8" s="55"/>
      <c r="R8" s="57"/>
      <c r="S8" s="57"/>
    </row>
    <row r="9" spans="1:19">
      <c r="A9" s="37"/>
      <c r="B9" s="58"/>
      <c r="C9" s="58"/>
      <c r="D9" s="55"/>
      <c r="E9" s="55" t="s">
        <v>145</v>
      </c>
      <c r="F9" s="55" t="s">
        <v>147</v>
      </c>
      <c r="G9" s="57" t="s">
        <v>2</v>
      </c>
      <c r="H9" s="55" t="s">
        <v>3</v>
      </c>
      <c r="I9" s="59" t="s">
        <v>3</v>
      </c>
      <c r="J9" s="59" t="s">
        <v>3</v>
      </c>
      <c r="K9" s="59" t="s">
        <v>9</v>
      </c>
      <c r="L9" s="59" t="s">
        <v>16</v>
      </c>
      <c r="M9" s="55" t="s">
        <v>17</v>
      </c>
      <c r="N9" s="57" t="s">
        <v>17</v>
      </c>
      <c r="O9" s="55" t="s">
        <v>11</v>
      </c>
      <c r="P9" s="55" t="s">
        <v>103</v>
      </c>
      <c r="Q9" s="55"/>
      <c r="R9" s="57"/>
      <c r="S9" s="57"/>
    </row>
    <row r="10" spans="1:19" ht="13.5" customHeight="1">
      <c r="A10" s="37"/>
      <c r="B10" s="58"/>
      <c r="C10" s="58"/>
      <c r="D10" s="59" t="s">
        <v>105</v>
      </c>
      <c r="E10" s="59" t="s">
        <v>23</v>
      </c>
      <c r="F10" s="57" t="s">
        <v>24</v>
      </c>
      <c r="G10" s="57" t="s">
        <v>148</v>
      </c>
      <c r="H10" s="59" t="s">
        <v>150</v>
      </c>
      <c r="I10" s="57" t="s">
        <v>151</v>
      </c>
      <c r="J10" s="59" t="s">
        <v>30</v>
      </c>
      <c r="K10" s="59" t="s">
        <v>152</v>
      </c>
      <c r="L10" s="59" t="s">
        <v>153</v>
      </c>
      <c r="M10" s="59" t="s">
        <v>154</v>
      </c>
      <c r="N10" s="57" t="s">
        <v>156</v>
      </c>
      <c r="O10" s="59" t="s">
        <v>131</v>
      </c>
      <c r="P10" s="59" t="s">
        <v>157</v>
      </c>
      <c r="Q10" s="55"/>
      <c r="R10" s="57"/>
      <c r="S10" s="57"/>
    </row>
    <row r="11" spans="1:19" ht="13.5" customHeight="1">
      <c r="A11" s="47"/>
      <c r="B11" s="60"/>
      <c r="C11" s="60"/>
      <c r="D11" s="981" t="s">
        <v>149</v>
      </c>
      <c r="E11" s="981"/>
      <c r="F11" s="981"/>
      <c r="G11" s="703"/>
      <c r="H11" s="662" t="s">
        <v>615</v>
      </c>
      <c r="I11" s="61"/>
      <c r="J11" s="51"/>
      <c r="K11" s="51"/>
      <c r="L11" s="51"/>
      <c r="M11" s="51" t="s">
        <v>155</v>
      </c>
      <c r="N11" s="61"/>
      <c r="O11" s="51"/>
      <c r="P11" s="51"/>
      <c r="Q11" s="55"/>
      <c r="R11" s="57"/>
      <c r="S11" s="57"/>
    </row>
    <row r="12" spans="1:19" ht="14.25" hidden="1" customHeight="1" outlineLevel="1">
      <c r="B12" s="69">
        <v>38837</v>
      </c>
      <c r="C12" s="35"/>
      <c r="D12" s="114">
        <v>105187</v>
      </c>
      <c r="E12" s="63">
        <f>D12</f>
        <v>105187</v>
      </c>
      <c r="F12" s="94">
        <f>D5+E12</f>
        <v>89105187</v>
      </c>
      <c r="G12" s="64"/>
      <c r="H12" s="43"/>
      <c r="I12" s="44"/>
      <c r="J12" s="65"/>
      <c r="K12" s="65"/>
      <c r="L12" s="65">
        <f>F12+I12</f>
        <v>89105187</v>
      </c>
      <c r="M12" s="66"/>
      <c r="N12" s="66"/>
      <c r="O12" s="66"/>
      <c r="P12" s="66"/>
      <c r="Q12" s="66"/>
      <c r="R12" s="67"/>
      <c r="S12" s="68"/>
    </row>
    <row r="13" spans="1:19" ht="14.25" hidden="1" customHeight="1" outlineLevel="1">
      <c r="B13" s="69">
        <v>38868</v>
      </c>
      <c r="D13" s="95">
        <v>799858.97</v>
      </c>
      <c r="E13" s="63">
        <f>D13+E12</f>
        <v>905045.97</v>
      </c>
      <c r="F13" s="96">
        <f>F12+D13</f>
        <v>89905045.969999999</v>
      </c>
      <c r="G13" s="64"/>
      <c r="H13" s="43"/>
      <c r="I13" s="44"/>
      <c r="J13" s="65"/>
      <c r="K13" s="65"/>
      <c r="L13" s="65">
        <f t="shared" ref="L13:L76" si="0">F13+I13</f>
        <v>89905045.969999999</v>
      </c>
      <c r="M13" s="66"/>
      <c r="N13" s="66"/>
      <c r="O13" s="66"/>
      <c r="P13" s="66"/>
      <c r="Q13" s="66"/>
      <c r="R13" s="67"/>
      <c r="S13" s="68"/>
    </row>
    <row r="14" spans="1:19" ht="14.25" hidden="1" customHeight="1" outlineLevel="1">
      <c r="B14" s="69">
        <v>38898</v>
      </c>
      <c r="D14" s="95">
        <v>799858.97</v>
      </c>
      <c r="E14" s="63">
        <f t="shared" ref="E14:E77" si="1">D14+E13</f>
        <v>1704904.94</v>
      </c>
      <c r="F14" s="96">
        <f>F13+D14</f>
        <v>90704904.939999998</v>
      </c>
      <c r="G14" s="64"/>
      <c r="H14" s="43"/>
      <c r="I14" s="44"/>
      <c r="J14" s="65"/>
      <c r="K14" s="65"/>
      <c r="L14" s="65">
        <f t="shared" si="0"/>
        <v>90704904.939999998</v>
      </c>
      <c r="M14" s="66"/>
      <c r="N14" s="66"/>
      <c r="O14" s="66"/>
      <c r="P14" s="66"/>
      <c r="Q14" s="66"/>
      <c r="R14" s="67"/>
      <c r="S14" s="68"/>
    </row>
    <row r="15" spans="1:19" ht="14.25" hidden="1" customHeight="1" outlineLevel="1">
      <c r="B15" s="69">
        <v>38929</v>
      </c>
      <c r="D15" s="95">
        <v>799858.97</v>
      </c>
      <c r="E15" s="63">
        <f t="shared" si="1"/>
        <v>2504763.91</v>
      </c>
      <c r="F15" s="96">
        <f t="shared" ref="F15:F77" si="2">F14+D15</f>
        <v>91504763.909999996</v>
      </c>
      <c r="G15" s="64"/>
      <c r="H15" s="43"/>
      <c r="I15" s="44"/>
      <c r="J15" s="65"/>
      <c r="K15" s="65"/>
      <c r="L15" s="65">
        <f t="shared" si="0"/>
        <v>91504763.909999996</v>
      </c>
      <c r="M15" s="66"/>
      <c r="N15" s="66"/>
      <c r="O15" s="66"/>
      <c r="P15" s="66"/>
      <c r="Q15" s="66"/>
      <c r="R15" s="67"/>
      <c r="S15" s="68"/>
    </row>
    <row r="16" spans="1:19" ht="14.25" hidden="1" customHeight="1" outlineLevel="1">
      <c r="B16" s="69">
        <v>38960</v>
      </c>
      <c r="D16" s="95">
        <v>799858.97</v>
      </c>
      <c r="E16" s="63">
        <f t="shared" si="1"/>
        <v>3304622.88</v>
      </c>
      <c r="F16" s="96">
        <f t="shared" si="2"/>
        <v>92304622.879999995</v>
      </c>
      <c r="G16" s="64"/>
      <c r="H16" s="43"/>
      <c r="I16" s="44"/>
      <c r="J16" s="65"/>
      <c r="K16" s="65"/>
      <c r="L16" s="65">
        <f t="shared" si="0"/>
        <v>92304622.879999995</v>
      </c>
      <c r="M16" s="66"/>
      <c r="N16" s="66"/>
      <c r="O16" s="66"/>
      <c r="P16" s="66"/>
      <c r="Q16" s="66"/>
      <c r="R16" s="67"/>
      <c r="S16" s="68"/>
    </row>
    <row r="17" spans="2:19" ht="14.25" hidden="1" customHeight="1" outlineLevel="1">
      <c r="B17" s="69">
        <v>38990</v>
      </c>
      <c r="D17" s="95">
        <v>799858.97</v>
      </c>
      <c r="E17" s="63">
        <f t="shared" si="1"/>
        <v>4104481.8499999996</v>
      </c>
      <c r="F17" s="96">
        <f t="shared" si="2"/>
        <v>93104481.849999994</v>
      </c>
      <c r="G17" s="64"/>
      <c r="H17" s="43"/>
      <c r="I17" s="44"/>
      <c r="J17" s="65"/>
      <c r="K17" s="65"/>
      <c r="L17" s="65">
        <f t="shared" si="0"/>
        <v>93104481.849999994</v>
      </c>
      <c r="M17" s="66"/>
      <c r="N17" s="66"/>
      <c r="O17" s="66"/>
      <c r="P17" s="66"/>
      <c r="Q17" s="66"/>
      <c r="R17" s="67"/>
      <c r="S17" s="68"/>
    </row>
    <row r="18" spans="2:19" ht="14.25" hidden="1" customHeight="1" outlineLevel="1">
      <c r="B18" s="69">
        <v>39021</v>
      </c>
      <c r="D18" s="95">
        <v>799858.97</v>
      </c>
      <c r="E18" s="63">
        <f t="shared" si="1"/>
        <v>4904340.8199999994</v>
      </c>
      <c r="F18" s="96">
        <f t="shared" si="2"/>
        <v>93904340.819999993</v>
      </c>
      <c r="G18" s="64"/>
      <c r="H18" s="43"/>
      <c r="I18" s="44"/>
      <c r="J18" s="65"/>
      <c r="K18" s="65"/>
      <c r="L18" s="65">
        <f t="shared" si="0"/>
        <v>93904340.819999993</v>
      </c>
      <c r="M18" s="66"/>
      <c r="N18" s="66"/>
      <c r="O18" s="66"/>
      <c r="P18" s="66"/>
      <c r="Q18" s="66"/>
      <c r="R18" s="67"/>
      <c r="S18" s="68"/>
    </row>
    <row r="19" spans="2:19" ht="14.25" hidden="1" customHeight="1" outlineLevel="1">
      <c r="B19" s="69">
        <v>39051</v>
      </c>
      <c r="D19" s="95">
        <v>799858.97</v>
      </c>
      <c r="E19" s="63">
        <f t="shared" si="1"/>
        <v>5704199.7899999991</v>
      </c>
      <c r="F19" s="96">
        <f t="shared" si="2"/>
        <v>94704199.789999992</v>
      </c>
      <c r="G19" s="64"/>
      <c r="H19" s="43"/>
      <c r="I19" s="44"/>
      <c r="J19" s="65"/>
      <c r="K19" s="65"/>
      <c r="L19" s="65">
        <f t="shared" si="0"/>
        <v>94704199.789999992</v>
      </c>
      <c r="M19" s="66"/>
      <c r="N19" s="66"/>
      <c r="O19" s="66"/>
      <c r="P19" s="66"/>
      <c r="Q19" s="66"/>
      <c r="R19" s="67"/>
      <c r="S19" s="68"/>
    </row>
    <row r="20" spans="2:19" ht="14.25" hidden="1" customHeight="1" outlineLevel="1">
      <c r="B20" s="69">
        <v>39082</v>
      </c>
      <c r="D20" s="95">
        <v>799858.97</v>
      </c>
      <c r="E20" s="63">
        <f t="shared" si="1"/>
        <v>6504058.7599999988</v>
      </c>
      <c r="F20" s="96">
        <f t="shared" si="2"/>
        <v>95504058.75999999</v>
      </c>
      <c r="G20" s="64"/>
      <c r="H20" s="43"/>
      <c r="I20" s="44"/>
      <c r="J20" s="65"/>
      <c r="K20" s="65"/>
      <c r="L20" s="65">
        <f t="shared" si="0"/>
        <v>95504058.75999999</v>
      </c>
      <c r="M20" s="66"/>
      <c r="N20" s="66"/>
      <c r="O20" s="66"/>
      <c r="P20" s="66"/>
      <c r="Q20" s="66"/>
      <c r="R20" s="67"/>
      <c r="S20" s="68"/>
    </row>
    <row r="21" spans="2:19" ht="14.25" hidden="1" customHeight="1" outlineLevel="1">
      <c r="B21" s="69">
        <v>39113</v>
      </c>
      <c r="D21" s="95">
        <v>803355.67</v>
      </c>
      <c r="E21" s="63">
        <f t="shared" si="1"/>
        <v>7307414.4299999988</v>
      </c>
      <c r="F21" s="96">
        <f>F20+D21</f>
        <v>96307414.429999992</v>
      </c>
      <c r="G21" s="64"/>
      <c r="H21" s="43"/>
      <c r="I21" s="44"/>
      <c r="J21" s="65"/>
      <c r="K21" s="65"/>
      <c r="L21" s="65">
        <f t="shared" si="0"/>
        <v>96307414.429999992</v>
      </c>
      <c r="M21" s="66"/>
      <c r="N21" s="66"/>
      <c r="O21" s="66"/>
      <c r="P21" s="66"/>
      <c r="Q21" s="66"/>
      <c r="R21" s="67"/>
      <c r="S21" s="68"/>
    </row>
    <row r="22" spans="2:19" ht="14.25" hidden="1" customHeight="1" outlineLevel="1">
      <c r="B22" s="69">
        <v>39141</v>
      </c>
      <c r="D22" s="95">
        <v>805564.1</v>
      </c>
      <c r="E22" s="63">
        <f t="shared" si="1"/>
        <v>8112978.5299999984</v>
      </c>
      <c r="F22" s="96">
        <f t="shared" si="2"/>
        <v>97112978.529999986</v>
      </c>
      <c r="G22" s="64"/>
      <c r="H22" s="43"/>
      <c r="I22" s="44"/>
      <c r="J22" s="65"/>
      <c r="K22" s="65"/>
      <c r="L22" s="65">
        <f t="shared" si="0"/>
        <v>97112978.529999986</v>
      </c>
      <c r="M22" s="66"/>
      <c r="N22" s="66"/>
      <c r="O22" s="66"/>
      <c r="P22" s="66"/>
      <c r="Q22" s="66"/>
      <c r="R22" s="67"/>
      <c r="S22" s="68"/>
    </row>
    <row r="23" spans="2:19" ht="14.25" hidden="1" customHeight="1" outlineLevel="1">
      <c r="B23" s="69">
        <v>39172</v>
      </c>
      <c r="D23" s="95">
        <v>805564.1</v>
      </c>
      <c r="E23" s="63">
        <f t="shared" si="1"/>
        <v>8918542.629999999</v>
      </c>
      <c r="F23" s="96">
        <f t="shared" si="2"/>
        <v>97918542.62999998</v>
      </c>
      <c r="G23" s="64"/>
      <c r="H23" s="43"/>
      <c r="I23" s="44"/>
      <c r="J23" s="65"/>
      <c r="K23" s="65"/>
      <c r="L23" s="65">
        <f t="shared" si="0"/>
        <v>97918542.62999998</v>
      </c>
      <c r="M23" s="66"/>
      <c r="N23" s="66"/>
      <c r="O23" s="66"/>
      <c r="P23" s="66"/>
      <c r="Q23" s="66"/>
      <c r="R23" s="67"/>
      <c r="S23" s="68"/>
    </row>
    <row r="24" spans="2:19" ht="14.25" hidden="1" customHeight="1" outlineLevel="1">
      <c r="B24" s="69">
        <v>39202</v>
      </c>
      <c r="D24" s="95">
        <v>805564.1</v>
      </c>
      <c r="E24" s="63">
        <f t="shared" si="1"/>
        <v>9724106.7299999986</v>
      </c>
      <c r="F24" s="96">
        <f t="shared" si="2"/>
        <v>98724106.729999974</v>
      </c>
      <c r="G24" s="70">
        <f>(F12+F24+SUM(F13:F23)*2)/24</f>
        <v>93907500.114583313</v>
      </c>
      <c r="H24" s="43"/>
      <c r="I24" s="44"/>
      <c r="J24" s="65"/>
      <c r="K24" s="65"/>
      <c r="L24" s="65">
        <f t="shared" si="0"/>
        <v>98724106.729999974</v>
      </c>
      <c r="M24" s="66"/>
      <c r="N24" s="66"/>
      <c r="O24" s="66"/>
      <c r="P24" s="66"/>
      <c r="Q24" s="66"/>
      <c r="R24" s="67"/>
      <c r="S24" s="68"/>
    </row>
    <row r="25" spans="2:19" ht="14.25" hidden="1" customHeight="1" outlineLevel="1">
      <c r="B25" s="69">
        <v>39233</v>
      </c>
      <c r="D25" s="95">
        <v>805564.1</v>
      </c>
      <c r="E25" s="63">
        <f t="shared" si="1"/>
        <v>10529670.829999998</v>
      </c>
      <c r="F25" s="96">
        <f>F24+D25</f>
        <v>99529670.829999968</v>
      </c>
      <c r="G25" s="70">
        <f>(F13+F25+SUM(F14:F24)*2)/24</f>
        <v>94709314.472500011</v>
      </c>
      <c r="H25" s="43"/>
      <c r="I25" s="44"/>
      <c r="J25" s="65"/>
      <c r="K25" s="65"/>
      <c r="L25" s="65">
        <f t="shared" si="0"/>
        <v>99529670.829999968</v>
      </c>
      <c r="M25" s="66"/>
      <c r="N25" s="66"/>
      <c r="O25" s="66"/>
      <c r="P25" s="66"/>
      <c r="Q25" s="66"/>
      <c r="R25" s="67"/>
      <c r="S25" s="68"/>
    </row>
    <row r="26" spans="2:19" ht="14.25" hidden="1" customHeight="1" outlineLevel="1">
      <c r="B26" s="69">
        <v>39263</v>
      </c>
      <c r="D26" s="95">
        <v>805564.1</v>
      </c>
      <c r="E26" s="63">
        <f t="shared" si="1"/>
        <v>11335234.929999998</v>
      </c>
      <c r="F26" s="96">
        <f t="shared" si="2"/>
        <v>100335234.92999996</v>
      </c>
      <c r="G26" s="70">
        <f t="shared" ref="G26:G89" si="3">(F14+F26+SUM(F15:F25)*2)/24</f>
        <v>95511604.257916644</v>
      </c>
      <c r="H26" s="43"/>
      <c r="I26" s="44"/>
      <c r="J26" s="65"/>
      <c r="K26" s="65"/>
      <c r="L26" s="65">
        <f t="shared" si="0"/>
        <v>100335234.92999996</v>
      </c>
      <c r="M26" s="66"/>
      <c r="N26" s="66"/>
      <c r="O26" s="66"/>
      <c r="P26" s="66"/>
      <c r="Q26" s="66"/>
      <c r="R26" s="67"/>
      <c r="S26" s="68"/>
    </row>
    <row r="27" spans="2:19" ht="14.25" hidden="1" customHeight="1" outlineLevel="1">
      <c r="B27" s="69">
        <v>39294</v>
      </c>
      <c r="D27" s="95">
        <v>805564.1</v>
      </c>
      <c r="E27" s="63">
        <f t="shared" si="1"/>
        <v>12140799.029999997</v>
      </c>
      <c r="F27" s="96">
        <f t="shared" si="2"/>
        <v>101140799.02999996</v>
      </c>
      <c r="G27" s="70">
        <f t="shared" si="3"/>
        <v>96314369.470833302</v>
      </c>
      <c r="H27" s="43"/>
      <c r="I27" s="44"/>
      <c r="J27" s="65"/>
      <c r="K27" s="65"/>
      <c r="L27" s="65">
        <f t="shared" si="0"/>
        <v>101140799.02999996</v>
      </c>
      <c r="M27" s="66"/>
      <c r="N27" s="66"/>
      <c r="O27" s="66"/>
      <c r="P27" s="66"/>
      <c r="Q27" s="66"/>
      <c r="R27" s="67"/>
      <c r="S27" s="68"/>
    </row>
    <row r="28" spans="2:19" ht="14.25" hidden="1" customHeight="1" outlineLevel="1">
      <c r="B28" s="69">
        <v>39325</v>
      </c>
      <c r="D28" s="95">
        <v>805564.1</v>
      </c>
      <c r="E28" s="63">
        <f t="shared" si="1"/>
        <v>12946363.129999997</v>
      </c>
      <c r="F28" s="96">
        <f t="shared" si="2"/>
        <v>101946363.12999995</v>
      </c>
      <c r="G28" s="70">
        <f t="shared" si="3"/>
        <v>97117610.111249983</v>
      </c>
      <c r="H28" s="43"/>
      <c r="I28" s="44"/>
      <c r="J28" s="65"/>
      <c r="K28" s="65"/>
      <c r="L28" s="65">
        <f>F28+I28</f>
        <v>101946363.12999995</v>
      </c>
      <c r="M28" s="66"/>
      <c r="N28" s="66"/>
      <c r="O28" s="66"/>
      <c r="P28" s="66"/>
      <c r="Q28" s="66"/>
      <c r="R28" s="67"/>
      <c r="S28" s="68"/>
    </row>
    <row r="29" spans="2:19" ht="14.25" hidden="1" customHeight="1" outlineLevel="1">
      <c r="B29" s="69">
        <v>39355</v>
      </c>
      <c r="D29" s="95">
        <v>805564.1</v>
      </c>
      <c r="E29" s="63">
        <f t="shared" si="1"/>
        <v>13751927.229999997</v>
      </c>
      <c r="F29" s="96">
        <f t="shared" si="2"/>
        <v>102751927.22999994</v>
      </c>
      <c r="G29" s="70">
        <f t="shared" si="3"/>
        <v>97921326.17916663</v>
      </c>
      <c r="H29" s="43"/>
      <c r="I29" s="44"/>
      <c r="J29" s="65"/>
      <c r="K29" s="65"/>
      <c r="L29" s="65">
        <f t="shared" si="0"/>
        <v>102751927.22999994</v>
      </c>
      <c r="M29" s="66"/>
      <c r="N29" s="66"/>
      <c r="O29" s="66"/>
      <c r="P29" s="66"/>
      <c r="Q29" s="66"/>
      <c r="R29" s="67"/>
      <c r="S29" s="68"/>
    </row>
    <row r="30" spans="2:19" ht="14.25" hidden="1" customHeight="1" outlineLevel="1">
      <c r="B30" s="69">
        <v>39386</v>
      </c>
      <c r="D30" s="95">
        <v>805564.1</v>
      </c>
      <c r="E30" s="63">
        <f t="shared" si="1"/>
        <v>14557491.329999996</v>
      </c>
      <c r="F30" s="96">
        <f t="shared" si="2"/>
        <v>103557491.32999994</v>
      </c>
      <c r="G30" s="70">
        <f t="shared" si="3"/>
        <v>98725517.674583316</v>
      </c>
      <c r="H30" s="43"/>
      <c r="I30" s="44"/>
      <c r="J30" s="65"/>
      <c r="K30" s="65"/>
      <c r="L30" s="65">
        <f t="shared" si="0"/>
        <v>103557491.32999994</v>
      </c>
      <c r="M30" s="66"/>
      <c r="N30" s="66"/>
      <c r="O30" s="66"/>
      <c r="P30" s="66"/>
      <c r="Q30" s="66"/>
      <c r="R30" s="67"/>
      <c r="S30" s="68"/>
    </row>
    <row r="31" spans="2:19" ht="14.25" hidden="1" customHeight="1" outlineLevel="1">
      <c r="B31" s="69">
        <v>39416</v>
      </c>
      <c r="D31" s="95">
        <v>805564.1</v>
      </c>
      <c r="E31" s="63">
        <f t="shared" si="1"/>
        <v>15363055.429999996</v>
      </c>
      <c r="F31" s="96">
        <f t="shared" si="2"/>
        <v>104363055.42999993</v>
      </c>
      <c r="G31" s="70">
        <f t="shared" si="3"/>
        <v>99530184.597499967</v>
      </c>
      <c r="H31" s="43"/>
      <c r="I31" s="44"/>
      <c r="J31" s="65"/>
      <c r="K31" s="65"/>
      <c r="L31" s="65">
        <f t="shared" si="0"/>
        <v>104363055.42999993</v>
      </c>
      <c r="M31" s="66"/>
      <c r="N31" s="66"/>
      <c r="O31" s="66"/>
      <c r="P31" s="66"/>
      <c r="Q31" s="66"/>
      <c r="R31" s="67"/>
      <c r="S31" s="68"/>
    </row>
    <row r="32" spans="2:19" ht="14.25" hidden="1" customHeight="1" outlineLevel="1">
      <c r="B32" s="69">
        <v>39447</v>
      </c>
      <c r="D32" s="95">
        <v>805564.1</v>
      </c>
      <c r="E32" s="63">
        <f t="shared" si="1"/>
        <v>16168619.529999996</v>
      </c>
      <c r="F32" s="96">
        <f t="shared" si="2"/>
        <v>105168619.52999993</v>
      </c>
      <c r="G32" s="70">
        <f t="shared" si="3"/>
        <v>100335326.94791663</v>
      </c>
      <c r="H32" s="43"/>
      <c r="I32" s="44"/>
      <c r="J32" s="65"/>
      <c r="K32" s="65"/>
      <c r="L32" s="65">
        <f t="shared" si="0"/>
        <v>105168619.52999993</v>
      </c>
      <c r="M32" s="66"/>
      <c r="N32" s="66"/>
      <c r="O32" s="66"/>
      <c r="P32" s="66"/>
      <c r="Q32" s="66"/>
      <c r="R32" s="67"/>
      <c r="S32" s="68"/>
    </row>
    <row r="33" spans="2:19" ht="14.25" hidden="1" customHeight="1" outlineLevel="1">
      <c r="B33" s="69">
        <v>39478</v>
      </c>
      <c r="D33" s="95">
        <v>805564.1</v>
      </c>
      <c r="E33" s="63">
        <f t="shared" si="1"/>
        <v>16974183.629999995</v>
      </c>
      <c r="F33" s="96">
        <f t="shared" si="2"/>
        <v>105974183.62999992</v>
      </c>
      <c r="G33" s="70">
        <f t="shared" si="3"/>
        <v>101140799.02999996</v>
      </c>
      <c r="H33" s="43"/>
      <c r="I33" s="44"/>
      <c r="J33" s="65"/>
      <c r="K33" s="65"/>
      <c r="L33" s="65">
        <f t="shared" si="0"/>
        <v>105974183.62999992</v>
      </c>
      <c r="M33" s="66"/>
      <c r="N33" s="66"/>
      <c r="O33" s="66"/>
      <c r="P33" s="66"/>
      <c r="Q33" s="66"/>
      <c r="R33" s="67"/>
      <c r="S33" s="68"/>
    </row>
    <row r="34" spans="2:19" ht="14.25" hidden="1" customHeight="1" outlineLevel="1">
      <c r="B34" s="69">
        <v>39506</v>
      </c>
      <c r="D34" s="95">
        <v>805564.1</v>
      </c>
      <c r="E34" s="63">
        <f t="shared" si="1"/>
        <v>17779747.729999997</v>
      </c>
      <c r="F34" s="96">
        <f>F33+D34</f>
        <v>106779747.72999991</v>
      </c>
      <c r="G34" s="70">
        <f t="shared" si="3"/>
        <v>101946363.12999995</v>
      </c>
      <c r="H34" s="43"/>
      <c r="I34" s="44"/>
      <c r="J34" s="65"/>
      <c r="K34" s="65"/>
      <c r="L34" s="65">
        <f t="shared" si="0"/>
        <v>106779747.72999991</v>
      </c>
      <c r="M34" s="66"/>
      <c r="N34" s="66"/>
      <c r="O34" s="66"/>
      <c r="P34" s="66"/>
      <c r="Q34" s="66"/>
      <c r="R34" s="67"/>
      <c r="S34" s="68"/>
    </row>
    <row r="35" spans="2:19" ht="14.25" hidden="1" customHeight="1" outlineLevel="1">
      <c r="B35" s="69">
        <v>39538</v>
      </c>
      <c r="D35" s="95">
        <v>805564.1</v>
      </c>
      <c r="E35" s="63">
        <f t="shared" si="1"/>
        <v>18585311.829999998</v>
      </c>
      <c r="F35" s="96">
        <f t="shared" si="2"/>
        <v>107585311.82999991</v>
      </c>
      <c r="G35" s="70">
        <f t="shared" si="3"/>
        <v>102751927.22999996</v>
      </c>
      <c r="H35" s="43"/>
      <c r="I35" s="44"/>
      <c r="J35" s="65"/>
      <c r="K35" s="65"/>
      <c r="L35" s="65">
        <f t="shared" si="0"/>
        <v>107585311.82999991</v>
      </c>
      <c r="M35" s="66"/>
      <c r="N35" s="66"/>
      <c r="O35" s="66"/>
      <c r="P35" s="66"/>
      <c r="Q35" s="66"/>
      <c r="R35" s="67"/>
      <c r="S35" s="68"/>
    </row>
    <row r="36" spans="2:19" ht="14.25" hidden="1" customHeight="1" outlineLevel="1">
      <c r="B36" s="69">
        <v>39568</v>
      </c>
      <c r="D36" s="95">
        <v>805564.1</v>
      </c>
      <c r="E36" s="63">
        <f t="shared" si="1"/>
        <v>19390875.93</v>
      </c>
      <c r="F36" s="96">
        <f t="shared" si="2"/>
        <v>108390875.9299999</v>
      </c>
      <c r="G36" s="70">
        <f t="shared" si="3"/>
        <v>103557491.32999994</v>
      </c>
      <c r="H36" s="43"/>
      <c r="I36" s="44"/>
      <c r="J36" s="65"/>
      <c r="K36" s="65"/>
      <c r="L36" s="65">
        <f t="shared" si="0"/>
        <v>108390875.9299999</v>
      </c>
      <c r="M36" s="66"/>
      <c r="N36" s="66"/>
      <c r="O36" s="66"/>
      <c r="P36" s="66"/>
      <c r="Q36" s="66"/>
      <c r="R36" s="67"/>
      <c r="S36" s="68"/>
    </row>
    <row r="37" spans="2:19" ht="14.25" hidden="1" customHeight="1" outlineLevel="1">
      <c r="B37" s="69">
        <v>39599</v>
      </c>
      <c r="D37" s="95">
        <v>805564.1</v>
      </c>
      <c r="E37" s="63">
        <f t="shared" si="1"/>
        <v>20196440.030000001</v>
      </c>
      <c r="F37" s="96">
        <f t="shared" si="2"/>
        <v>109196440.0299999</v>
      </c>
      <c r="G37" s="70">
        <f t="shared" si="3"/>
        <v>104363055.42999993</v>
      </c>
      <c r="H37" s="43"/>
      <c r="I37" s="44"/>
      <c r="J37" s="65"/>
      <c r="K37" s="65"/>
      <c r="L37" s="65">
        <f t="shared" si="0"/>
        <v>109196440.0299999</v>
      </c>
      <c r="M37" s="66"/>
      <c r="N37" s="66"/>
      <c r="O37" s="66"/>
      <c r="P37" s="66"/>
      <c r="Q37" s="66"/>
      <c r="R37" s="67"/>
      <c r="S37" s="68"/>
    </row>
    <row r="38" spans="2:19" ht="14.25" hidden="1" customHeight="1" outlineLevel="1">
      <c r="B38" s="69">
        <v>39629</v>
      </c>
      <c r="D38" s="95">
        <v>805564.1</v>
      </c>
      <c r="E38" s="63">
        <f t="shared" si="1"/>
        <v>21002004.130000003</v>
      </c>
      <c r="F38" s="96">
        <f t="shared" si="2"/>
        <v>110002004.12999989</v>
      </c>
      <c r="G38" s="70">
        <f t="shared" si="3"/>
        <v>105168619.52999993</v>
      </c>
      <c r="H38" s="43"/>
      <c r="I38" s="44"/>
      <c r="J38" s="65"/>
      <c r="K38" s="65"/>
      <c r="L38" s="65">
        <f t="shared" si="0"/>
        <v>110002004.12999989</v>
      </c>
      <c r="M38" s="66"/>
      <c r="N38" s="66"/>
      <c r="O38" s="66"/>
      <c r="P38" s="66"/>
      <c r="Q38" s="66"/>
      <c r="R38" s="67"/>
      <c r="S38" s="68"/>
    </row>
    <row r="39" spans="2:19" ht="14.25" hidden="1" customHeight="1" outlineLevel="1">
      <c r="B39" s="69">
        <v>39660</v>
      </c>
      <c r="D39" s="95">
        <v>805564.1</v>
      </c>
      <c r="E39" s="63">
        <f t="shared" si="1"/>
        <v>21807568.230000004</v>
      </c>
      <c r="F39" s="96">
        <f t="shared" si="2"/>
        <v>110807568.22999988</v>
      </c>
      <c r="G39" s="70">
        <f t="shared" si="3"/>
        <v>105974183.62999992</v>
      </c>
      <c r="H39" s="43"/>
      <c r="I39" s="44"/>
      <c r="J39" s="65"/>
      <c r="K39" s="65"/>
      <c r="L39" s="65">
        <f t="shared" si="0"/>
        <v>110807568.22999988</v>
      </c>
      <c r="M39" s="66"/>
      <c r="N39" s="66"/>
      <c r="O39" s="66"/>
      <c r="P39" s="66"/>
      <c r="Q39" s="66"/>
      <c r="R39" s="67"/>
      <c r="S39" s="68"/>
    </row>
    <row r="40" spans="2:19" ht="14.25" hidden="1" customHeight="1" outlineLevel="1">
      <c r="B40" s="69">
        <v>39691</v>
      </c>
      <c r="D40" s="95">
        <v>805564.1</v>
      </c>
      <c r="E40" s="63">
        <f t="shared" si="1"/>
        <v>22613132.330000006</v>
      </c>
      <c r="F40" s="96">
        <f t="shared" si="2"/>
        <v>111613132.32999988</v>
      </c>
      <c r="G40" s="70">
        <f t="shared" si="3"/>
        <v>106779747.72999991</v>
      </c>
      <c r="H40" s="43"/>
      <c r="I40" s="44"/>
      <c r="J40" s="65"/>
      <c r="K40" s="65"/>
      <c r="L40" s="65">
        <f t="shared" si="0"/>
        <v>111613132.32999988</v>
      </c>
      <c r="M40" s="66">
        <v>-2256000</v>
      </c>
      <c r="N40" s="72">
        <f>N39+M40</f>
        <v>-2256000</v>
      </c>
      <c r="O40" s="66"/>
      <c r="P40" s="66"/>
      <c r="Q40" s="66"/>
      <c r="R40" s="67"/>
      <c r="S40" s="68"/>
    </row>
    <row r="41" spans="2:19" ht="14.25" hidden="1" customHeight="1" outlineLevel="1">
      <c r="B41" s="69">
        <v>39721</v>
      </c>
      <c r="D41" s="95">
        <v>805564.1</v>
      </c>
      <c r="E41" s="63">
        <f t="shared" si="1"/>
        <v>23418696.430000007</v>
      </c>
      <c r="F41" s="96">
        <f t="shared" si="2"/>
        <v>112418696.42999987</v>
      </c>
      <c r="G41" s="70">
        <f t="shared" si="3"/>
        <v>107585311.82999991</v>
      </c>
      <c r="H41" s="43"/>
      <c r="I41" s="44"/>
      <c r="J41" s="65"/>
      <c r="K41" s="65"/>
      <c r="L41" s="65">
        <f t="shared" si="0"/>
        <v>112418696.42999987</v>
      </c>
      <c r="M41" s="66">
        <v>-5941017</v>
      </c>
      <c r="N41" s="72">
        <f>N40+M41</f>
        <v>-8197017</v>
      </c>
      <c r="O41" s="66"/>
      <c r="P41" s="66"/>
      <c r="Q41" s="66"/>
      <c r="R41" s="67"/>
      <c r="S41" s="68"/>
    </row>
    <row r="42" spans="2:19" ht="14.25" hidden="1" customHeight="1" outlineLevel="1">
      <c r="B42" s="69">
        <v>39752</v>
      </c>
      <c r="D42" s="95">
        <v>805564.1</v>
      </c>
      <c r="E42" s="63">
        <f t="shared" si="1"/>
        <v>24224260.530000009</v>
      </c>
      <c r="F42" s="96">
        <f t="shared" si="2"/>
        <v>113224260.52999987</v>
      </c>
      <c r="G42" s="70">
        <f t="shared" si="3"/>
        <v>108390875.92999989</v>
      </c>
      <c r="H42" s="43"/>
      <c r="I42" s="44"/>
      <c r="J42" s="65"/>
      <c r="K42" s="65"/>
      <c r="L42" s="65">
        <f t="shared" si="0"/>
        <v>113224260.52999987</v>
      </c>
      <c r="M42" s="66">
        <v>-282000</v>
      </c>
      <c r="N42" s="72">
        <f>N41+M42</f>
        <v>-8479017</v>
      </c>
      <c r="O42" s="66"/>
      <c r="P42" s="66"/>
      <c r="Q42" s="66"/>
      <c r="R42" s="67"/>
      <c r="S42" s="68"/>
    </row>
    <row r="43" spans="2:19" ht="14.25" hidden="1" customHeight="1" outlineLevel="1">
      <c r="B43" s="69">
        <v>39782</v>
      </c>
      <c r="D43" s="95">
        <v>805564.1</v>
      </c>
      <c r="E43" s="63">
        <f t="shared" si="1"/>
        <v>25029824.63000001</v>
      </c>
      <c r="F43" s="96">
        <f t="shared" si="2"/>
        <v>114029824.62999986</v>
      </c>
      <c r="G43" s="70">
        <f t="shared" si="3"/>
        <v>109196440.02999991</v>
      </c>
      <c r="H43" s="43"/>
      <c r="I43" s="44"/>
      <c r="J43" s="65"/>
      <c r="K43" s="65"/>
      <c r="L43" s="65">
        <f t="shared" si="0"/>
        <v>114029824.62999986</v>
      </c>
      <c r="M43" s="66">
        <v>-282000</v>
      </c>
      <c r="N43" s="72">
        <f t="shared" ref="N43:N106" si="4">N42+M43</f>
        <v>-8761017</v>
      </c>
      <c r="O43" s="66"/>
      <c r="P43" s="66"/>
      <c r="Q43" s="66"/>
      <c r="R43" s="67"/>
      <c r="S43" s="68"/>
    </row>
    <row r="44" spans="2:19" ht="14.25" hidden="1" customHeight="1" outlineLevel="1">
      <c r="B44" s="69">
        <v>39813</v>
      </c>
      <c r="D44" s="95">
        <v>791871.8</v>
      </c>
      <c r="E44" s="63">
        <f t="shared" si="1"/>
        <v>25821696.430000011</v>
      </c>
      <c r="F44" s="96">
        <f t="shared" si="2"/>
        <v>114821696.42999986</v>
      </c>
      <c r="G44" s="70">
        <f t="shared" si="3"/>
        <v>110001433.6174999</v>
      </c>
      <c r="H44" s="43"/>
      <c r="I44" s="44"/>
      <c r="J44" s="65"/>
      <c r="K44" s="65"/>
      <c r="L44" s="65">
        <f t="shared" si="0"/>
        <v>114821696.42999986</v>
      </c>
      <c r="M44" s="66">
        <v>-281000</v>
      </c>
      <c r="N44" s="72">
        <f t="shared" si="4"/>
        <v>-9042017</v>
      </c>
      <c r="O44" s="66"/>
      <c r="P44" s="66"/>
      <c r="Q44" s="66"/>
      <c r="R44" s="67"/>
      <c r="S44" s="68"/>
    </row>
    <row r="45" spans="2:19" ht="14.25" hidden="1" customHeight="1" outlineLevel="1">
      <c r="B45" s="69">
        <v>39844</v>
      </c>
      <c r="D45" s="95">
        <v>798717.95</v>
      </c>
      <c r="E45" s="63">
        <f>D45+E44</f>
        <v>26620414.38000001</v>
      </c>
      <c r="F45" s="96">
        <f t="shared" si="2"/>
        <v>115620414.37999986</v>
      </c>
      <c r="G45" s="70">
        <f t="shared" si="3"/>
        <v>110805571.43624987</v>
      </c>
      <c r="H45" s="43"/>
      <c r="I45" s="44"/>
      <c r="J45" s="65"/>
      <c r="K45" s="65"/>
      <c r="L45" s="65">
        <f t="shared" si="0"/>
        <v>115620414.37999986</v>
      </c>
      <c r="M45" s="66">
        <v>-282000</v>
      </c>
      <c r="N45" s="72">
        <f>N44+M45</f>
        <v>-9324017</v>
      </c>
      <c r="O45" s="66"/>
      <c r="P45" s="66"/>
      <c r="Q45" s="66"/>
      <c r="R45" s="67"/>
      <c r="S45" s="68"/>
    </row>
    <row r="46" spans="2:19" ht="14.25" hidden="1" customHeight="1" outlineLevel="1">
      <c r="B46" s="69">
        <v>39872</v>
      </c>
      <c r="D46" s="95">
        <v>798717.95</v>
      </c>
      <c r="E46" s="63">
        <f t="shared" si="1"/>
        <v>27419132.330000009</v>
      </c>
      <c r="F46" s="96">
        <f t="shared" si="2"/>
        <v>116419132.32999986</v>
      </c>
      <c r="G46" s="70">
        <f t="shared" si="3"/>
        <v>111609138.74249989</v>
      </c>
      <c r="H46" s="43"/>
      <c r="I46" s="44"/>
      <c r="J46" s="65"/>
      <c r="K46" s="65"/>
      <c r="L46" s="65">
        <f t="shared" si="0"/>
        <v>116419132.32999986</v>
      </c>
      <c r="M46" s="66">
        <v>-277000</v>
      </c>
      <c r="N46" s="72">
        <f t="shared" si="4"/>
        <v>-9601017</v>
      </c>
      <c r="O46" s="66"/>
      <c r="P46" s="66"/>
      <c r="Q46" s="66"/>
      <c r="R46" s="67"/>
      <c r="S46" s="68"/>
    </row>
    <row r="47" spans="2:19" ht="14.25" hidden="1" customHeight="1" outlineLevel="1">
      <c r="B47" s="69">
        <v>39903</v>
      </c>
      <c r="D47" s="95">
        <v>798717.95</v>
      </c>
      <c r="E47" s="63">
        <f t="shared" si="1"/>
        <v>28217850.280000009</v>
      </c>
      <c r="F47" s="96">
        <f t="shared" si="2"/>
        <v>117217850.27999987</v>
      </c>
      <c r="G47" s="70">
        <f t="shared" si="3"/>
        <v>112412135.53624988</v>
      </c>
      <c r="H47" s="43"/>
      <c r="I47" s="44"/>
      <c r="J47" s="65"/>
      <c r="K47" s="65"/>
      <c r="L47" s="65">
        <f t="shared" si="0"/>
        <v>117217850.27999987</v>
      </c>
      <c r="M47" s="66">
        <v>-280000</v>
      </c>
      <c r="N47" s="72">
        <f t="shared" si="4"/>
        <v>-9881017</v>
      </c>
      <c r="O47" s="66"/>
      <c r="P47" s="66"/>
      <c r="Q47" s="66"/>
      <c r="R47" s="67"/>
      <c r="S47" s="68"/>
    </row>
    <row r="48" spans="2:19" ht="14.25" hidden="1" customHeight="1" outlineLevel="1">
      <c r="B48" s="69">
        <v>39933</v>
      </c>
      <c r="D48" s="95">
        <v>798717.95</v>
      </c>
      <c r="E48" s="63">
        <f t="shared" si="1"/>
        <v>29016568.230000008</v>
      </c>
      <c r="F48" s="96">
        <f t="shared" si="2"/>
        <v>118016568.22999987</v>
      </c>
      <c r="G48" s="70">
        <f t="shared" si="3"/>
        <v>113214561.81749988</v>
      </c>
      <c r="H48" s="43"/>
      <c r="I48" s="44"/>
      <c r="J48" s="65"/>
      <c r="K48" s="65"/>
      <c r="L48" s="65">
        <f t="shared" si="0"/>
        <v>118016568.22999987</v>
      </c>
      <c r="M48" s="66">
        <v>-280000</v>
      </c>
      <c r="N48" s="72">
        <f>N47+M48</f>
        <v>-10161017</v>
      </c>
      <c r="O48" s="66"/>
      <c r="P48" s="66"/>
      <c r="Q48" s="66"/>
      <c r="R48" s="67"/>
      <c r="S48" s="68"/>
    </row>
    <row r="49" spans="2:19" ht="14.25" hidden="1" customHeight="1" outlineLevel="1">
      <c r="B49" s="69">
        <v>39964</v>
      </c>
      <c r="D49" s="95">
        <v>798717.95</v>
      </c>
      <c r="E49" s="63">
        <f t="shared" si="1"/>
        <v>29815286.180000007</v>
      </c>
      <c r="F49" s="96">
        <f t="shared" si="2"/>
        <v>118815286.17999987</v>
      </c>
      <c r="G49" s="70">
        <f>(F37+F49+SUM(F38:F48)*2)/24</f>
        <v>114016417.58624987</v>
      </c>
      <c r="H49" s="43"/>
      <c r="I49" s="44"/>
      <c r="J49" s="65"/>
      <c r="K49" s="65"/>
      <c r="L49" s="65">
        <f t="shared" si="0"/>
        <v>118815286.17999987</v>
      </c>
      <c r="M49" s="66">
        <v>-280000</v>
      </c>
      <c r="N49" s="72">
        <f t="shared" si="4"/>
        <v>-10441017</v>
      </c>
      <c r="O49" s="66"/>
      <c r="P49" s="66"/>
      <c r="Q49" s="66"/>
      <c r="R49" s="67"/>
      <c r="S49" s="68"/>
    </row>
    <row r="50" spans="2:19" ht="14.25" hidden="1" customHeight="1" outlineLevel="1">
      <c r="B50" s="69">
        <v>39994</v>
      </c>
      <c r="D50" s="95">
        <v>798717.95</v>
      </c>
      <c r="E50" s="63">
        <f t="shared" si="1"/>
        <v>30614004.130000006</v>
      </c>
      <c r="F50" s="96">
        <f t="shared" si="2"/>
        <v>119614004.12999988</v>
      </c>
      <c r="G50" s="70">
        <f t="shared" si="3"/>
        <v>114817702.84249987</v>
      </c>
      <c r="H50" s="43"/>
      <c r="I50" s="44"/>
      <c r="J50" s="65"/>
      <c r="K50" s="65"/>
      <c r="L50" s="65">
        <f t="shared" si="0"/>
        <v>119614004.12999988</v>
      </c>
      <c r="M50" s="66">
        <v>-280000</v>
      </c>
      <c r="N50" s="72">
        <f t="shared" si="4"/>
        <v>-10721017</v>
      </c>
      <c r="O50" s="66"/>
      <c r="P50" s="66"/>
      <c r="Q50" s="66"/>
      <c r="R50" s="67"/>
      <c r="S50" s="68"/>
    </row>
    <row r="51" spans="2:19" ht="14.25" hidden="1" customHeight="1" outlineLevel="1">
      <c r="B51" s="69">
        <v>40025</v>
      </c>
      <c r="D51" s="95">
        <v>798717.95</v>
      </c>
      <c r="E51" s="63">
        <f t="shared" si="1"/>
        <v>31412722.080000006</v>
      </c>
      <c r="F51" s="96">
        <f t="shared" si="2"/>
        <v>120412722.07999988</v>
      </c>
      <c r="G51" s="70">
        <f t="shared" si="3"/>
        <v>115618417.58624987</v>
      </c>
      <c r="H51" s="43"/>
      <c r="I51" s="44"/>
      <c r="J51" s="65"/>
      <c r="K51" s="65"/>
      <c r="L51" s="65">
        <f t="shared" si="0"/>
        <v>120412722.07999988</v>
      </c>
      <c r="M51" s="66">
        <v>-280000</v>
      </c>
      <c r="N51" s="72">
        <f t="shared" si="4"/>
        <v>-11001017</v>
      </c>
      <c r="O51" s="66"/>
      <c r="P51" s="66"/>
      <c r="Q51" s="66"/>
      <c r="R51" s="67"/>
      <c r="S51" s="68"/>
    </row>
    <row r="52" spans="2:19" ht="14.25" hidden="1" customHeight="1" outlineLevel="1">
      <c r="B52" s="69">
        <v>40056</v>
      </c>
      <c r="D52" s="95">
        <v>798717.95</v>
      </c>
      <c r="E52" s="63">
        <f t="shared" si="1"/>
        <v>32211440.030000005</v>
      </c>
      <c r="F52" s="96">
        <f t="shared" si="2"/>
        <v>121211440.02999988</v>
      </c>
      <c r="G52" s="70">
        <f t="shared" si="3"/>
        <v>116418561.81749988</v>
      </c>
      <c r="H52" s="43"/>
      <c r="I52" s="44"/>
      <c r="J52" s="65"/>
      <c r="K52" s="65"/>
      <c r="L52" s="65">
        <f t="shared" si="0"/>
        <v>121211440.02999988</v>
      </c>
      <c r="M52" s="66">
        <v>-280000</v>
      </c>
      <c r="N52" s="72">
        <f t="shared" si="4"/>
        <v>-11281017</v>
      </c>
      <c r="O52" s="66"/>
      <c r="P52" s="66"/>
      <c r="Q52" s="66"/>
      <c r="R52" s="67"/>
      <c r="S52" s="68"/>
    </row>
    <row r="53" spans="2:19" ht="14.25" hidden="1" customHeight="1" outlineLevel="1">
      <c r="B53" s="69">
        <v>40086</v>
      </c>
      <c r="D53" s="95">
        <v>798717.95</v>
      </c>
      <c r="E53" s="63">
        <f t="shared" si="1"/>
        <v>33010157.980000004</v>
      </c>
      <c r="F53" s="96">
        <f t="shared" si="2"/>
        <v>122010157.97999988</v>
      </c>
      <c r="G53" s="70">
        <f t="shared" si="3"/>
        <v>117218135.53624988</v>
      </c>
      <c r="H53" s="43"/>
      <c r="I53" s="44"/>
      <c r="J53" s="65"/>
      <c r="K53" s="65"/>
      <c r="L53" s="65">
        <f t="shared" si="0"/>
        <v>122010157.97999988</v>
      </c>
      <c r="M53" s="66">
        <v>-275000</v>
      </c>
      <c r="N53" s="72">
        <f t="shared" si="4"/>
        <v>-11556017</v>
      </c>
      <c r="O53" s="66"/>
      <c r="P53" s="66"/>
      <c r="Q53" s="66"/>
      <c r="R53" s="67"/>
      <c r="S53" s="68"/>
    </row>
    <row r="54" spans="2:19" ht="14.25" hidden="1" customHeight="1" outlineLevel="1">
      <c r="B54" s="69">
        <v>40117</v>
      </c>
      <c r="D54" s="95">
        <v>798717.95</v>
      </c>
      <c r="E54" s="63">
        <f t="shared" si="1"/>
        <v>33808875.930000007</v>
      </c>
      <c r="F54" s="96">
        <f t="shared" si="2"/>
        <v>122808875.92999989</v>
      </c>
      <c r="G54" s="70">
        <f t="shared" si="3"/>
        <v>118017138.74249987</v>
      </c>
      <c r="H54" s="43"/>
      <c r="I54" s="44"/>
      <c r="J54" s="65"/>
      <c r="K54" s="65"/>
      <c r="L54" s="65">
        <f t="shared" si="0"/>
        <v>122808875.92999989</v>
      </c>
      <c r="M54" s="66">
        <v>-280000</v>
      </c>
      <c r="N54" s="72">
        <f>N53+M54</f>
        <v>-11836017</v>
      </c>
      <c r="O54" s="66"/>
      <c r="P54" s="66"/>
      <c r="Q54" s="66"/>
      <c r="R54" s="67"/>
      <c r="S54" s="68"/>
    </row>
    <row r="55" spans="2:19" ht="14.25" hidden="1" customHeight="1" outlineLevel="1">
      <c r="B55" s="69">
        <v>40147</v>
      </c>
      <c r="D55" s="95">
        <v>798717.95</v>
      </c>
      <c r="E55" s="63">
        <f t="shared" si="1"/>
        <v>34607593.88000001</v>
      </c>
      <c r="F55" s="96">
        <f t="shared" si="2"/>
        <v>123607593.87999989</v>
      </c>
      <c r="G55" s="70">
        <f t="shared" si="3"/>
        <v>118815571.43624985</v>
      </c>
      <c r="H55" s="43"/>
      <c r="I55" s="44"/>
      <c r="J55" s="65"/>
      <c r="K55" s="65"/>
      <c r="L55" s="65">
        <f t="shared" si="0"/>
        <v>123607593.87999989</v>
      </c>
      <c r="M55" s="66">
        <v>-280000</v>
      </c>
      <c r="N55" s="72">
        <f t="shared" si="4"/>
        <v>-12116017</v>
      </c>
      <c r="O55" s="66"/>
      <c r="P55" s="66"/>
      <c r="Q55" s="66"/>
      <c r="R55" s="67"/>
      <c r="S55" s="68"/>
    </row>
    <row r="56" spans="2:19" ht="14.25" hidden="1" customHeight="1" outlineLevel="1">
      <c r="B56" s="69">
        <v>40178</v>
      </c>
      <c r="D56" s="95">
        <v>798717.95</v>
      </c>
      <c r="E56" s="63">
        <f t="shared" si="1"/>
        <v>35406311.830000013</v>
      </c>
      <c r="F56" s="96">
        <f t="shared" si="2"/>
        <v>124406311.82999989</v>
      </c>
      <c r="G56" s="70">
        <f t="shared" si="3"/>
        <v>119614004.12999988</v>
      </c>
      <c r="H56" s="43"/>
      <c r="I56" s="44"/>
      <c r="J56" s="65"/>
      <c r="K56" s="65"/>
      <c r="L56" s="65">
        <f t="shared" si="0"/>
        <v>124406311.82999989</v>
      </c>
      <c r="M56" s="66">
        <v>-276000</v>
      </c>
      <c r="N56" s="72">
        <f t="shared" si="4"/>
        <v>-12392017</v>
      </c>
      <c r="O56" s="66"/>
      <c r="P56" s="66"/>
      <c r="Q56" s="66"/>
      <c r="R56" s="67"/>
      <c r="S56" s="68"/>
    </row>
    <row r="57" spans="2:19" ht="14.25" hidden="1" customHeight="1" outlineLevel="1">
      <c r="B57" s="69">
        <v>40209</v>
      </c>
      <c r="D57" s="95">
        <v>798717.95</v>
      </c>
      <c r="E57" s="63">
        <f t="shared" si="1"/>
        <v>36205029.780000016</v>
      </c>
      <c r="F57" s="96">
        <f t="shared" si="2"/>
        <v>125205029.7799999</v>
      </c>
      <c r="G57" s="70">
        <f t="shared" si="3"/>
        <v>120412722.07999988</v>
      </c>
      <c r="H57" s="43"/>
      <c r="I57" s="44"/>
      <c r="J57" s="65"/>
      <c r="K57" s="65"/>
      <c r="L57" s="65">
        <f t="shared" si="0"/>
        <v>125205029.7799999</v>
      </c>
      <c r="M57" s="66">
        <v>-280000</v>
      </c>
      <c r="N57" s="72">
        <f t="shared" si="4"/>
        <v>-12672017</v>
      </c>
      <c r="O57" s="66"/>
      <c r="P57" s="66"/>
      <c r="Q57" s="66"/>
      <c r="R57" s="67"/>
      <c r="S57" s="68"/>
    </row>
    <row r="58" spans="2:19" ht="14.25" hidden="1" customHeight="1" outlineLevel="1">
      <c r="B58" s="69">
        <v>40237</v>
      </c>
      <c r="D58" s="95">
        <v>798717.95</v>
      </c>
      <c r="E58" s="63">
        <f t="shared" si="1"/>
        <v>37003747.730000019</v>
      </c>
      <c r="F58" s="96">
        <f t="shared" si="2"/>
        <v>126003747.7299999</v>
      </c>
      <c r="G58" s="70">
        <f t="shared" si="3"/>
        <v>121211440.0299999</v>
      </c>
      <c r="H58" s="43"/>
      <c r="I58" s="44"/>
      <c r="J58" s="65"/>
      <c r="K58" s="65"/>
      <c r="L58" s="65">
        <f t="shared" si="0"/>
        <v>126003747.7299999</v>
      </c>
      <c r="M58" s="66">
        <v>-280000</v>
      </c>
      <c r="N58" s="72">
        <f t="shared" si="4"/>
        <v>-12952017</v>
      </c>
      <c r="O58" s="66"/>
      <c r="P58" s="66"/>
      <c r="Q58" s="66"/>
      <c r="R58" s="67"/>
      <c r="S58" s="68"/>
    </row>
    <row r="59" spans="2:19" ht="14.25" hidden="1" customHeight="1" outlineLevel="1">
      <c r="B59" s="69">
        <v>40268</v>
      </c>
      <c r="D59" s="95">
        <v>798717.95</v>
      </c>
      <c r="E59" s="63">
        <f t="shared" si="1"/>
        <v>37802465.680000022</v>
      </c>
      <c r="F59" s="96">
        <f t="shared" si="2"/>
        <v>126802465.6799999</v>
      </c>
      <c r="G59" s="70">
        <f t="shared" si="3"/>
        <v>122010157.97999988</v>
      </c>
      <c r="H59" s="43"/>
      <c r="I59" s="44"/>
      <c r="J59" s="65"/>
      <c r="K59" s="65"/>
      <c r="L59" s="65">
        <f t="shared" si="0"/>
        <v>126802465.6799999</v>
      </c>
      <c r="M59" s="66">
        <v>-280000</v>
      </c>
      <c r="N59" s="72">
        <f>N58+M59</f>
        <v>-13232017</v>
      </c>
      <c r="O59" s="66"/>
      <c r="P59" s="66"/>
      <c r="Q59" s="66"/>
      <c r="R59" s="67"/>
      <c r="S59" s="68"/>
    </row>
    <row r="60" spans="2:19" ht="14.25" hidden="1" customHeight="1" outlineLevel="1">
      <c r="B60" s="69">
        <v>40298</v>
      </c>
      <c r="D60" s="95">
        <v>787307.69</v>
      </c>
      <c r="E60" s="63">
        <f t="shared" si="1"/>
        <v>38589773.37000002</v>
      </c>
      <c r="F60" s="96">
        <f>F59+D60</f>
        <v>127589773.3699999</v>
      </c>
      <c r="G60" s="70">
        <f t="shared" si="3"/>
        <v>122808400.50249988</v>
      </c>
      <c r="H60" s="43"/>
      <c r="I60" s="44"/>
      <c r="J60" s="65"/>
      <c r="K60" s="65"/>
      <c r="L60" s="65">
        <f t="shared" si="0"/>
        <v>127589773.3699999</v>
      </c>
      <c r="M60" s="66">
        <v>-276000</v>
      </c>
      <c r="N60" s="72">
        <f>N59+M60</f>
        <v>-13508017</v>
      </c>
      <c r="O60" s="66"/>
      <c r="P60" s="66"/>
      <c r="Q60" s="66"/>
      <c r="R60" s="67"/>
      <c r="S60" s="68"/>
    </row>
    <row r="61" spans="2:19" ht="14.25" hidden="1" customHeight="1" outlineLevel="1">
      <c r="B61" s="69">
        <v>40329</v>
      </c>
      <c r="D61" s="95">
        <v>787307.69</v>
      </c>
      <c r="E61" s="63">
        <f t="shared" si="1"/>
        <v>39377081.060000017</v>
      </c>
      <c r="F61" s="96">
        <f t="shared" si="2"/>
        <v>128377081.0599999</v>
      </c>
      <c r="G61" s="70">
        <f t="shared" si="3"/>
        <v>123605692.16999988</v>
      </c>
      <c r="H61" s="43"/>
      <c r="I61" s="44"/>
      <c r="J61" s="65"/>
      <c r="K61" s="65"/>
      <c r="L61" s="65">
        <f t="shared" si="0"/>
        <v>128377081.0599999</v>
      </c>
      <c r="M61" s="66">
        <v>-276000</v>
      </c>
      <c r="N61" s="72">
        <f t="shared" si="4"/>
        <v>-13784017</v>
      </c>
      <c r="O61" s="66"/>
      <c r="P61" s="66"/>
      <c r="Q61" s="66"/>
      <c r="R61" s="67"/>
      <c r="S61" s="68"/>
    </row>
    <row r="62" spans="2:19" ht="14.25" hidden="1" customHeight="1" outlineLevel="1">
      <c r="B62" s="69">
        <v>40359</v>
      </c>
      <c r="D62" s="95">
        <v>787307.69</v>
      </c>
      <c r="E62" s="63">
        <f t="shared" si="1"/>
        <v>40164388.750000015</v>
      </c>
      <c r="F62" s="96">
        <f t="shared" si="2"/>
        <v>129164388.7499999</v>
      </c>
      <c r="G62" s="70">
        <f t="shared" si="3"/>
        <v>124402032.9824999</v>
      </c>
      <c r="H62" s="43"/>
      <c r="I62" s="44"/>
      <c r="J62" s="65"/>
      <c r="K62" s="65"/>
      <c r="L62" s="65">
        <f t="shared" si="0"/>
        <v>129164388.7499999</v>
      </c>
      <c r="M62" s="66">
        <v>-276000</v>
      </c>
      <c r="N62" s="72">
        <f t="shared" si="4"/>
        <v>-14060017</v>
      </c>
      <c r="O62" s="66"/>
      <c r="P62" s="66"/>
      <c r="Q62" s="66"/>
      <c r="R62" s="67"/>
      <c r="S62" s="68"/>
    </row>
    <row r="63" spans="2:19" ht="14.25" hidden="1" customHeight="1" outlineLevel="1">
      <c r="B63" s="69">
        <v>40390</v>
      </c>
      <c r="D63" s="95">
        <v>787307.69</v>
      </c>
      <c r="E63" s="63">
        <f t="shared" si="1"/>
        <v>40951696.440000013</v>
      </c>
      <c r="F63" s="96">
        <f t="shared" si="2"/>
        <v>129951696.43999989</v>
      </c>
      <c r="G63" s="70">
        <f t="shared" si="3"/>
        <v>125197422.93999992</v>
      </c>
      <c r="H63" s="43"/>
      <c r="I63" s="44"/>
      <c r="J63" s="65"/>
      <c r="K63" s="65"/>
      <c r="L63" s="65">
        <f t="shared" si="0"/>
        <v>129951696.43999989</v>
      </c>
      <c r="M63" s="66">
        <v>-276000</v>
      </c>
      <c r="N63" s="72">
        <f t="shared" si="4"/>
        <v>-14336017</v>
      </c>
      <c r="O63" s="66"/>
      <c r="P63" s="66"/>
      <c r="Q63" s="66"/>
      <c r="R63" s="67"/>
      <c r="S63" s="68"/>
    </row>
    <row r="64" spans="2:19" ht="14.25" hidden="1" customHeight="1" outlineLevel="1">
      <c r="B64" s="69">
        <v>40421</v>
      </c>
      <c r="D64" s="95">
        <v>787307.69</v>
      </c>
      <c r="E64" s="63">
        <f t="shared" si="1"/>
        <v>41739004.13000001</v>
      </c>
      <c r="F64" s="96">
        <f t="shared" si="2"/>
        <v>130739004.12999989</v>
      </c>
      <c r="G64" s="70">
        <f t="shared" si="3"/>
        <v>125991862.0424999</v>
      </c>
      <c r="H64" s="43"/>
      <c r="I64" s="44"/>
      <c r="J64" s="65"/>
      <c r="K64" s="65"/>
      <c r="L64" s="65">
        <f t="shared" si="0"/>
        <v>130739004.12999989</v>
      </c>
      <c r="M64" s="66">
        <v>-276000</v>
      </c>
      <c r="N64" s="72">
        <f t="shared" si="4"/>
        <v>-14612017</v>
      </c>
      <c r="O64" s="66"/>
      <c r="P64" s="66"/>
      <c r="Q64" s="66"/>
      <c r="R64" s="67"/>
      <c r="S64" s="68"/>
    </row>
    <row r="65" spans="2:19" ht="14.25" hidden="1" customHeight="1" outlineLevel="1">
      <c r="B65" s="69">
        <v>40451</v>
      </c>
      <c r="D65" s="95">
        <v>787307.69</v>
      </c>
      <c r="E65" s="63">
        <f>D65+E64</f>
        <v>42526311.820000008</v>
      </c>
      <c r="F65" s="96">
        <f t="shared" si="2"/>
        <v>131526311.81999989</v>
      </c>
      <c r="G65" s="70">
        <f t="shared" si="3"/>
        <v>126785350.28999989</v>
      </c>
      <c r="H65" s="43"/>
      <c r="I65" s="44"/>
      <c r="J65" s="65"/>
      <c r="K65" s="65"/>
      <c r="L65" s="65">
        <f t="shared" si="0"/>
        <v>131526311.81999989</v>
      </c>
      <c r="M65" s="66">
        <v>-272000</v>
      </c>
      <c r="N65" s="72">
        <f t="shared" si="4"/>
        <v>-14884017</v>
      </c>
      <c r="O65" s="66"/>
      <c r="P65" s="66"/>
      <c r="Q65" s="66"/>
      <c r="R65" s="67"/>
      <c r="S65" s="68"/>
    </row>
    <row r="66" spans="2:19" ht="14.25" hidden="1" customHeight="1" outlineLevel="1">
      <c r="B66" s="69">
        <v>40482</v>
      </c>
      <c r="D66" s="95">
        <v>787307.69</v>
      </c>
      <c r="E66" s="63">
        <f t="shared" si="1"/>
        <v>43313619.510000005</v>
      </c>
      <c r="F66" s="96">
        <f t="shared" si="2"/>
        <v>132313619.50999989</v>
      </c>
      <c r="G66" s="70">
        <f t="shared" si="3"/>
        <v>127577887.68249989</v>
      </c>
      <c r="H66" s="43"/>
      <c r="I66" s="44"/>
      <c r="J66" s="65"/>
      <c r="K66" s="65"/>
      <c r="L66" s="65">
        <f>F66+I66</f>
        <v>132313619.50999989</v>
      </c>
      <c r="M66" s="66">
        <f t="shared" ref="M66:M78" si="5">-D66*0.35</f>
        <v>-275557.69149999996</v>
      </c>
      <c r="N66" s="72">
        <f t="shared" si="4"/>
        <v>-15159574.691500001</v>
      </c>
      <c r="O66" s="66"/>
      <c r="P66" s="66"/>
      <c r="Q66" s="66"/>
      <c r="R66" s="67"/>
      <c r="S66" s="68"/>
    </row>
    <row r="67" spans="2:19" ht="14.25" hidden="1" customHeight="1" outlineLevel="1">
      <c r="B67" s="69">
        <v>40512</v>
      </c>
      <c r="D67" s="95">
        <v>787307.69</v>
      </c>
      <c r="E67" s="63">
        <f t="shared" si="1"/>
        <v>44100927.200000003</v>
      </c>
      <c r="F67" s="96">
        <f t="shared" si="2"/>
        <v>133100927.19999988</v>
      </c>
      <c r="G67" s="70">
        <f t="shared" si="3"/>
        <v>128369474.21999992</v>
      </c>
      <c r="H67" s="43"/>
      <c r="I67" s="44"/>
      <c r="J67" s="65"/>
      <c r="K67" s="65"/>
      <c r="L67" s="65">
        <f t="shared" si="0"/>
        <v>133100927.19999988</v>
      </c>
      <c r="M67" s="66">
        <f t="shared" si="5"/>
        <v>-275557.69149999996</v>
      </c>
      <c r="N67" s="72">
        <f t="shared" si="4"/>
        <v>-15435132.383000001</v>
      </c>
      <c r="O67" s="66"/>
      <c r="P67" s="66"/>
      <c r="Q67" s="66"/>
      <c r="R67" s="67"/>
      <c r="S67" s="68"/>
    </row>
    <row r="68" spans="2:19" ht="14.25" hidden="1" customHeight="1" outlineLevel="1">
      <c r="B68" s="69">
        <v>40543</v>
      </c>
      <c r="D68" s="95">
        <v>787307.69</v>
      </c>
      <c r="E68" s="63">
        <f t="shared" si="1"/>
        <v>44888234.890000001</v>
      </c>
      <c r="F68" s="96">
        <f>F67+D68</f>
        <v>133888234.88999988</v>
      </c>
      <c r="G68" s="70">
        <f t="shared" si="3"/>
        <v>129160109.9024999</v>
      </c>
      <c r="H68" s="43"/>
      <c r="I68" s="44"/>
      <c r="J68" s="65"/>
      <c r="K68" s="65"/>
      <c r="L68" s="65">
        <f t="shared" si="0"/>
        <v>133888234.88999988</v>
      </c>
      <c r="M68" s="66">
        <f t="shared" si="5"/>
        <v>-275557.69149999996</v>
      </c>
      <c r="N68" s="72">
        <f t="shared" si="4"/>
        <v>-15710690.074500002</v>
      </c>
      <c r="O68" s="66"/>
      <c r="P68" s="66"/>
      <c r="Q68" s="66"/>
      <c r="R68" s="348">
        <f>F68+I68+N68</f>
        <v>118177544.81549987</v>
      </c>
      <c r="S68" s="117"/>
    </row>
    <row r="69" spans="2:19" ht="14.25" hidden="1" customHeight="1" outlineLevel="1">
      <c r="B69" s="69">
        <v>40574</v>
      </c>
      <c r="D69" s="95">
        <v>787307.69</v>
      </c>
      <c r="E69" s="63">
        <f t="shared" si="1"/>
        <v>45675542.579999998</v>
      </c>
      <c r="F69" s="96">
        <f t="shared" si="2"/>
        <v>134675542.57999989</v>
      </c>
      <c r="G69" s="70">
        <f t="shared" si="3"/>
        <v>129949794.72999988</v>
      </c>
      <c r="H69" s="43"/>
      <c r="I69" s="44"/>
      <c r="J69" s="65"/>
      <c r="K69" s="65"/>
      <c r="L69" s="65">
        <f t="shared" si="0"/>
        <v>134675542.57999989</v>
      </c>
      <c r="M69" s="66">
        <f t="shared" si="5"/>
        <v>-275557.69149999996</v>
      </c>
      <c r="N69" s="72">
        <f t="shared" si="4"/>
        <v>-15986247.766000003</v>
      </c>
      <c r="O69" s="66"/>
      <c r="P69" s="66"/>
      <c r="Q69" s="66"/>
      <c r="R69" s="67">
        <f t="shared" ref="R69:R78" si="6">F69+I69+N69</f>
        <v>118689294.81399989</v>
      </c>
      <c r="S69" s="117"/>
    </row>
    <row r="70" spans="2:19" ht="14.25" hidden="1" customHeight="1" outlineLevel="1">
      <c r="B70" s="69">
        <v>40602</v>
      </c>
      <c r="D70" s="95">
        <v>787307.69</v>
      </c>
      <c r="E70" s="63">
        <f t="shared" si="1"/>
        <v>46462850.269999996</v>
      </c>
      <c r="F70" s="96">
        <f t="shared" si="2"/>
        <v>135462850.26999989</v>
      </c>
      <c r="G70" s="70">
        <f t="shared" si="3"/>
        <v>130738528.70249991</v>
      </c>
      <c r="H70" s="43"/>
      <c r="I70" s="44"/>
      <c r="J70" s="65"/>
      <c r="K70" s="65"/>
      <c r="L70" s="65">
        <f t="shared" si="0"/>
        <v>135462850.26999989</v>
      </c>
      <c r="M70" s="66">
        <f t="shared" si="5"/>
        <v>-275557.69149999996</v>
      </c>
      <c r="N70" s="72">
        <f t="shared" si="4"/>
        <v>-16261805.457500003</v>
      </c>
      <c r="O70" s="66"/>
      <c r="P70" s="66"/>
      <c r="Q70" s="66"/>
      <c r="R70" s="67">
        <f t="shared" si="6"/>
        <v>119201044.81249988</v>
      </c>
      <c r="S70" s="117"/>
    </row>
    <row r="71" spans="2:19" ht="14.25" hidden="1" customHeight="1" outlineLevel="1">
      <c r="B71" s="69">
        <v>40633</v>
      </c>
      <c r="D71" s="95">
        <v>787307.69</v>
      </c>
      <c r="E71" s="63">
        <f t="shared" si="1"/>
        <v>47250157.959999993</v>
      </c>
      <c r="F71" s="96">
        <f t="shared" si="2"/>
        <v>136250157.95999989</v>
      </c>
      <c r="G71" s="70">
        <f t="shared" si="3"/>
        <v>131526311.81999992</v>
      </c>
      <c r="H71" s="43"/>
      <c r="I71" s="44"/>
      <c r="J71" s="65"/>
      <c r="K71" s="65"/>
      <c r="L71" s="65">
        <f t="shared" si="0"/>
        <v>136250157.95999989</v>
      </c>
      <c r="M71" s="66">
        <f t="shared" si="5"/>
        <v>-275557.69149999996</v>
      </c>
      <c r="N71" s="72">
        <f t="shared" si="4"/>
        <v>-16537363.149000004</v>
      </c>
      <c r="O71" s="66"/>
      <c r="P71" s="66"/>
      <c r="Q71" s="66"/>
      <c r="R71" s="67">
        <f t="shared" si="6"/>
        <v>119712794.81099989</v>
      </c>
      <c r="S71" s="117"/>
    </row>
    <row r="72" spans="2:19" ht="14.25" hidden="1" customHeight="1" outlineLevel="1">
      <c r="B72" s="69">
        <v>40663</v>
      </c>
      <c r="D72" s="95">
        <v>787307.69</v>
      </c>
      <c r="E72" s="63">
        <f t="shared" si="1"/>
        <v>48037465.649999991</v>
      </c>
      <c r="F72" s="96">
        <f t="shared" si="2"/>
        <v>137037465.64999989</v>
      </c>
      <c r="G72" s="70">
        <f t="shared" si="3"/>
        <v>132313619.50999989</v>
      </c>
      <c r="H72" s="43"/>
      <c r="I72" s="44"/>
      <c r="J72" s="65"/>
      <c r="K72" s="65"/>
      <c r="L72" s="65">
        <f t="shared" si="0"/>
        <v>137037465.64999989</v>
      </c>
      <c r="M72" s="66">
        <f t="shared" si="5"/>
        <v>-275557.69149999996</v>
      </c>
      <c r="N72" s="72">
        <f t="shared" si="4"/>
        <v>-16812920.840500005</v>
      </c>
      <c r="O72" s="66"/>
      <c r="P72" s="66"/>
      <c r="Q72" s="66"/>
      <c r="R72" s="67">
        <f t="shared" si="6"/>
        <v>120224544.80949989</v>
      </c>
      <c r="S72" s="117"/>
    </row>
    <row r="73" spans="2:19" hidden="1" outlineLevel="1">
      <c r="B73" s="69">
        <v>40694</v>
      </c>
      <c r="C73" s="69"/>
      <c r="D73" s="95">
        <v>787307.69</v>
      </c>
      <c r="E73" s="63">
        <f t="shared" si="1"/>
        <v>48824773.339999989</v>
      </c>
      <c r="F73" s="96">
        <f t="shared" si="2"/>
        <v>137824773.33999988</v>
      </c>
      <c r="G73" s="70">
        <f t="shared" si="3"/>
        <v>133100927.19999988</v>
      </c>
      <c r="H73" s="63"/>
      <c r="I73" s="71"/>
      <c r="J73" s="65"/>
      <c r="K73" s="65"/>
      <c r="L73" s="65">
        <f t="shared" si="0"/>
        <v>137824773.33999988</v>
      </c>
      <c r="M73" s="66">
        <f t="shared" si="5"/>
        <v>-275557.69149999996</v>
      </c>
      <c r="N73" s="72">
        <f>N72+M73</f>
        <v>-17088478.532000005</v>
      </c>
      <c r="O73" s="72"/>
      <c r="P73" s="66"/>
      <c r="Q73" s="66"/>
      <c r="R73" s="67">
        <f t="shared" si="6"/>
        <v>120736294.80799988</v>
      </c>
      <c r="S73" s="73"/>
    </row>
    <row r="74" spans="2:19" hidden="1" outlineLevel="1">
      <c r="B74" s="69">
        <v>40724</v>
      </c>
      <c r="C74" s="69"/>
      <c r="D74" s="95">
        <v>787307.69</v>
      </c>
      <c r="E74" s="63">
        <f t="shared" si="1"/>
        <v>49612081.029999986</v>
      </c>
      <c r="F74" s="96">
        <f t="shared" si="2"/>
        <v>138612081.02999988</v>
      </c>
      <c r="G74" s="70">
        <f t="shared" si="3"/>
        <v>133888234.88999988</v>
      </c>
      <c r="H74" s="74"/>
      <c r="I74" s="72"/>
      <c r="J74" s="65"/>
      <c r="K74" s="65"/>
      <c r="L74" s="65">
        <f t="shared" si="0"/>
        <v>138612081.02999988</v>
      </c>
      <c r="M74" s="66">
        <f t="shared" si="5"/>
        <v>-275557.69149999996</v>
      </c>
      <c r="N74" s="72">
        <f>N73+M74</f>
        <v>-17364036.223500006</v>
      </c>
      <c r="O74" s="72"/>
      <c r="P74" s="66"/>
      <c r="Q74" s="66"/>
      <c r="R74" s="67">
        <f t="shared" si="6"/>
        <v>121248044.80649987</v>
      </c>
      <c r="S74" s="73"/>
    </row>
    <row r="75" spans="2:19" hidden="1" outlineLevel="1">
      <c r="B75" s="69">
        <v>40755</v>
      </c>
      <c r="C75" s="69"/>
      <c r="D75" s="95">
        <v>787307.69</v>
      </c>
      <c r="E75" s="63">
        <f t="shared" si="1"/>
        <v>50399388.719999984</v>
      </c>
      <c r="F75" s="96">
        <f t="shared" si="2"/>
        <v>139399388.71999988</v>
      </c>
      <c r="G75" s="70">
        <f t="shared" si="3"/>
        <v>134675542.57999989</v>
      </c>
      <c r="H75" s="74"/>
      <c r="I75" s="72"/>
      <c r="J75" s="65"/>
      <c r="K75" s="65"/>
      <c r="L75" s="65">
        <f t="shared" si="0"/>
        <v>139399388.71999988</v>
      </c>
      <c r="M75" s="66">
        <f t="shared" si="5"/>
        <v>-275557.69149999996</v>
      </c>
      <c r="N75" s="72">
        <f t="shared" si="4"/>
        <v>-17639593.915000007</v>
      </c>
      <c r="O75" s="72"/>
      <c r="P75" s="66"/>
      <c r="Q75" s="66"/>
      <c r="R75" s="67">
        <f t="shared" si="6"/>
        <v>121759794.80499987</v>
      </c>
      <c r="S75" s="73"/>
    </row>
    <row r="76" spans="2:19" hidden="1" outlineLevel="1">
      <c r="B76" s="69">
        <v>40786</v>
      </c>
      <c r="C76" s="69"/>
      <c r="D76" s="95">
        <v>787307.69</v>
      </c>
      <c r="E76" s="63">
        <f t="shared" si="1"/>
        <v>51186696.409999982</v>
      </c>
      <c r="F76" s="96">
        <f t="shared" si="2"/>
        <v>140186696.40999988</v>
      </c>
      <c r="G76" s="70">
        <f t="shared" si="3"/>
        <v>135462850.26999989</v>
      </c>
      <c r="H76" s="74"/>
      <c r="I76" s="72"/>
      <c r="J76" s="65"/>
      <c r="K76" s="65"/>
      <c r="L76" s="65">
        <f t="shared" si="0"/>
        <v>140186696.40999988</v>
      </c>
      <c r="M76" s="66">
        <f t="shared" si="5"/>
        <v>-275557.69149999996</v>
      </c>
      <c r="N76" s="72">
        <f t="shared" si="4"/>
        <v>-17915151.606500007</v>
      </c>
      <c r="O76" s="72"/>
      <c r="P76" s="66"/>
      <c r="Q76" s="66"/>
      <c r="R76" s="67">
        <f>F76+I76+N76</f>
        <v>122271544.80349988</v>
      </c>
      <c r="S76" s="73"/>
    </row>
    <row r="77" spans="2:19" s="37" customFormat="1" hidden="1" outlineLevel="1">
      <c r="B77" s="69">
        <v>40816</v>
      </c>
      <c r="C77" s="75"/>
      <c r="D77" s="95">
        <v>787307.69</v>
      </c>
      <c r="E77" s="63">
        <f t="shared" si="1"/>
        <v>51974004.099999979</v>
      </c>
      <c r="F77" s="96">
        <f t="shared" si="2"/>
        <v>140974004.09999987</v>
      </c>
      <c r="G77" s="70">
        <f t="shared" si="3"/>
        <v>136250157.95999989</v>
      </c>
      <c r="H77" s="74"/>
      <c r="I77" s="72"/>
      <c r="J77" s="65"/>
      <c r="K77" s="65"/>
      <c r="L77" s="65">
        <f t="shared" ref="L77:L140" si="7">F77+I77</f>
        <v>140974004.09999987</v>
      </c>
      <c r="M77" s="66">
        <f t="shared" si="5"/>
        <v>-275557.69149999996</v>
      </c>
      <c r="N77" s="72">
        <f t="shared" si="4"/>
        <v>-18190709.298000008</v>
      </c>
      <c r="O77" s="74"/>
      <c r="P77" s="66"/>
      <c r="Q77" s="66"/>
      <c r="R77" s="67">
        <f t="shared" si="6"/>
        <v>122783294.80199987</v>
      </c>
      <c r="S77" s="73"/>
    </row>
    <row r="78" spans="2:19" s="37" customFormat="1" hidden="1" outlineLevel="1">
      <c r="B78" s="69">
        <v>40847</v>
      </c>
      <c r="C78" s="69"/>
      <c r="D78" s="95">
        <v>787307.69</v>
      </c>
      <c r="E78" s="63">
        <f t="shared" ref="E78:E141" si="8">D78+E77</f>
        <v>52761311.789999977</v>
      </c>
      <c r="F78" s="96">
        <f>F77+D78</f>
        <v>141761311.78999987</v>
      </c>
      <c r="G78" s="70">
        <f>(F66+F78+SUM(F67:F77)*2)/24</f>
        <v>137037465.64999989</v>
      </c>
      <c r="H78" s="74"/>
      <c r="I78" s="72"/>
      <c r="J78" s="65"/>
      <c r="K78" s="65"/>
      <c r="L78" s="65">
        <f t="shared" si="7"/>
        <v>141761311.78999987</v>
      </c>
      <c r="M78" s="66">
        <f t="shared" si="5"/>
        <v>-275557.69149999996</v>
      </c>
      <c r="N78" s="72">
        <f t="shared" si="4"/>
        <v>-18466266.989500009</v>
      </c>
      <c r="O78" s="74"/>
      <c r="P78" s="66"/>
      <c r="Q78" s="66"/>
      <c r="R78" s="67">
        <f t="shared" si="6"/>
        <v>123295044.80049986</v>
      </c>
      <c r="S78" s="73"/>
    </row>
    <row r="79" spans="2:19" s="38" customFormat="1" hidden="1" outlineLevel="1">
      <c r="B79" s="77">
        <v>40877</v>
      </c>
      <c r="C79" s="77"/>
      <c r="D79" s="95"/>
      <c r="E79" s="63">
        <f t="shared" si="8"/>
        <v>52761311.789999977</v>
      </c>
      <c r="F79" s="96">
        <f t="shared" ref="F79:F142" si="9">F78+D79</f>
        <v>141761311.78999987</v>
      </c>
      <c r="G79" s="70">
        <f t="shared" si="3"/>
        <v>137791968.85291657</v>
      </c>
      <c r="H79" s="72">
        <f>F78/240</f>
        <v>590672.13245833281</v>
      </c>
      <c r="I79" s="72">
        <f>I78-H79</f>
        <v>-590672.13245833281</v>
      </c>
      <c r="J79" s="70">
        <f>(I67+I79+SUM(I68:I78)*2)/24</f>
        <v>-24611.338852430534</v>
      </c>
      <c r="K79" s="70">
        <f t="shared" ref="K79:K142" si="10">G79+J79</f>
        <v>137767357.51406413</v>
      </c>
      <c r="L79" s="65">
        <f>F79+I79</f>
        <v>141170639.65754154</v>
      </c>
      <c r="M79" s="66">
        <f>(E79/240*0.35)</f>
        <v>76943.579693749954</v>
      </c>
      <c r="N79" s="72">
        <f>N78+M79</f>
        <v>-18389323.409806259</v>
      </c>
      <c r="O79" s="70">
        <f t="shared" ref="O79:O86" si="11">(N67+N79+SUM(N68:N78)*2)/24</f>
        <v>-17073790.979033601</v>
      </c>
      <c r="P79" s="67">
        <f t="shared" ref="P79:P142" si="12">O79+K79</f>
        <v>120693566.53503053</v>
      </c>
      <c r="Q79" s="66"/>
      <c r="R79" s="67">
        <f>F79+I79+N79</f>
        <v>122781316.24773529</v>
      </c>
      <c r="S79" s="67"/>
    </row>
    <row r="80" spans="2:19" s="37" customFormat="1" hidden="1" outlineLevel="1">
      <c r="B80" s="69">
        <v>40908</v>
      </c>
      <c r="C80" s="69"/>
      <c r="D80" s="95"/>
      <c r="E80" s="63">
        <f>D80+E79</f>
        <v>52761311.789999977</v>
      </c>
      <c r="F80" s="96">
        <f>F79+D80</f>
        <v>141761311.78999987</v>
      </c>
      <c r="G80" s="70">
        <f>(F68+F80+SUM(F69:F79)*2)/24</f>
        <v>138480863.08166656</v>
      </c>
      <c r="H80" s="72">
        <f t="shared" ref="H80:H143" si="13">F79/240</f>
        <v>590672.13245833281</v>
      </c>
      <c r="I80" s="72">
        <f>I79-H80</f>
        <v>-1181344.2649166656</v>
      </c>
      <c r="J80" s="70">
        <f>(I68+I80+SUM(I69:I79)*2)/24</f>
        <v>-98445.355409722135</v>
      </c>
      <c r="K80" s="70">
        <f t="shared" si="10"/>
        <v>138382417.72625685</v>
      </c>
      <c r="L80" s="65">
        <f t="shared" si="7"/>
        <v>140579967.52508321</v>
      </c>
      <c r="M80" s="66">
        <f>(E80/240*0.35)</f>
        <v>76943.579693749954</v>
      </c>
      <c r="N80" s="72">
        <f>N79+M80</f>
        <v>-18312379.830112509</v>
      </c>
      <c r="O80" s="70">
        <f t="shared" si="11"/>
        <v>-17305286.01163438</v>
      </c>
      <c r="P80" s="67">
        <f t="shared" si="12"/>
        <v>121077131.71462247</v>
      </c>
      <c r="Q80" s="66"/>
      <c r="R80" s="67">
        <f>F80+I80+N80</f>
        <v>122267587.6949707</v>
      </c>
      <c r="S80" s="73"/>
    </row>
    <row r="81" spans="2:22" s="37" customFormat="1" hidden="1" outlineLevel="1">
      <c r="B81" s="69">
        <v>40939</v>
      </c>
      <c r="C81" s="69"/>
      <c r="D81" s="95"/>
      <c r="E81" s="63">
        <f t="shared" si="8"/>
        <v>52761311.789999977</v>
      </c>
      <c r="F81" s="96">
        <f t="shared" si="9"/>
        <v>141761311.78999987</v>
      </c>
      <c r="G81" s="70">
        <f t="shared" si="3"/>
        <v>139104148.33624992</v>
      </c>
      <c r="H81" s="72">
        <f t="shared" si="13"/>
        <v>590672.13245833281</v>
      </c>
      <c r="I81" s="72">
        <f>I80-H81</f>
        <v>-1772016.3973749983</v>
      </c>
      <c r="J81" s="70">
        <f t="shared" ref="J81:J144" si="14">(I69+I81+SUM(I70:I80)*2)/24</f>
        <v>-221502.04967187476</v>
      </c>
      <c r="K81" s="70">
        <f t="shared" si="10"/>
        <v>138882646.28657803</v>
      </c>
      <c r="L81" s="65">
        <f t="shared" si="7"/>
        <v>139989295.39262488</v>
      </c>
      <c r="M81" s="66">
        <f t="shared" ref="M81:M144" si="15">(E81/240*0.35)</f>
        <v>76943.579693749954</v>
      </c>
      <c r="N81" s="72">
        <f t="shared" si="4"/>
        <v>-18235436.25041876</v>
      </c>
      <c r="O81" s="70">
        <f t="shared" si="11"/>
        <v>-17507405.938302349</v>
      </c>
      <c r="P81" s="67">
        <f t="shared" si="12"/>
        <v>121375240.34827568</v>
      </c>
      <c r="Q81" s="66"/>
      <c r="R81" s="67">
        <f t="shared" ref="R81:R144" si="16">F81+I81+N81</f>
        <v>121753859.14220613</v>
      </c>
      <c r="S81" s="73"/>
    </row>
    <row r="82" spans="2:22" s="37" customFormat="1" hidden="1" outlineLevel="1">
      <c r="B82" s="69">
        <v>40967</v>
      </c>
      <c r="C82" s="69"/>
      <c r="D82" s="95"/>
      <c r="E82" s="63">
        <f t="shared" si="8"/>
        <v>52761311.789999977</v>
      </c>
      <c r="F82" s="96">
        <f t="shared" si="9"/>
        <v>141761311.78999987</v>
      </c>
      <c r="G82" s="70">
        <f t="shared" si="3"/>
        <v>139661824.61666659</v>
      </c>
      <c r="H82" s="72">
        <f t="shared" si="13"/>
        <v>590672.13245833281</v>
      </c>
      <c r="I82" s="72">
        <f t="shared" ref="I82:I145" si="17">I81-H82</f>
        <v>-2362688.5298333312</v>
      </c>
      <c r="J82" s="70">
        <f>(I70+I82+SUM(I71:I81)*2)/24</f>
        <v>-393781.42163888854</v>
      </c>
      <c r="K82" s="70">
        <f t="shared" si="10"/>
        <v>139268043.19502771</v>
      </c>
      <c r="L82" s="65">
        <f t="shared" si="7"/>
        <v>139398623.26016656</v>
      </c>
      <c r="M82" s="66">
        <f t="shared" si="15"/>
        <v>76943.579693749954</v>
      </c>
      <c r="N82" s="72">
        <f>N81+M82</f>
        <v>-18158492.67072501</v>
      </c>
      <c r="O82" s="70">
        <f t="shared" si="11"/>
        <v>-17680150.759037506</v>
      </c>
      <c r="P82" s="67">
        <f t="shared" si="12"/>
        <v>121587892.4359902</v>
      </c>
      <c r="Q82" s="66"/>
      <c r="R82" s="67">
        <f t="shared" si="16"/>
        <v>121240130.58944154</v>
      </c>
      <c r="S82" s="73"/>
    </row>
    <row r="83" spans="2:22" s="37" customFormat="1" ht="12.75" hidden="1" customHeight="1" outlineLevel="1">
      <c r="B83" s="69">
        <v>40999</v>
      </c>
      <c r="C83" s="69"/>
      <c r="D83" s="95"/>
      <c r="E83" s="63">
        <f t="shared" si="8"/>
        <v>52761311.789999977</v>
      </c>
      <c r="F83" s="96">
        <f t="shared" si="9"/>
        <v>141761311.78999987</v>
      </c>
      <c r="G83" s="70">
        <f t="shared" si="3"/>
        <v>140153891.92291656</v>
      </c>
      <c r="H83" s="72">
        <f t="shared" si="13"/>
        <v>590672.13245833281</v>
      </c>
      <c r="I83" s="72">
        <f t="shared" si="17"/>
        <v>-2953360.6622916642</v>
      </c>
      <c r="J83" s="70">
        <f t="shared" si="14"/>
        <v>-615283.47131076327</v>
      </c>
      <c r="K83" s="70">
        <f t="shared" si="10"/>
        <v>139538608.4516058</v>
      </c>
      <c r="L83" s="65">
        <f>F83+I83</f>
        <v>138807951.1277082</v>
      </c>
      <c r="M83" s="66">
        <f t="shared" si="15"/>
        <v>76943.579693749954</v>
      </c>
      <c r="N83" s="72">
        <f>N82+M83</f>
        <v>-18081549.091031261</v>
      </c>
      <c r="O83" s="70">
        <f t="shared" si="11"/>
        <v>-17823520.473839853</v>
      </c>
      <c r="P83" s="67">
        <f t="shared" si="12"/>
        <v>121715087.97776595</v>
      </c>
      <c r="Q83" s="66"/>
      <c r="R83" s="67">
        <f t="shared" si="16"/>
        <v>120726402.03667694</v>
      </c>
      <c r="S83" s="73"/>
    </row>
    <row r="84" spans="2:22" s="37" customFormat="1" ht="12.75" hidden="1" customHeight="1" outlineLevel="1">
      <c r="B84" s="69">
        <v>41029</v>
      </c>
      <c r="C84" s="69"/>
      <c r="D84" s="95"/>
      <c r="E84" s="63">
        <f t="shared" si="8"/>
        <v>52761311.789999977</v>
      </c>
      <c r="F84" s="96">
        <f t="shared" si="9"/>
        <v>141761311.78999987</v>
      </c>
      <c r="G84" s="70">
        <f t="shared" si="3"/>
        <v>140580350.25499991</v>
      </c>
      <c r="H84" s="72">
        <f t="shared" si="13"/>
        <v>590672.13245833281</v>
      </c>
      <c r="I84" s="72">
        <f t="shared" si="17"/>
        <v>-3544032.7947499971</v>
      </c>
      <c r="J84" s="70">
        <f t="shared" si="14"/>
        <v>-886008.19868749927</v>
      </c>
      <c r="K84" s="70">
        <f t="shared" si="10"/>
        <v>139694342.05631241</v>
      </c>
      <c r="L84" s="65">
        <f t="shared" si="7"/>
        <v>138217278.99524987</v>
      </c>
      <c r="M84" s="66">
        <f t="shared" si="15"/>
        <v>76943.579693749954</v>
      </c>
      <c r="N84" s="72">
        <f>N83+M84</f>
        <v>-18004605.511337511</v>
      </c>
      <c r="O84" s="70">
        <f t="shared" si="11"/>
        <v>-17937515.082709383</v>
      </c>
      <c r="P84" s="67">
        <f t="shared" si="12"/>
        <v>121756826.97360303</v>
      </c>
      <c r="Q84" s="65"/>
      <c r="R84" s="67">
        <f t="shared" si="16"/>
        <v>120212673.48391235</v>
      </c>
      <c r="S84" s="73"/>
    </row>
    <row r="85" spans="2:22" s="37" customFormat="1" hidden="1" outlineLevel="1">
      <c r="B85" s="77">
        <v>41060</v>
      </c>
      <c r="C85" s="69"/>
      <c r="D85" s="95"/>
      <c r="E85" s="63">
        <f t="shared" si="8"/>
        <v>52761311.789999977</v>
      </c>
      <c r="F85" s="96">
        <f t="shared" si="9"/>
        <v>141761311.78999987</v>
      </c>
      <c r="G85" s="70">
        <f t="shared" si="3"/>
        <v>140941199.61291656</v>
      </c>
      <c r="H85" s="72">
        <f t="shared" si="13"/>
        <v>590672.13245833281</v>
      </c>
      <c r="I85" s="72">
        <f t="shared" si="17"/>
        <v>-4134704.92720833</v>
      </c>
      <c r="J85" s="70">
        <f>(I73+I85+SUM(I74:I84)*2)/24</f>
        <v>-1205955.6037690963</v>
      </c>
      <c r="K85" s="70">
        <f t="shared" si="10"/>
        <v>139735244.00914747</v>
      </c>
      <c r="L85" s="65">
        <f t="shared" si="7"/>
        <v>137626606.86279154</v>
      </c>
      <c r="M85" s="66">
        <f>(E85/240*0.35)</f>
        <v>76943.579693749954</v>
      </c>
      <c r="N85" s="72">
        <f t="shared" si="4"/>
        <v>-17927661.931643762</v>
      </c>
      <c r="O85" s="70">
        <f t="shared" si="11"/>
        <v>-18022134.585646104</v>
      </c>
      <c r="P85" s="67">
        <f t="shared" si="12"/>
        <v>121713109.42350136</v>
      </c>
      <c r="Q85" s="65"/>
      <c r="R85" s="67">
        <f t="shared" si="16"/>
        <v>119698944.93114778</v>
      </c>
      <c r="S85" s="73"/>
    </row>
    <row r="86" spans="2:22" s="37" customFormat="1" hidden="1" outlineLevel="1">
      <c r="B86" s="69">
        <v>41090</v>
      </c>
      <c r="C86" s="69"/>
      <c r="D86" s="95"/>
      <c r="E86" s="63">
        <f t="shared" si="8"/>
        <v>52761311.789999977</v>
      </c>
      <c r="F86" s="96">
        <f t="shared" si="9"/>
        <v>141761311.78999987</v>
      </c>
      <c r="G86" s="70">
        <f t="shared" si="3"/>
        <v>141236439.99666655</v>
      </c>
      <c r="H86" s="74">
        <f t="shared" si="13"/>
        <v>590672.13245833281</v>
      </c>
      <c r="I86" s="72">
        <f t="shared" si="17"/>
        <v>-4725377.0596666625</v>
      </c>
      <c r="J86" s="70">
        <f t="shared" si="14"/>
        <v>-1575125.6865555542</v>
      </c>
      <c r="K86" s="70">
        <f t="shared" si="10"/>
        <v>139661314.31011099</v>
      </c>
      <c r="L86" s="65">
        <f t="shared" si="7"/>
        <v>137035934.73033321</v>
      </c>
      <c r="M86" s="66">
        <f t="shared" si="15"/>
        <v>76943.579693749954</v>
      </c>
      <c r="N86" s="72">
        <f t="shared" si="4"/>
        <v>-17850718.351950012</v>
      </c>
      <c r="O86" s="70">
        <f t="shared" si="11"/>
        <v>-18077378.982650008</v>
      </c>
      <c r="P86" s="67">
        <f t="shared" si="12"/>
        <v>121583935.32746097</v>
      </c>
      <c r="Q86" s="65"/>
      <c r="R86" s="67">
        <f t="shared" si="16"/>
        <v>119185216.37838319</v>
      </c>
      <c r="S86" s="73"/>
      <c r="U86" s="76"/>
      <c r="V86" s="76"/>
    </row>
    <row r="87" spans="2:22" s="37" customFormat="1" hidden="1" outlineLevel="1">
      <c r="B87" s="69">
        <v>41121</v>
      </c>
      <c r="C87" s="69"/>
      <c r="D87" s="95"/>
      <c r="E87" s="63">
        <f t="shared" si="8"/>
        <v>52761311.789999977</v>
      </c>
      <c r="F87" s="96">
        <f t="shared" si="9"/>
        <v>141761311.78999987</v>
      </c>
      <c r="G87" s="70">
        <f t="shared" si="3"/>
        <v>141466071.40624988</v>
      </c>
      <c r="H87" s="74">
        <f t="shared" si="13"/>
        <v>590672.13245833281</v>
      </c>
      <c r="I87" s="72">
        <f t="shared" si="17"/>
        <v>-5316049.1921249954</v>
      </c>
      <c r="J87" s="70">
        <f t="shared" si="14"/>
        <v>-1993518.4470468732</v>
      </c>
      <c r="K87" s="70">
        <f>G87+J87</f>
        <v>139472552.959203</v>
      </c>
      <c r="L87" s="65">
        <f t="shared" si="7"/>
        <v>136445262.59787488</v>
      </c>
      <c r="M87" s="66">
        <f t="shared" si="15"/>
        <v>76943.579693749954</v>
      </c>
      <c r="N87" s="72">
        <f t="shared" si="4"/>
        <v>-17773774.772256263</v>
      </c>
      <c r="O87" s="70">
        <f>(N75+N87+SUM(N76:N86)*2)/24</f>
        <v>-18103248.273721103</v>
      </c>
      <c r="P87" s="67">
        <f t="shared" si="12"/>
        <v>121369304.68548191</v>
      </c>
      <c r="Q87" s="65"/>
      <c r="R87" s="67">
        <f t="shared" si="16"/>
        <v>118671487.82561862</v>
      </c>
      <c r="S87" s="73"/>
      <c r="U87" s="76"/>
      <c r="V87" s="76"/>
    </row>
    <row r="88" spans="2:22" s="37" customFormat="1" hidden="1" outlineLevel="1">
      <c r="B88" s="69">
        <v>41152</v>
      </c>
      <c r="C88" s="69"/>
      <c r="D88" s="95"/>
      <c r="E88" s="63">
        <f t="shared" si="8"/>
        <v>52761311.789999977</v>
      </c>
      <c r="F88" s="96">
        <f t="shared" si="9"/>
        <v>141761311.78999987</v>
      </c>
      <c r="G88" s="70">
        <f t="shared" si="3"/>
        <v>141630093.84166655</v>
      </c>
      <c r="H88" s="74">
        <f t="shared" si="13"/>
        <v>590672.13245833281</v>
      </c>
      <c r="I88" s="72">
        <f t="shared" si="17"/>
        <v>-5906721.3245833283</v>
      </c>
      <c r="J88" s="70">
        <f t="shared" si="14"/>
        <v>-2461133.8852430535</v>
      </c>
      <c r="K88" s="70">
        <f>G88+J88</f>
        <v>139168959.95642349</v>
      </c>
      <c r="L88" s="65">
        <f t="shared" si="7"/>
        <v>135854590.46541655</v>
      </c>
      <c r="M88" s="66">
        <f t="shared" si="15"/>
        <v>76943.579693749954</v>
      </c>
      <c r="N88" s="72">
        <f t="shared" si="4"/>
        <v>-17696831.192562513</v>
      </c>
      <c r="O88" s="70">
        <f t="shared" ref="O88:O150" si="18">(N76+N88+SUM(N77:N87)*2)/24</f>
        <v>-18099742.458859384</v>
      </c>
      <c r="P88" s="67">
        <f t="shared" si="12"/>
        <v>121069217.49756411</v>
      </c>
      <c r="Q88" s="65"/>
      <c r="R88" s="67">
        <f t="shared" si="16"/>
        <v>118157759.27285403</v>
      </c>
      <c r="S88" s="73"/>
      <c r="U88" s="76"/>
      <c r="V88" s="76"/>
    </row>
    <row r="89" spans="2:22" s="37" customFormat="1" hidden="1" outlineLevel="1">
      <c r="B89" s="69">
        <v>41182</v>
      </c>
      <c r="C89" s="69"/>
      <c r="D89" s="95"/>
      <c r="E89" s="63">
        <f t="shared" si="8"/>
        <v>52761311.789999977</v>
      </c>
      <c r="F89" s="96">
        <f t="shared" si="9"/>
        <v>141761311.78999987</v>
      </c>
      <c r="G89" s="70">
        <f t="shared" si="3"/>
        <v>141728507.30291656</v>
      </c>
      <c r="H89" s="74">
        <f t="shared" si="13"/>
        <v>590672.13245833281</v>
      </c>
      <c r="I89" s="72">
        <f t="shared" si="17"/>
        <v>-6497393.4570416613</v>
      </c>
      <c r="J89" s="70">
        <f t="shared" si="14"/>
        <v>-2977972.0011440949</v>
      </c>
      <c r="K89" s="70">
        <f>G89+J89</f>
        <v>138750535.30177248</v>
      </c>
      <c r="L89" s="65">
        <f t="shared" si="7"/>
        <v>135263918.33295822</v>
      </c>
      <c r="M89" s="66">
        <f t="shared" si="15"/>
        <v>76943.579693749954</v>
      </c>
      <c r="N89" s="72">
        <f t="shared" si="4"/>
        <v>-17619887.612868764</v>
      </c>
      <c r="O89" s="70">
        <f t="shared" si="18"/>
        <v>-18066861.538064856</v>
      </c>
      <c r="P89" s="67">
        <f t="shared" si="12"/>
        <v>120683673.76370762</v>
      </c>
      <c r="Q89" s="65"/>
      <c r="R89" s="67">
        <f t="shared" si="16"/>
        <v>117644030.72008947</v>
      </c>
      <c r="S89" s="73"/>
      <c r="U89" s="76"/>
      <c r="V89" s="76"/>
    </row>
    <row r="90" spans="2:22" s="37" customFormat="1" hidden="1" outlineLevel="1">
      <c r="B90" s="69">
        <v>41213</v>
      </c>
      <c r="C90" s="69"/>
      <c r="D90" s="95"/>
      <c r="E90" s="63">
        <f t="shared" si="8"/>
        <v>52761311.789999977</v>
      </c>
      <c r="F90" s="96">
        <f t="shared" si="9"/>
        <v>141761311.78999987</v>
      </c>
      <c r="G90" s="70">
        <f t="shared" ref="G90:G153" si="19">(F78+F90+SUM(F79:F89)*2)/24</f>
        <v>141761311.7899999</v>
      </c>
      <c r="H90" s="74">
        <f t="shared" si="13"/>
        <v>590672.13245833281</v>
      </c>
      <c r="I90" s="72">
        <f t="shared" si="17"/>
        <v>-7088065.5894999942</v>
      </c>
      <c r="J90" s="70">
        <f t="shared" si="14"/>
        <v>-3544032.7947499971</v>
      </c>
      <c r="K90" s="70">
        <f t="shared" si="10"/>
        <v>138217278.9952499</v>
      </c>
      <c r="L90" s="65">
        <f>F90+I90</f>
        <v>134673246.20049989</v>
      </c>
      <c r="M90" s="66">
        <f t="shared" si="15"/>
        <v>76943.579693749954</v>
      </c>
      <c r="N90" s="72">
        <f t="shared" si="4"/>
        <v>-17542944.033175014</v>
      </c>
      <c r="O90" s="70">
        <f t="shared" si="18"/>
        <v>-18004605.511337511</v>
      </c>
      <c r="P90" s="67">
        <f>O90+K90</f>
        <v>120212673.48391238</v>
      </c>
      <c r="Q90" s="65"/>
      <c r="R90" s="67">
        <f t="shared" si="16"/>
        <v>117130302.16732487</v>
      </c>
      <c r="S90" s="73"/>
      <c r="U90" s="76"/>
      <c r="V90" s="76"/>
    </row>
    <row r="91" spans="2:22" s="37" customFormat="1" hidden="1" outlineLevel="1">
      <c r="B91" s="69">
        <v>41243</v>
      </c>
      <c r="C91" s="69"/>
      <c r="D91" s="95"/>
      <c r="E91" s="63">
        <f t="shared" si="8"/>
        <v>52761311.789999977</v>
      </c>
      <c r="F91" s="96">
        <f t="shared" si="9"/>
        <v>141761311.78999987</v>
      </c>
      <c r="G91" s="70">
        <f t="shared" si="19"/>
        <v>141761311.7899999</v>
      </c>
      <c r="H91" s="74">
        <f t="shared" si="13"/>
        <v>590672.13245833281</v>
      </c>
      <c r="I91" s="72">
        <f t="shared" si="17"/>
        <v>-7678737.7219583271</v>
      </c>
      <c r="J91" s="70">
        <f t="shared" si="14"/>
        <v>-4134704.92720833</v>
      </c>
      <c r="K91" s="70">
        <f t="shared" si="10"/>
        <v>137626606.86279157</v>
      </c>
      <c r="L91" s="65">
        <f t="shared" si="7"/>
        <v>134082574.06804155</v>
      </c>
      <c r="M91" s="66">
        <f t="shared" si="15"/>
        <v>76943.579693749954</v>
      </c>
      <c r="N91" s="72">
        <f t="shared" si="4"/>
        <v>-17466000.453481264</v>
      </c>
      <c r="O91" s="70">
        <f t="shared" si="18"/>
        <v>-17927661.931643762</v>
      </c>
      <c r="P91" s="67">
        <f t="shared" si="12"/>
        <v>119698944.93114781</v>
      </c>
      <c r="Q91" s="65"/>
      <c r="R91" s="67">
        <f t="shared" si="16"/>
        <v>116616573.61456028</v>
      </c>
      <c r="S91" s="76"/>
      <c r="U91" s="76"/>
      <c r="V91" s="76"/>
    </row>
    <row r="92" spans="2:22" s="37" customFormat="1" hidden="1" outlineLevel="1">
      <c r="B92" s="69">
        <v>41274</v>
      </c>
      <c r="C92" s="69"/>
      <c r="D92" s="95"/>
      <c r="E92" s="63">
        <f t="shared" si="8"/>
        <v>52761311.789999977</v>
      </c>
      <c r="F92" s="96">
        <f t="shared" si="9"/>
        <v>141761311.78999987</v>
      </c>
      <c r="G92" s="70">
        <f t="shared" si="19"/>
        <v>141761311.7899999</v>
      </c>
      <c r="H92" s="74">
        <f t="shared" si="13"/>
        <v>590672.13245833281</v>
      </c>
      <c r="I92" s="72">
        <f>I91-H92</f>
        <v>-8269409.85441666</v>
      </c>
      <c r="J92" s="70">
        <f t="shared" si="14"/>
        <v>-4725377.0596666625</v>
      </c>
      <c r="K92" s="70">
        <f t="shared" si="10"/>
        <v>137035934.73033324</v>
      </c>
      <c r="L92" s="65">
        <f>F92+I92</f>
        <v>133491901.93558322</v>
      </c>
      <c r="M92" s="66">
        <f t="shared" si="15"/>
        <v>76943.579693749954</v>
      </c>
      <c r="N92" s="72">
        <f t="shared" si="4"/>
        <v>-17389056.873787515</v>
      </c>
      <c r="O92" s="70">
        <f t="shared" si="18"/>
        <v>-17850718.351950012</v>
      </c>
      <c r="P92" s="67">
        <f>O92+K92</f>
        <v>119185216.37838322</v>
      </c>
      <c r="Q92" s="65"/>
      <c r="R92" s="67">
        <f>F92+I92+N92</f>
        <v>116102845.06179571</v>
      </c>
      <c r="S92" s="76"/>
      <c r="U92" s="76"/>
      <c r="V92" s="76"/>
    </row>
    <row r="93" spans="2:22" hidden="1" outlineLevel="1">
      <c r="B93" s="69">
        <v>41305</v>
      </c>
      <c r="C93" s="69"/>
      <c r="D93" s="95"/>
      <c r="E93" s="63">
        <f t="shared" si="8"/>
        <v>52761311.789999977</v>
      </c>
      <c r="F93" s="96">
        <f t="shared" si="9"/>
        <v>141761311.78999987</v>
      </c>
      <c r="G93" s="70">
        <f t="shared" si="19"/>
        <v>141761311.7899999</v>
      </c>
      <c r="H93" s="74">
        <f t="shared" si="13"/>
        <v>590672.13245833281</v>
      </c>
      <c r="I93" s="72">
        <f t="shared" si="17"/>
        <v>-8860081.986874992</v>
      </c>
      <c r="J93" s="70">
        <f t="shared" si="14"/>
        <v>-5316049.1921249954</v>
      </c>
      <c r="K93" s="70">
        <f t="shared" si="10"/>
        <v>136445262.59787491</v>
      </c>
      <c r="L93" s="65">
        <f t="shared" si="7"/>
        <v>132901229.80312487</v>
      </c>
      <c r="M93" s="66">
        <f t="shared" si="15"/>
        <v>76943.579693749954</v>
      </c>
      <c r="N93" s="72">
        <f t="shared" si="4"/>
        <v>-17312113.294093765</v>
      </c>
      <c r="O93" s="70">
        <f t="shared" si="18"/>
        <v>-17773774.772256263</v>
      </c>
      <c r="P93" s="67">
        <f t="shared" si="12"/>
        <v>118671487.82561865</v>
      </c>
      <c r="Q93" s="65"/>
      <c r="R93" s="67">
        <f t="shared" si="16"/>
        <v>115589116.50903112</v>
      </c>
      <c r="S93" s="76"/>
      <c r="U93" s="76"/>
      <c r="V93" s="76"/>
    </row>
    <row r="94" spans="2:22" hidden="1" outlineLevel="1">
      <c r="B94" s="69">
        <v>41333</v>
      </c>
      <c r="C94" s="69"/>
      <c r="D94" s="95"/>
      <c r="E94" s="63">
        <f t="shared" si="8"/>
        <v>52761311.789999977</v>
      </c>
      <c r="F94" s="96">
        <f t="shared" si="9"/>
        <v>141761311.78999987</v>
      </c>
      <c r="G94" s="70">
        <f t="shared" si="19"/>
        <v>141761311.7899999</v>
      </c>
      <c r="H94" s="74">
        <f t="shared" si="13"/>
        <v>590672.13245833281</v>
      </c>
      <c r="I94" s="72">
        <f t="shared" si="17"/>
        <v>-9450754.119333325</v>
      </c>
      <c r="J94" s="70">
        <f t="shared" si="14"/>
        <v>-5906721.3245833283</v>
      </c>
      <c r="K94" s="70">
        <f t="shared" si="10"/>
        <v>135854590.46541658</v>
      </c>
      <c r="L94" s="65">
        <f t="shared" si="7"/>
        <v>132310557.67066655</v>
      </c>
      <c r="M94" s="66">
        <f>(E94/240*0.35)</f>
        <v>76943.579693749954</v>
      </c>
      <c r="N94" s="72">
        <f>N93+M94</f>
        <v>-17235169.714400016</v>
      </c>
      <c r="O94" s="70">
        <f t="shared" si="18"/>
        <v>-17696831.192562513</v>
      </c>
      <c r="P94" s="67">
        <f>O94+K94</f>
        <v>118157759.27285406</v>
      </c>
      <c r="Q94" s="65"/>
      <c r="R94" s="67">
        <f t="shared" si="16"/>
        <v>115075387.95626652</v>
      </c>
      <c r="S94" s="76"/>
      <c r="U94" s="76"/>
      <c r="V94" s="76"/>
    </row>
    <row r="95" spans="2:22" hidden="1" outlineLevel="1">
      <c r="B95" s="69">
        <v>41364</v>
      </c>
      <c r="C95" s="69"/>
      <c r="D95" s="95"/>
      <c r="E95" s="63">
        <f t="shared" si="8"/>
        <v>52761311.789999977</v>
      </c>
      <c r="F95" s="96">
        <f t="shared" si="9"/>
        <v>141761311.78999987</v>
      </c>
      <c r="G95" s="70">
        <f t="shared" si="19"/>
        <v>141761311.7899999</v>
      </c>
      <c r="H95" s="74">
        <f t="shared" si="13"/>
        <v>590672.13245833281</v>
      </c>
      <c r="I95" s="72">
        <f t="shared" si="17"/>
        <v>-10041426.251791658</v>
      </c>
      <c r="J95" s="70">
        <f t="shared" si="14"/>
        <v>-6497393.4570416613</v>
      </c>
      <c r="K95" s="70">
        <f t="shared" si="10"/>
        <v>135263918.33295825</v>
      </c>
      <c r="L95" s="65">
        <f t="shared" si="7"/>
        <v>131719885.53820822</v>
      </c>
      <c r="M95" s="66">
        <f t="shared" si="15"/>
        <v>76943.579693749954</v>
      </c>
      <c r="N95" s="72">
        <f t="shared" si="4"/>
        <v>-17158226.134706266</v>
      </c>
      <c r="O95" s="70">
        <f t="shared" si="18"/>
        <v>-17619887.612868764</v>
      </c>
      <c r="P95" s="67">
        <f t="shared" si="12"/>
        <v>117644030.7200895</v>
      </c>
      <c r="Q95" s="65"/>
      <c r="R95" s="67">
        <f>F95+I95+N95</f>
        <v>114561659.40350196</v>
      </c>
      <c r="S95" s="76"/>
      <c r="U95" s="76"/>
      <c r="V95" s="76"/>
    </row>
    <row r="96" spans="2:22" ht="12.75" hidden="1" customHeight="1" outlineLevel="1">
      <c r="B96" s="69">
        <v>41394</v>
      </c>
      <c r="C96" s="69"/>
      <c r="D96" s="95"/>
      <c r="E96" s="63">
        <f t="shared" si="8"/>
        <v>52761311.789999977</v>
      </c>
      <c r="F96" s="96">
        <f t="shared" si="9"/>
        <v>141761311.78999987</v>
      </c>
      <c r="G96" s="70">
        <f t="shared" si="19"/>
        <v>141761311.7899999</v>
      </c>
      <c r="H96" s="74">
        <f t="shared" si="13"/>
        <v>590672.13245833281</v>
      </c>
      <c r="I96" s="72">
        <f t="shared" si="17"/>
        <v>-10632098.384249991</v>
      </c>
      <c r="J96" s="70">
        <f t="shared" si="14"/>
        <v>-7088065.5894999942</v>
      </c>
      <c r="K96" s="70">
        <f t="shared" si="10"/>
        <v>134673246.20049992</v>
      </c>
      <c r="L96" s="65">
        <f t="shared" si="7"/>
        <v>131129213.40574989</v>
      </c>
      <c r="M96" s="66">
        <f t="shared" si="15"/>
        <v>76943.579693749954</v>
      </c>
      <c r="N96" s="72">
        <f t="shared" si="4"/>
        <v>-17081282.555012517</v>
      </c>
      <c r="O96" s="70">
        <f t="shared" si="18"/>
        <v>-17542944.033175014</v>
      </c>
      <c r="P96" s="67">
        <f t="shared" si="12"/>
        <v>117130302.1673249</v>
      </c>
      <c r="Q96" s="65"/>
      <c r="R96" s="67">
        <f t="shared" si="16"/>
        <v>114047930.85073736</v>
      </c>
      <c r="S96" s="76"/>
      <c r="U96" s="76"/>
      <c r="V96" s="76"/>
    </row>
    <row r="97" spans="2:31" hidden="1" outlineLevel="1">
      <c r="B97" s="69">
        <v>41425</v>
      </c>
      <c r="C97" s="69"/>
      <c r="D97" s="95"/>
      <c r="E97" s="63">
        <f t="shared" si="8"/>
        <v>52761311.789999977</v>
      </c>
      <c r="F97" s="96">
        <f t="shared" si="9"/>
        <v>141761311.78999987</v>
      </c>
      <c r="G97" s="70">
        <f t="shared" si="19"/>
        <v>141761311.7899999</v>
      </c>
      <c r="H97" s="74">
        <f t="shared" si="13"/>
        <v>590672.13245833281</v>
      </c>
      <c r="I97" s="72">
        <f t="shared" si="17"/>
        <v>-11222770.516708324</v>
      </c>
      <c r="J97" s="70">
        <f t="shared" si="14"/>
        <v>-7678737.7219583271</v>
      </c>
      <c r="K97" s="70">
        <f t="shared" si="10"/>
        <v>134082574.06804158</v>
      </c>
      <c r="L97" s="65">
        <f t="shared" si="7"/>
        <v>130538541.27329154</v>
      </c>
      <c r="M97" s="66">
        <f t="shared" si="15"/>
        <v>76943.579693749954</v>
      </c>
      <c r="N97" s="72">
        <f t="shared" si="4"/>
        <v>-17004338.975318767</v>
      </c>
      <c r="O97" s="70">
        <f t="shared" si="18"/>
        <v>-17466000.453481264</v>
      </c>
      <c r="P97" s="67">
        <f t="shared" si="12"/>
        <v>116616573.61456031</v>
      </c>
      <c r="Q97" s="65"/>
      <c r="R97" s="67">
        <f t="shared" si="16"/>
        <v>113534202.29797277</v>
      </c>
      <c r="S97" s="76"/>
      <c r="U97" s="76"/>
      <c r="V97" s="76"/>
    </row>
    <row r="98" spans="2:31" hidden="1" outlineLevel="1">
      <c r="B98" s="69">
        <v>41455</v>
      </c>
      <c r="C98" s="69"/>
      <c r="D98" s="95"/>
      <c r="E98" s="63">
        <f t="shared" si="8"/>
        <v>52761311.789999977</v>
      </c>
      <c r="F98" s="96">
        <f t="shared" si="9"/>
        <v>141761311.78999987</v>
      </c>
      <c r="G98" s="70">
        <f t="shared" si="19"/>
        <v>141761311.7899999</v>
      </c>
      <c r="H98" s="74">
        <f t="shared" si="13"/>
        <v>590672.13245833281</v>
      </c>
      <c r="I98" s="72">
        <f t="shared" si="17"/>
        <v>-11813442.649166657</v>
      </c>
      <c r="J98" s="70">
        <f t="shared" si="14"/>
        <v>-8269409.85441666</v>
      </c>
      <c r="K98" s="70">
        <f t="shared" si="10"/>
        <v>133491901.93558325</v>
      </c>
      <c r="L98" s="65">
        <f t="shared" si="7"/>
        <v>129947869.14083321</v>
      </c>
      <c r="M98" s="66">
        <f t="shared" si="15"/>
        <v>76943.579693749954</v>
      </c>
      <c r="N98" s="72">
        <f t="shared" si="4"/>
        <v>-16927395.395625018</v>
      </c>
      <c r="O98" s="70">
        <f t="shared" si="18"/>
        <v>-17389056.873787515</v>
      </c>
      <c r="P98" s="67">
        <f t="shared" si="12"/>
        <v>116102845.06179574</v>
      </c>
      <c r="Q98" s="65"/>
      <c r="R98" s="67">
        <f t="shared" si="16"/>
        <v>113020473.7452082</v>
      </c>
      <c r="S98" s="76"/>
      <c r="U98" s="76"/>
      <c r="V98" s="76"/>
    </row>
    <row r="99" spans="2:31" s="36" customFormat="1" hidden="1" outlineLevel="1">
      <c r="B99" s="69">
        <v>41486</v>
      </c>
      <c r="C99" s="77"/>
      <c r="D99" s="95"/>
      <c r="E99" s="63">
        <f t="shared" si="8"/>
        <v>52761311.789999977</v>
      </c>
      <c r="F99" s="96">
        <f t="shared" si="9"/>
        <v>141761311.78999987</v>
      </c>
      <c r="G99" s="70">
        <f t="shared" si="19"/>
        <v>141761311.7899999</v>
      </c>
      <c r="H99" s="74">
        <f t="shared" si="13"/>
        <v>590672.13245833281</v>
      </c>
      <c r="I99" s="72">
        <f t="shared" si="17"/>
        <v>-12404114.78162499</v>
      </c>
      <c r="J99" s="70">
        <f t="shared" si="14"/>
        <v>-8860081.986874992</v>
      </c>
      <c r="K99" s="70">
        <f t="shared" si="10"/>
        <v>132901229.8031249</v>
      </c>
      <c r="L99" s="65">
        <f t="shared" si="7"/>
        <v>129357197.00837488</v>
      </c>
      <c r="M99" s="66">
        <f t="shared" si="15"/>
        <v>76943.579693749954</v>
      </c>
      <c r="N99" s="72">
        <f t="shared" si="4"/>
        <v>-16850451.815931268</v>
      </c>
      <c r="O99" s="70">
        <f t="shared" si="18"/>
        <v>-17312113.294093765</v>
      </c>
      <c r="P99" s="67">
        <f t="shared" si="12"/>
        <v>115589116.50903115</v>
      </c>
      <c r="Q99" s="65"/>
      <c r="R99" s="67">
        <f t="shared" si="16"/>
        <v>112506745.19244361</v>
      </c>
      <c r="S99" s="65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pans="2:31" hidden="1" outlineLevel="1">
      <c r="B100" s="69">
        <v>41517</v>
      </c>
      <c r="C100" s="69"/>
      <c r="D100" s="95"/>
      <c r="E100" s="63">
        <f t="shared" si="8"/>
        <v>52761311.789999977</v>
      </c>
      <c r="F100" s="96">
        <f t="shared" si="9"/>
        <v>141761311.78999987</v>
      </c>
      <c r="G100" s="70">
        <f t="shared" si="19"/>
        <v>141761311.7899999</v>
      </c>
      <c r="H100" s="74">
        <f t="shared" si="13"/>
        <v>590672.13245833281</v>
      </c>
      <c r="I100" s="72">
        <f t="shared" si="17"/>
        <v>-12994786.914083323</v>
      </c>
      <c r="J100" s="70">
        <f t="shared" si="14"/>
        <v>-9450754.119333325</v>
      </c>
      <c r="K100" s="70">
        <f t="shared" si="10"/>
        <v>132310557.67066658</v>
      </c>
      <c r="L100" s="65">
        <f t="shared" si="7"/>
        <v>128766524.87591656</v>
      </c>
      <c r="M100" s="66">
        <f t="shared" si="15"/>
        <v>76943.579693749954</v>
      </c>
      <c r="N100" s="72">
        <f t="shared" si="4"/>
        <v>-16773508.236237518</v>
      </c>
      <c r="O100" s="70">
        <f t="shared" si="18"/>
        <v>-17235169.714400016</v>
      </c>
      <c r="P100" s="67">
        <f t="shared" si="12"/>
        <v>115075387.95626655</v>
      </c>
      <c r="Q100" s="65"/>
      <c r="R100" s="67">
        <f t="shared" si="16"/>
        <v>111993016.63967904</v>
      </c>
      <c r="S100" s="76"/>
    </row>
    <row r="101" spans="2:31" hidden="1" outlineLevel="1">
      <c r="B101" s="69">
        <v>41547</v>
      </c>
      <c r="C101" s="69"/>
      <c r="D101" s="95"/>
      <c r="E101" s="63">
        <f t="shared" si="8"/>
        <v>52761311.789999977</v>
      </c>
      <c r="F101" s="96">
        <f t="shared" si="9"/>
        <v>141761311.78999987</v>
      </c>
      <c r="G101" s="70">
        <f t="shared" si="19"/>
        <v>141761311.7899999</v>
      </c>
      <c r="H101" s="74">
        <f t="shared" si="13"/>
        <v>590672.13245833281</v>
      </c>
      <c r="I101" s="72">
        <f t="shared" si="17"/>
        <v>-13585459.046541655</v>
      </c>
      <c r="J101" s="70">
        <f t="shared" si="14"/>
        <v>-10041426.251791658</v>
      </c>
      <c r="K101" s="70">
        <f t="shared" si="10"/>
        <v>131719885.53820825</v>
      </c>
      <c r="L101" s="65">
        <f>F101+I101</f>
        <v>128175852.74345821</v>
      </c>
      <c r="M101" s="66">
        <f t="shared" si="15"/>
        <v>76943.579693749954</v>
      </c>
      <c r="N101" s="72">
        <f t="shared" si="4"/>
        <v>-16696564.656543769</v>
      </c>
      <c r="O101" s="70">
        <f t="shared" si="18"/>
        <v>-17158226.134706266</v>
      </c>
      <c r="P101" s="67">
        <f t="shared" si="12"/>
        <v>114561659.40350199</v>
      </c>
      <c r="Q101" s="65"/>
      <c r="R101" s="67">
        <f t="shared" si="16"/>
        <v>111479288.08691445</v>
      </c>
      <c r="S101" s="76"/>
    </row>
    <row r="102" spans="2:31" ht="14.25" hidden="1" customHeight="1" outlineLevel="1">
      <c r="B102" s="69">
        <v>41578</v>
      </c>
      <c r="C102" s="69"/>
      <c r="D102" s="95"/>
      <c r="E102" s="63">
        <f t="shared" si="8"/>
        <v>52761311.789999977</v>
      </c>
      <c r="F102" s="96">
        <f t="shared" si="9"/>
        <v>141761311.78999987</v>
      </c>
      <c r="G102" s="70">
        <f t="shared" si="19"/>
        <v>141761311.7899999</v>
      </c>
      <c r="H102" s="74">
        <f t="shared" si="13"/>
        <v>590672.13245833281</v>
      </c>
      <c r="I102" s="72">
        <f t="shared" si="17"/>
        <v>-14176131.178999988</v>
      </c>
      <c r="J102" s="70">
        <f t="shared" si="14"/>
        <v>-10632098.384249991</v>
      </c>
      <c r="K102" s="70">
        <f t="shared" si="10"/>
        <v>131129213.40574992</v>
      </c>
      <c r="L102" s="65">
        <f t="shared" si="7"/>
        <v>127585180.61099988</v>
      </c>
      <c r="M102" s="66">
        <f t="shared" si="15"/>
        <v>76943.579693749954</v>
      </c>
      <c r="N102" s="72">
        <f t="shared" si="4"/>
        <v>-16619621.076850019</v>
      </c>
      <c r="O102" s="70">
        <f t="shared" si="18"/>
        <v>-17081282.555012517</v>
      </c>
      <c r="P102" s="67">
        <f t="shared" si="12"/>
        <v>114047930.85073739</v>
      </c>
      <c r="Q102" s="79"/>
      <c r="R102" s="67">
        <f t="shared" si="16"/>
        <v>110965559.53414986</v>
      </c>
      <c r="S102" s="79"/>
    </row>
    <row r="103" spans="2:31" hidden="1" outlineLevel="1">
      <c r="B103" s="69">
        <v>41608</v>
      </c>
      <c r="C103" s="69"/>
      <c r="D103" s="95"/>
      <c r="E103" s="63">
        <f t="shared" si="8"/>
        <v>52761311.789999977</v>
      </c>
      <c r="F103" s="96">
        <f t="shared" si="9"/>
        <v>141761311.78999987</v>
      </c>
      <c r="G103" s="70">
        <f t="shared" si="19"/>
        <v>141761311.7899999</v>
      </c>
      <c r="H103" s="74">
        <f t="shared" si="13"/>
        <v>590672.13245833281</v>
      </c>
      <c r="I103" s="72">
        <f t="shared" si="17"/>
        <v>-14766803.311458321</v>
      </c>
      <c r="J103" s="70">
        <f t="shared" si="14"/>
        <v>-11222770.516708324</v>
      </c>
      <c r="K103" s="70">
        <f t="shared" si="10"/>
        <v>130538541.27329157</v>
      </c>
      <c r="L103" s="65">
        <f t="shared" si="7"/>
        <v>126994508.47854155</v>
      </c>
      <c r="M103" s="66">
        <f t="shared" si="15"/>
        <v>76943.579693749954</v>
      </c>
      <c r="N103" s="72">
        <f t="shared" si="4"/>
        <v>-16542677.49715627</v>
      </c>
      <c r="O103" s="70">
        <f t="shared" si="18"/>
        <v>-17004338.975318767</v>
      </c>
      <c r="P103" s="67">
        <f t="shared" si="12"/>
        <v>113534202.2979728</v>
      </c>
      <c r="Q103" s="65"/>
      <c r="R103" s="67">
        <f t="shared" si="16"/>
        <v>110451830.98138529</v>
      </c>
      <c r="S103" s="76"/>
    </row>
    <row r="104" spans="2:31" hidden="1" outlineLevel="1">
      <c r="B104" s="69">
        <v>41639</v>
      </c>
      <c r="C104" s="69"/>
      <c r="D104" s="95"/>
      <c r="E104" s="63">
        <f t="shared" si="8"/>
        <v>52761311.789999977</v>
      </c>
      <c r="F104" s="96">
        <f t="shared" si="9"/>
        <v>141761311.78999987</v>
      </c>
      <c r="G104" s="70">
        <f t="shared" si="19"/>
        <v>141761311.7899999</v>
      </c>
      <c r="H104" s="74">
        <f t="shared" si="13"/>
        <v>590672.13245833281</v>
      </c>
      <c r="I104" s="72">
        <f t="shared" si="17"/>
        <v>-15357475.443916654</v>
      </c>
      <c r="J104" s="70">
        <f t="shared" si="14"/>
        <v>-11813442.649166657</v>
      </c>
      <c r="K104" s="70">
        <f t="shared" si="10"/>
        <v>129947869.14083324</v>
      </c>
      <c r="L104" s="65">
        <f t="shared" si="7"/>
        <v>126403836.34608322</v>
      </c>
      <c r="M104" s="66">
        <f t="shared" si="15"/>
        <v>76943.579693749954</v>
      </c>
      <c r="N104" s="72">
        <f t="shared" si="4"/>
        <v>-16465733.91746252</v>
      </c>
      <c r="O104" s="70">
        <f t="shared" si="18"/>
        <v>-16927395.395625018</v>
      </c>
      <c r="P104" s="67">
        <f t="shared" si="12"/>
        <v>113020473.74520823</v>
      </c>
      <c r="Q104" s="65"/>
      <c r="R104" s="67">
        <f t="shared" si="16"/>
        <v>109938102.4286207</v>
      </c>
      <c r="S104" s="76"/>
    </row>
    <row r="105" spans="2:31" ht="12.75" hidden="1" customHeight="1" outlineLevel="1">
      <c r="B105" s="69">
        <v>41670</v>
      </c>
      <c r="C105" s="80"/>
      <c r="D105" s="95"/>
      <c r="E105" s="63">
        <f t="shared" si="8"/>
        <v>52761311.789999977</v>
      </c>
      <c r="F105" s="96">
        <f t="shared" si="9"/>
        <v>141761311.78999987</v>
      </c>
      <c r="G105" s="70">
        <f t="shared" si="19"/>
        <v>141761311.7899999</v>
      </c>
      <c r="H105" s="74">
        <f t="shared" si="13"/>
        <v>590672.13245833281</v>
      </c>
      <c r="I105" s="72">
        <f t="shared" si="17"/>
        <v>-15948147.576374987</v>
      </c>
      <c r="J105" s="70">
        <f t="shared" si="14"/>
        <v>-12404114.78162499</v>
      </c>
      <c r="K105" s="70">
        <f t="shared" si="10"/>
        <v>129357197.00837491</v>
      </c>
      <c r="L105" s="65">
        <f t="shared" si="7"/>
        <v>125813164.21362488</v>
      </c>
      <c r="M105" s="66">
        <f t="shared" si="15"/>
        <v>76943.579693749954</v>
      </c>
      <c r="N105" s="72">
        <f t="shared" si="4"/>
        <v>-16388790.337768771</v>
      </c>
      <c r="O105" s="70">
        <f t="shared" si="18"/>
        <v>-16850451.815931268</v>
      </c>
      <c r="P105" s="67">
        <f t="shared" si="12"/>
        <v>112506745.19244364</v>
      </c>
      <c r="Q105" s="65"/>
      <c r="R105" s="67">
        <f t="shared" si="16"/>
        <v>109424373.8758561</v>
      </c>
      <c r="S105" s="76"/>
    </row>
    <row r="106" spans="2:31" hidden="1" outlineLevel="1">
      <c r="B106" s="69">
        <v>41698</v>
      </c>
      <c r="C106" s="80"/>
      <c r="D106" s="95"/>
      <c r="E106" s="63">
        <f t="shared" si="8"/>
        <v>52761311.789999977</v>
      </c>
      <c r="F106" s="96">
        <f t="shared" si="9"/>
        <v>141761311.78999987</v>
      </c>
      <c r="G106" s="70">
        <f t="shared" si="19"/>
        <v>141761311.7899999</v>
      </c>
      <c r="H106" s="74">
        <f t="shared" si="13"/>
        <v>590672.13245833281</v>
      </c>
      <c r="I106" s="72">
        <f t="shared" si="17"/>
        <v>-16538819.70883332</v>
      </c>
      <c r="J106" s="70">
        <f t="shared" si="14"/>
        <v>-12994786.914083323</v>
      </c>
      <c r="K106" s="70">
        <f t="shared" si="10"/>
        <v>128766524.87591659</v>
      </c>
      <c r="L106" s="65">
        <f t="shared" si="7"/>
        <v>125222492.08116655</v>
      </c>
      <c r="M106" s="66">
        <f t="shared" si="15"/>
        <v>76943.579693749954</v>
      </c>
      <c r="N106" s="72">
        <f t="shared" si="4"/>
        <v>-16311846.758075021</v>
      </c>
      <c r="O106" s="70">
        <f t="shared" si="18"/>
        <v>-16773508.236237518</v>
      </c>
      <c r="P106" s="67">
        <f t="shared" si="12"/>
        <v>111993016.63967907</v>
      </c>
      <c r="Q106" s="65"/>
      <c r="R106" s="67">
        <f t="shared" si="16"/>
        <v>108910645.32309154</v>
      </c>
      <c r="S106" s="76"/>
    </row>
    <row r="107" spans="2:31" hidden="1" outlineLevel="1">
      <c r="B107" s="69">
        <v>41729</v>
      </c>
      <c r="C107" s="80"/>
      <c r="D107" s="95"/>
      <c r="E107" s="63">
        <f t="shared" si="8"/>
        <v>52761311.789999977</v>
      </c>
      <c r="F107" s="96">
        <f t="shared" si="9"/>
        <v>141761311.78999987</v>
      </c>
      <c r="G107" s="70">
        <f t="shared" si="19"/>
        <v>141761311.7899999</v>
      </c>
      <c r="H107" s="74">
        <f t="shared" si="13"/>
        <v>590672.13245833281</v>
      </c>
      <c r="I107" s="72">
        <f t="shared" si="17"/>
        <v>-17129491.841291651</v>
      </c>
      <c r="J107" s="70">
        <f t="shared" si="14"/>
        <v>-13585459.046541655</v>
      </c>
      <c r="K107" s="70">
        <f t="shared" si="10"/>
        <v>128175852.74345824</v>
      </c>
      <c r="L107" s="65">
        <f t="shared" si="7"/>
        <v>124631819.94870822</v>
      </c>
      <c r="M107" s="66">
        <f t="shared" si="15"/>
        <v>76943.579693749954</v>
      </c>
      <c r="N107" s="72">
        <f t="shared" ref="N107:N167" si="20">N106+M107</f>
        <v>-16234903.178381272</v>
      </c>
      <c r="O107" s="70">
        <f t="shared" si="18"/>
        <v>-16696564.656543769</v>
      </c>
      <c r="P107" s="67">
        <f t="shared" si="12"/>
        <v>111479288.08691448</v>
      </c>
      <c r="Q107" s="65"/>
      <c r="R107" s="67">
        <f t="shared" si="16"/>
        <v>108396916.77032694</v>
      </c>
      <c r="S107" s="76"/>
    </row>
    <row r="108" spans="2:31" ht="12.75" hidden="1" customHeight="1" outlineLevel="1">
      <c r="B108" s="69">
        <v>41759</v>
      </c>
      <c r="C108" s="80"/>
      <c r="D108" s="95"/>
      <c r="E108" s="63">
        <f t="shared" si="8"/>
        <v>52761311.789999977</v>
      </c>
      <c r="F108" s="96">
        <f t="shared" si="9"/>
        <v>141761311.78999987</v>
      </c>
      <c r="G108" s="70">
        <f t="shared" si="19"/>
        <v>141761311.7899999</v>
      </c>
      <c r="H108" s="74">
        <f t="shared" si="13"/>
        <v>590672.13245833281</v>
      </c>
      <c r="I108" s="72">
        <f t="shared" si="17"/>
        <v>-17720163.973749984</v>
      </c>
      <c r="J108" s="70">
        <f t="shared" si="14"/>
        <v>-14176131.178999988</v>
      </c>
      <c r="K108" s="70">
        <f t="shared" si="10"/>
        <v>127585180.61099991</v>
      </c>
      <c r="L108" s="65">
        <f t="shared" si="7"/>
        <v>124041147.81624989</v>
      </c>
      <c r="M108" s="66">
        <f t="shared" si="15"/>
        <v>76943.579693749954</v>
      </c>
      <c r="N108" s="72">
        <f t="shared" si="20"/>
        <v>-16157959.598687522</v>
      </c>
      <c r="O108" s="70">
        <f t="shared" si="18"/>
        <v>-16619621.076850019</v>
      </c>
      <c r="P108" s="67">
        <f t="shared" si="12"/>
        <v>110965559.53414989</v>
      </c>
      <c r="Q108" s="65"/>
      <c r="R108" s="67">
        <f t="shared" si="16"/>
        <v>107883188.21756238</v>
      </c>
      <c r="S108" s="76"/>
    </row>
    <row r="109" spans="2:31" s="37" customFormat="1" hidden="1" outlineLevel="1">
      <c r="B109" s="69">
        <v>41790</v>
      </c>
      <c r="C109" s="80"/>
      <c r="D109" s="95"/>
      <c r="E109" s="63">
        <f t="shared" si="8"/>
        <v>52761311.789999977</v>
      </c>
      <c r="F109" s="96">
        <f t="shared" si="9"/>
        <v>141761311.78999987</v>
      </c>
      <c r="G109" s="70">
        <f t="shared" si="19"/>
        <v>141761311.7899999</v>
      </c>
      <c r="H109" s="74">
        <f t="shared" si="13"/>
        <v>590672.13245833281</v>
      </c>
      <c r="I109" s="72">
        <f t="shared" si="17"/>
        <v>-18310836.106208317</v>
      </c>
      <c r="J109" s="70">
        <f t="shared" si="14"/>
        <v>-14766803.311458321</v>
      </c>
      <c r="K109" s="70">
        <f t="shared" si="10"/>
        <v>126994508.47854158</v>
      </c>
      <c r="L109" s="65">
        <f t="shared" si="7"/>
        <v>123450475.68379155</v>
      </c>
      <c r="M109" s="66">
        <f t="shared" si="15"/>
        <v>76943.579693749954</v>
      </c>
      <c r="N109" s="72">
        <f t="shared" si="20"/>
        <v>-16081016.018993773</v>
      </c>
      <c r="O109" s="70">
        <f t="shared" si="18"/>
        <v>-16542677.49715627</v>
      </c>
      <c r="P109" s="67">
        <f t="shared" si="12"/>
        <v>110451830.98138532</v>
      </c>
      <c r="Q109" s="65"/>
      <c r="R109" s="67">
        <f t="shared" si="16"/>
        <v>107369459.66479778</v>
      </c>
      <c r="S109" s="76"/>
    </row>
    <row r="110" spans="2:31" s="37" customFormat="1" hidden="1" outlineLevel="1">
      <c r="B110" s="69">
        <v>41820</v>
      </c>
      <c r="C110" s="80"/>
      <c r="D110" s="95"/>
      <c r="E110" s="63">
        <f t="shared" si="8"/>
        <v>52761311.789999977</v>
      </c>
      <c r="F110" s="96">
        <f t="shared" si="9"/>
        <v>141761311.78999987</v>
      </c>
      <c r="G110" s="70">
        <f t="shared" si="19"/>
        <v>141761311.7899999</v>
      </c>
      <c r="H110" s="74">
        <f t="shared" si="13"/>
        <v>590672.13245833281</v>
      </c>
      <c r="I110" s="72">
        <f t="shared" si="17"/>
        <v>-18901508.23866665</v>
      </c>
      <c r="J110" s="70">
        <f t="shared" si="14"/>
        <v>-15357475.443916654</v>
      </c>
      <c r="K110" s="70">
        <f t="shared" si="10"/>
        <v>126403836.34608325</v>
      </c>
      <c r="L110" s="65">
        <f t="shared" si="7"/>
        <v>122859803.55133322</v>
      </c>
      <c r="M110" s="66">
        <f t="shared" si="15"/>
        <v>76943.579693749954</v>
      </c>
      <c r="N110" s="72">
        <f t="shared" si="20"/>
        <v>-16004072.439300023</v>
      </c>
      <c r="O110" s="70">
        <f t="shared" si="18"/>
        <v>-16465733.91746252</v>
      </c>
      <c r="P110" s="67">
        <f t="shared" si="12"/>
        <v>109938102.42862073</v>
      </c>
      <c r="Q110" s="65"/>
      <c r="R110" s="67">
        <f t="shared" si="16"/>
        <v>106855731.11203319</v>
      </c>
      <c r="S110" s="76"/>
    </row>
    <row r="111" spans="2:31" s="37" customFormat="1" hidden="1" outlineLevel="1">
      <c r="B111" s="69">
        <v>41851</v>
      </c>
      <c r="C111" s="80"/>
      <c r="D111" s="95"/>
      <c r="E111" s="63">
        <f t="shared" si="8"/>
        <v>52761311.789999977</v>
      </c>
      <c r="F111" s="96">
        <f t="shared" si="9"/>
        <v>141761311.78999987</v>
      </c>
      <c r="G111" s="70">
        <f t="shared" si="19"/>
        <v>141761311.7899999</v>
      </c>
      <c r="H111" s="74">
        <f t="shared" si="13"/>
        <v>590672.13245833281</v>
      </c>
      <c r="I111" s="72">
        <f t="shared" si="17"/>
        <v>-19492180.371124983</v>
      </c>
      <c r="J111" s="70">
        <f t="shared" si="14"/>
        <v>-15948147.576374987</v>
      </c>
      <c r="K111" s="70">
        <f t="shared" si="10"/>
        <v>125813164.21362491</v>
      </c>
      <c r="L111" s="65">
        <f t="shared" si="7"/>
        <v>122269131.41887489</v>
      </c>
      <c r="M111" s="66">
        <f t="shared" si="15"/>
        <v>76943.579693749954</v>
      </c>
      <c r="N111" s="72">
        <f t="shared" si="20"/>
        <v>-15927128.859606273</v>
      </c>
      <c r="O111" s="70">
        <f t="shared" si="18"/>
        <v>-16388790.337768771</v>
      </c>
      <c r="P111" s="67">
        <f t="shared" si="12"/>
        <v>109424373.87585613</v>
      </c>
      <c r="Q111" s="65"/>
      <c r="R111" s="67">
        <f t="shared" si="16"/>
        <v>106342002.55926862</v>
      </c>
      <c r="S111" s="76"/>
    </row>
    <row r="112" spans="2:31" s="37" customFormat="1" hidden="1" outlineLevel="1">
      <c r="B112" s="69">
        <v>41882</v>
      </c>
      <c r="C112" s="80"/>
      <c r="D112" s="95"/>
      <c r="E112" s="63">
        <f t="shared" si="8"/>
        <v>52761311.789999977</v>
      </c>
      <c r="F112" s="96">
        <f t="shared" si="9"/>
        <v>141761311.78999987</v>
      </c>
      <c r="G112" s="70">
        <f t="shared" si="19"/>
        <v>141761311.7899999</v>
      </c>
      <c r="H112" s="74">
        <f t="shared" si="13"/>
        <v>590672.13245833281</v>
      </c>
      <c r="I112" s="72">
        <f t="shared" si="17"/>
        <v>-20082852.503583316</v>
      </c>
      <c r="J112" s="70">
        <f t="shared" si="14"/>
        <v>-16538819.70883332</v>
      </c>
      <c r="K112" s="70">
        <f t="shared" si="10"/>
        <v>125222492.08116658</v>
      </c>
      <c r="L112" s="65">
        <f t="shared" si="7"/>
        <v>121678459.28641656</v>
      </c>
      <c r="M112" s="66">
        <f t="shared" si="15"/>
        <v>76943.579693749954</v>
      </c>
      <c r="N112" s="72">
        <f t="shared" si="20"/>
        <v>-15850185.279912524</v>
      </c>
      <c r="O112" s="70">
        <f t="shared" si="18"/>
        <v>-16311846.758075021</v>
      </c>
      <c r="P112" s="67">
        <f>O112+K112</f>
        <v>108910645.32309157</v>
      </c>
      <c r="Q112" s="65"/>
      <c r="R112" s="67">
        <f t="shared" si="16"/>
        <v>105828274.00650403</v>
      </c>
      <c r="S112" s="76"/>
    </row>
    <row r="113" spans="2:21" s="37" customFormat="1" ht="12" hidden="1" customHeight="1" outlineLevel="1">
      <c r="B113" s="69">
        <v>41912</v>
      </c>
      <c r="C113" s="80"/>
      <c r="D113" s="95"/>
      <c r="E113" s="63">
        <f t="shared" si="8"/>
        <v>52761311.789999977</v>
      </c>
      <c r="F113" s="96">
        <f t="shared" si="9"/>
        <v>141761311.78999987</v>
      </c>
      <c r="G113" s="70">
        <f t="shared" si="19"/>
        <v>141761311.7899999</v>
      </c>
      <c r="H113" s="74">
        <f t="shared" si="13"/>
        <v>590672.13245833281</v>
      </c>
      <c r="I113" s="72">
        <f t="shared" si="17"/>
        <v>-20673524.636041649</v>
      </c>
      <c r="J113" s="70">
        <f t="shared" si="14"/>
        <v>-17129491.841291651</v>
      </c>
      <c r="K113" s="70">
        <f t="shared" si="10"/>
        <v>124631819.94870825</v>
      </c>
      <c r="L113" s="65">
        <f t="shared" si="7"/>
        <v>121087787.15395823</v>
      </c>
      <c r="M113" s="66">
        <f t="shared" si="15"/>
        <v>76943.579693749954</v>
      </c>
      <c r="N113" s="72">
        <f t="shared" si="20"/>
        <v>-15773241.700218774</v>
      </c>
      <c r="O113" s="70">
        <f t="shared" si="18"/>
        <v>-16234903.178381272</v>
      </c>
      <c r="P113" s="67">
        <f t="shared" si="12"/>
        <v>108396916.77032697</v>
      </c>
      <c r="Q113" s="65"/>
      <c r="R113" s="67">
        <f t="shared" si="16"/>
        <v>105314545.45373946</v>
      </c>
      <c r="S113" s="76"/>
    </row>
    <row r="114" spans="2:21" s="37" customFormat="1" hidden="1" outlineLevel="1">
      <c r="B114" s="69">
        <v>41943</v>
      </c>
      <c r="C114" s="80"/>
      <c r="D114" s="95"/>
      <c r="E114" s="63">
        <f t="shared" si="8"/>
        <v>52761311.789999977</v>
      </c>
      <c r="F114" s="96">
        <f t="shared" si="9"/>
        <v>141761311.78999987</v>
      </c>
      <c r="G114" s="70">
        <f t="shared" si="19"/>
        <v>141761311.7899999</v>
      </c>
      <c r="H114" s="74">
        <f t="shared" si="13"/>
        <v>590672.13245833281</v>
      </c>
      <c r="I114" s="72">
        <f t="shared" si="17"/>
        <v>-21264196.768499982</v>
      </c>
      <c r="J114" s="70">
        <f t="shared" si="14"/>
        <v>-17720163.973749984</v>
      </c>
      <c r="K114" s="70">
        <f t="shared" si="10"/>
        <v>124041147.81624992</v>
      </c>
      <c r="L114" s="65">
        <f t="shared" si="7"/>
        <v>120497115.02149989</v>
      </c>
      <c r="M114" s="66">
        <f t="shared" si="15"/>
        <v>76943.579693749954</v>
      </c>
      <c r="N114" s="72">
        <f t="shared" si="20"/>
        <v>-15696298.120525025</v>
      </c>
      <c r="O114" s="70">
        <f t="shared" si="18"/>
        <v>-16157959.598687522</v>
      </c>
      <c r="P114" s="67">
        <f t="shared" si="12"/>
        <v>107883188.21756241</v>
      </c>
      <c r="Q114" s="65"/>
      <c r="R114" s="67">
        <f t="shared" si="16"/>
        <v>104800816.90097487</v>
      </c>
      <c r="S114" s="76"/>
    </row>
    <row r="115" spans="2:21" s="37" customFormat="1" hidden="1" outlineLevel="1">
      <c r="B115" s="69">
        <v>41973</v>
      </c>
      <c r="C115" s="80"/>
      <c r="D115" s="95"/>
      <c r="E115" s="63">
        <f t="shared" si="8"/>
        <v>52761311.789999977</v>
      </c>
      <c r="F115" s="96">
        <f t="shared" si="9"/>
        <v>141761311.78999987</v>
      </c>
      <c r="G115" s="70">
        <f t="shared" si="19"/>
        <v>141761311.7899999</v>
      </c>
      <c r="H115" s="74">
        <f t="shared" si="13"/>
        <v>590672.13245833281</v>
      </c>
      <c r="I115" s="72">
        <f t="shared" si="17"/>
        <v>-21854868.900958315</v>
      </c>
      <c r="J115" s="70">
        <f t="shared" si="14"/>
        <v>-18310836.106208317</v>
      </c>
      <c r="K115" s="70">
        <f t="shared" si="10"/>
        <v>123450475.68379158</v>
      </c>
      <c r="L115" s="65">
        <f t="shared" si="7"/>
        <v>119906442.88904156</v>
      </c>
      <c r="M115" s="66">
        <f t="shared" si="15"/>
        <v>76943.579693749954</v>
      </c>
      <c r="N115" s="72">
        <f t="shared" si="20"/>
        <v>-15619354.540831275</v>
      </c>
      <c r="O115" s="70">
        <f t="shared" si="18"/>
        <v>-16081016.018993773</v>
      </c>
      <c r="P115" s="67">
        <f t="shared" si="12"/>
        <v>107369459.66479781</v>
      </c>
      <c r="Q115" s="65"/>
      <c r="R115" s="67">
        <f t="shared" si="16"/>
        <v>104287088.34821028</v>
      </c>
      <c r="S115" s="76"/>
    </row>
    <row r="116" spans="2:21" s="37" customFormat="1" ht="12.75" hidden="1" customHeight="1" outlineLevel="1">
      <c r="B116" s="69">
        <v>42004</v>
      </c>
      <c r="C116" s="80"/>
      <c r="D116" s="95"/>
      <c r="E116" s="63">
        <f t="shared" si="8"/>
        <v>52761311.789999977</v>
      </c>
      <c r="F116" s="96">
        <f t="shared" si="9"/>
        <v>141761311.78999987</v>
      </c>
      <c r="G116" s="70">
        <f t="shared" si="19"/>
        <v>141761311.7899999</v>
      </c>
      <c r="H116" s="74">
        <f t="shared" si="13"/>
        <v>590672.13245833281</v>
      </c>
      <c r="I116" s="72">
        <f t="shared" si="17"/>
        <v>-22445541.033416647</v>
      </c>
      <c r="J116" s="70">
        <f t="shared" si="14"/>
        <v>-18901508.23866665</v>
      </c>
      <c r="K116" s="70">
        <f t="shared" si="10"/>
        <v>122859803.55133325</v>
      </c>
      <c r="L116" s="65">
        <f t="shared" si="7"/>
        <v>119315770.75658323</v>
      </c>
      <c r="M116" s="66">
        <f t="shared" si="15"/>
        <v>76943.579693749954</v>
      </c>
      <c r="N116" s="72">
        <f t="shared" si="20"/>
        <v>-15542410.961137526</v>
      </c>
      <c r="O116" s="70">
        <f t="shared" si="18"/>
        <v>-16004072.439300023</v>
      </c>
      <c r="P116" s="67">
        <f t="shared" si="12"/>
        <v>106855731.11203322</v>
      </c>
      <c r="Q116" s="65"/>
      <c r="R116" s="67">
        <f t="shared" si="16"/>
        <v>103773359.79544571</v>
      </c>
      <c r="S116" s="76"/>
    </row>
    <row r="117" spans="2:21" s="37" customFormat="1" ht="12.75" hidden="1" customHeight="1" outlineLevel="1">
      <c r="B117" s="69">
        <v>42035</v>
      </c>
      <c r="C117" s="80"/>
      <c r="D117" s="95"/>
      <c r="E117" s="63">
        <f t="shared" si="8"/>
        <v>52761311.789999977</v>
      </c>
      <c r="F117" s="96">
        <f t="shared" si="9"/>
        <v>141761311.78999987</v>
      </c>
      <c r="G117" s="70">
        <f t="shared" si="19"/>
        <v>141761311.7899999</v>
      </c>
      <c r="H117" s="74">
        <f t="shared" si="13"/>
        <v>590672.13245833281</v>
      </c>
      <c r="I117" s="72">
        <f>I116-H117</f>
        <v>-23036213.16587498</v>
      </c>
      <c r="J117" s="70">
        <f t="shared" si="14"/>
        <v>-19492180.371124979</v>
      </c>
      <c r="K117" s="70">
        <f t="shared" si="10"/>
        <v>122269131.41887492</v>
      </c>
      <c r="L117" s="65">
        <f t="shared" si="7"/>
        <v>118725098.62412488</v>
      </c>
      <c r="M117" s="66">
        <f t="shared" si="15"/>
        <v>76943.579693749954</v>
      </c>
      <c r="N117" s="72">
        <f t="shared" si="20"/>
        <v>-15465467.381443776</v>
      </c>
      <c r="O117" s="70">
        <f t="shared" si="18"/>
        <v>-15927128.859606273</v>
      </c>
      <c r="P117" s="67">
        <f t="shared" si="12"/>
        <v>106342002.55926865</v>
      </c>
      <c r="Q117" s="65"/>
      <c r="R117" s="67">
        <f t="shared" si="16"/>
        <v>103259631.24268112</v>
      </c>
      <c r="S117" s="76"/>
    </row>
    <row r="118" spans="2:21" s="37" customFormat="1" hidden="1" outlineLevel="1">
      <c r="B118" s="69">
        <v>42063</v>
      </c>
      <c r="C118" s="80"/>
      <c r="D118" s="95"/>
      <c r="E118" s="63">
        <f t="shared" si="8"/>
        <v>52761311.789999977</v>
      </c>
      <c r="F118" s="96">
        <f t="shared" si="9"/>
        <v>141761311.78999987</v>
      </c>
      <c r="G118" s="70">
        <f t="shared" si="19"/>
        <v>141761311.7899999</v>
      </c>
      <c r="H118" s="74">
        <f t="shared" si="13"/>
        <v>590672.13245833281</v>
      </c>
      <c r="I118" s="72">
        <f t="shared" si="17"/>
        <v>-23626885.298333313</v>
      </c>
      <c r="J118" s="70">
        <f t="shared" si="14"/>
        <v>-20082852.503583316</v>
      </c>
      <c r="K118" s="70">
        <f t="shared" si="10"/>
        <v>121678459.28641659</v>
      </c>
      <c r="L118" s="65">
        <f t="shared" si="7"/>
        <v>118134426.49166656</v>
      </c>
      <c r="M118" s="66">
        <f t="shared" si="15"/>
        <v>76943.579693749954</v>
      </c>
      <c r="N118" s="72">
        <f t="shared" si="20"/>
        <v>-15388523.801750027</v>
      </c>
      <c r="O118" s="70">
        <f t="shared" si="18"/>
        <v>-15850185.279912524</v>
      </c>
      <c r="P118" s="67">
        <f t="shared" si="12"/>
        <v>105828274.00650406</v>
      </c>
      <c r="Q118" s="65"/>
      <c r="R118" s="67">
        <f t="shared" si="16"/>
        <v>102745902.68991652</v>
      </c>
      <c r="S118" s="76"/>
    </row>
    <row r="119" spans="2:21" s="37" customFormat="1" hidden="1" outlineLevel="1">
      <c r="B119" s="69">
        <v>42094</v>
      </c>
      <c r="C119" s="80"/>
      <c r="D119" s="95"/>
      <c r="E119" s="63">
        <f t="shared" si="8"/>
        <v>52761311.789999977</v>
      </c>
      <c r="F119" s="96">
        <f t="shared" si="9"/>
        <v>141761311.78999987</v>
      </c>
      <c r="G119" s="70">
        <f t="shared" si="19"/>
        <v>141761311.7899999</v>
      </c>
      <c r="H119" s="74">
        <f t="shared" si="13"/>
        <v>590672.13245833281</v>
      </c>
      <c r="I119" s="72">
        <f t="shared" si="17"/>
        <v>-24217557.430791646</v>
      </c>
      <c r="J119" s="70">
        <f t="shared" si="14"/>
        <v>-20673524.636041649</v>
      </c>
      <c r="K119" s="70">
        <f t="shared" si="10"/>
        <v>121087787.15395826</v>
      </c>
      <c r="L119" s="65">
        <f t="shared" si="7"/>
        <v>117543754.35920823</v>
      </c>
      <c r="M119" s="66">
        <f t="shared" si="15"/>
        <v>76943.579693749954</v>
      </c>
      <c r="N119" s="72">
        <f t="shared" si="20"/>
        <v>-15311580.222056277</v>
      </c>
      <c r="O119" s="70">
        <f t="shared" si="18"/>
        <v>-15773241.700218774</v>
      </c>
      <c r="P119" s="67">
        <f t="shared" si="12"/>
        <v>105314545.45373949</v>
      </c>
      <c r="Q119" s="65"/>
      <c r="R119" s="67">
        <f t="shared" si="16"/>
        <v>102232174.13715196</v>
      </c>
      <c r="S119" s="76"/>
    </row>
    <row r="120" spans="2:21" s="37" customFormat="1" ht="12.75" hidden="1" customHeight="1" outlineLevel="1">
      <c r="B120" s="69">
        <v>42124</v>
      </c>
      <c r="C120" s="80"/>
      <c r="D120" s="95"/>
      <c r="E120" s="63">
        <f t="shared" si="8"/>
        <v>52761311.789999977</v>
      </c>
      <c r="F120" s="96">
        <f t="shared" si="9"/>
        <v>141761311.78999987</v>
      </c>
      <c r="G120" s="70">
        <f t="shared" si="19"/>
        <v>141761311.7899999</v>
      </c>
      <c r="H120" s="74">
        <f t="shared" si="13"/>
        <v>590672.13245833281</v>
      </c>
      <c r="I120" s="72">
        <f t="shared" si="17"/>
        <v>-24808229.563249979</v>
      </c>
      <c r="J120" s="70">
        <f t="shared" si="14"/>
        <v>-21264196.768499982</v>
      </c>
      <c r="K120" s="70">
        <f t="shared" si="10"/>
        <v>120497115.02149992</v>
      </c>
      <c r="L120" s="65">
        <f t="shared" si="7"/>
        <v>116953082.2267499</v>
      </c>
      <c r="M120" s="66">
        <f t="shared" si="15"/>
        <v>76943.579693749954</v>
      </c>
      <c r="N120" s="72">
        <f t="shared" si="20"/>
        <v>-15234636.642362528</v>
      </c>
      <c r="O120" s="70">
        <f t="shared" si="18"/>
        <v>-15696298.120525025</v>
      </c>
      <c r="P120" s="67">
        <f t="shared" si="12"/>
        <v>104800816.9009749</v>
      </c>
      <c r="Q120" s="65"/>
      <c r="R120" s="67">
        <f t="shared" si="16"/>
        <v>101718445.58438736</v>
      </c>
      <c r="S120" s="76"/>
    </row>
    <row r="121" spans="2:21" s="37" customFormat="1" hidden="1" outlineLevel="1">
      <c r="B121" s="69">
        <v>42155</v>
      </c>
      <c r="C121" s="80"/>
      <c r="D121" s="95"/>
      <c r="E121" s="63">
        <f t="shared" si="8"/>
        <v>52761311.789999977</v>
      </c>
      <c r="F121" s="96">
        <f t="shared" si="9"/>
        <v>141761311.78999987</v>
      </c>
      <c r="G121" s="70">
        <f t="shared" si="19"/>
        <v>141761311.7899999</v>
      </c>
      <c r="H121" s="74">
        <f t="shared" si="13"/>
        <v>590672.13245833281</v>
      </c>
      <c r="I121" s="72">
        <f t="shared" si="17"/>
        <v>-25398901.695708312</v>
      </c>
      <c r="J121" s="70">
        <f t="shared" si="14"/>
        <v>-21854868.900958315</v>
      </c>
      <c r="K121" s="70">
        <f t="shared" si="10"/>
        <v>119906442.88904159</v>
      </c>
      <c r="L121" s="65">
        <f t="shared" si="7"/>
        <v>116362410.09429157</v>
      </c>
      <c r="M121" s="66">
        <f t="shared" si="15"/>
        <v>76943.579693749954</v>
      </c>
      <c r="N121" s="72">
        <f t="shared" si="20"/>
        <v>-15157693.062668778</v>
      </c>
      <c r="O121" s="70">
        <f t="shared" si="18"/>
        <v>-15619354.540831275</v>
      </c>
      <c r="P121" s="67">
        <f>O121+K121</f>
        <v>104287088.3482103</v>
      </c>
      <c r="Q121" s="65"/>
      <c r="R121" s="67">
        <f t="shared" si="16"/>
        <v>101204717.0316228</v>
      </c>
      <c r="S121" s="76"/>
    </row>
    <row r="122" spans="2:21" s="37" customFormat="1" hidden="1" outlineLevel="1">
      <c r="B122" s="69">
        <v>42185</v>
      </c>
      <c r="C122" s="80"/>
      <c r="D122" s="95"/>
      <c r="E122" s="63">
        <f t="shared" si="8"/>
        <v>52761311.789999977</v>
      </c>
      <c r="F122" s="96">
        <f t="shared" si="9"/>
        <v>141761311.78999987</v>
      </c>
      <c r="G122" s="70">
        <f t="shared" si="19"/>
        <v>141761311.7899999</v>
      </c>
      <c r="H122" s="74">
        <f t="shared" si="13"/>
        <v>590672.13245833281</v>
      </c>
      <c r="I122" s="72">
        <f t="shared" si="17"/>
        <v>-25989573.828166645</v>
      </c>
      <c r="J122" s="70">
        <f t="shared" si="14"/>
        <v>-22445541.033416644</v>
      </c>
      <c r="K122" s="70">
        <f t="shared" si="10"/>
        <v>119315770.75658326</v>
      </c>
      <c r="L122" s="65">
        <f t="shared" si="7"/>
        <v>115771737.96183322</v>
      </c>
      <c r="M122" s="66">
        <f t="shared" si="15"/>
        <v>76943.579693749954</v>
      </c>
      <c r="N122" s="72">
        <f t="shared" si="20"/>
        <v>-15080749.482975028</v>
      </c>
      <c r="O122" s="70">
        <f t="shared" si="18"/>
        <v>-15542410.961137526</v>
      </c>
      <c r="P122" s="67">
        <f t="shared" si="12"/>
        <v>103773359.79544574</v>
      </c>
      <c r="Q122" s="65"/>
      <c r="R122" s="67">
        <f t="shared" si="16"/>
        <v>100690988.4788582</v>
      </c>
      <c r="S122" s="76"/>
      <c r="U122" s="76"/>
    </row>
    <row r="123" spans="2:21" s="37" customFormat="1" hidden="1" outlineLevel="1">
      <c r="B123" s="69">
        <v>42216</v>
      </c>
      <c r="C123" s="80"/>
      <c r="D123" s="95"/>
      <c r="E123" s="63">
        <f t="shared" si="8"/>
        <v>52761311.789999977</v>
      </c>
      <c r="F123" s="96">
        <f t="shared" si="9"/>
        <v>141761311.78999987</v>
      </c>
      <c r="G123" s="70">
        <f t="shared" si="19"/>
        <v>141761311.7899999</v>
      </c>
      <c r="H123" s="74">
        <f t="shared" si="13"/>
        <v>590672.13245833281</v>
      </c>
      <c r="I123" s="72">
        <f t="shared" si="17"/>
        <v>-26580245.960624978</v>
      </c>
      <c r="J123" s="70">
        <f t="shared" si="14"/>
        <v>-23036213.165874977</v>
      </c>
      <c r="K123" s="70">
        <f t="shared" si="10"/>
        <v>118725098.62412493</v>
      </c>
      <c r="L123" s="65">
        <f t="shared" si="7"/>
        <v>115181065.82937489</v>
      </c>
      <c r="M123" s="66">
        <f t="shared" si="15"/>
        <v>76943.579693749954</v>
      </c>
      <c r="N123" s="72">
        <f t="shared" si="20"/>
        <v>-15003805.903281279</v>
      </c>
      <c r="O123" s="70">
        <f t="shared" si="18"/>
        <v>-15465467.381443776</v>
      </c>
      <c r="P123" s="67">
        <f t="shared" si="12"/>
        <v>103259631.24268115</v>
      </c>
      <c r="Q123" s="65"/>
      <c r="R123" s="67">
        <f t="shared" si="16"/>
        <v>100177259.92609361</v>
      </c>
      <c r="S123" s="76"/>
    </row>
    <row r="124" spans="2:21" s="37" customFormat="1" hidden="1" outlineLevel="1">
      <c r="B124" s="69">
        <v>42247</v>
      </c>
      <c r="C124" s="80"/>
      <c r="D124" s="95"/>
      <c r="E124" s="63">
        <f t="shared" si="8"/>
        <v>52761311.789999977</v>
      </c>
      <c r="F124" s="96">
        <f t="shared" si="9"/>
        <v>141761311.78999987</v>
      </c>
      <c r="G124" s="70">
        <f t="shared" si="19"/>
        <v>141761311.7899999</v>
      </c>
      <c r="H124" s="74">
        <f t="shared" si="13"/>
        <v>590672.13245833281</v>
      </c>
      <c r="I124" s="72">
        <f t="shared" si="17"/>
        <v>-27170918.093083311</v>
      </c>
      <c r="J124" s="70">
        <f t="shared" si="14"/>
        <v>-23626885.298333306</v>
      </c>
      <c r="K124" s="70">
        <f t="shared" si="10"/>
        <v>118134426.4916666</v>
      </c>
      <c r="L124" s="65">
        <f t="shared" si="7"/>
        <v>114590393.69691657</v>
      </c>
      <c r="M124" s="66">
        <f t="shared" si="15"/>
        <v>76943.579693749954</v>
      </c>
      <c r="N124" s="72">
        <f t="shared" si="20"/>
        <v>-14926862.323587529</v>
      </c>
      <c r="O124" s="70">
        <f t="shared" si="18"/>
        <v>-15388523.801750027</v>
      </c>
      <c r="P124" s="67">
        <f t="shared" si="12"/>
        <v>102745902.68991658</v>
      </c>
      <c r="Q124" s="65"/>
      <c r="R124" s="67">
        <f t="shared" si="16"/>
        <v>99663531.373329043</v>
      </c>
      <c r="S124" s="76"/>
    </row>
    <row r="125" spans="2:21" s="37" customFormat="1" hidden="1" outlineLevel="1">
      <c r="B125" s="69">
        <v>42277</v>
      </c>
      <c r="C125" s="80"/>
      <c r="D125" s="95"/>
      <c r="E125" s="63">
        <f t="shared" si="8"/>
        <v>52761311.789999977</v>
      </c>
      <c r="F125" s="96">
        <f t="shared" si="9"/>
        <v>141761311.78999987</v>
      </c>
      <c r="G125" s="70">
        <f t="shared" si="19"/>
        <v>141761311.7899999</v>
      </c>
      <c r="H125" s="74">
        <f t="shared" si="13"/>
        <v>590672.13245833281</v>
      </c>
      <c r="I125" s="72">
        <f t="shared" si="17"/>
        <v>-27761590.225541644</v>
      </c>
      <c r="J125" s="70">
        <f t="shared" si="14"/>
        <v>-24217557.430791646</v>
      </c>
      <c r="K125" s="70">
        <f t="shared" si="10"/>
        <v>117543754.35920826</v>
      </c>
      <c r="L125" s="65">
        <f t="shared" si="7"/>
        <v>113999721.56445822</v>
      </c>
      <c r="M125" s="66">
        <f>(E125/240*0.35)</f>
        <v>76943.579693749954</v>
      </c>
      <c r="N125" s="72">
        <f t="shared" si="20"/>
        <v>-14849918.74389378</v>
      </c>
      <c r="O125" s="70">
        <f t="shared" si="18"/>
        <v>-15311580.222056277</v>
      </c>
      <c r="P125" s="67">
        <f t="shared" si="12"/>
        <v>102232174.13715199</v>
      </c>
      <c r="Q125" s="65"/>
      <c r="R125" s="67">
        <f t="shared" si="16"/>
        <v>99149802.820564449</v>
      </c>
      <c r="S125" s="76"/>
    </row>
    <row r="126" spans="2:21" s="37" customFormat="1" hidden="1" outlineLevel="1">
      <c r="B126" s="69">
        <v>42308</v>
      </c>
      <c r="C126" s="80"/>
      <c r="D126" s="95"/>
      <c r="E126" s="63">
        <f t="shared" si="8"/>
        <v>52761311.789999977</v>
      </c>
      <c r="F126" s="96">
        <f t="shared" si="9"/>
        <v>141761311.78999987</v>
      </c>
      <c r="G126" s="70">
        <f t="shared" si="19"/>
        <v>141761311.7899999</v>
      </c>
      <c r="H126" s="74">
        <f t="shared" si="13"/>
        <v>590672.13245833281</v>
      </c>
      <c r="I126" s="72">
        <f t="shared" si="17"/>
        <v>-28352262.357999977</v>
      </c>
      <c r="J126" s="70">
        <f t="shared" si="14"/>
        <v>-24808229.563249979</v>
      </c>
      <c r="K126" s="70">
        <f t="shared" si="10"/>
        <v>116953082.22674993</v>
      </c>
      <c r="L126" s="65">
        <f t="shared" si="7"/>
        <v>113409049.43199989</v>
      </c>
      <c r="M126" s="66">
        <f t="shared" si="15"/>
        <v>76943.579693749954</v>
      </c>
      <c r="N126" s="72">
        <f t="shared" si="20"/>
        <v>-14772975.16420003</v>
      </c>
      <c r="O126" s="70">
        <f t="shared" si="18"/>
        <v>-15234636.642362528</v>
      </c>
      <c r="P126" s="67">
        <f t="shared" si="12"/>
        <v>101718445.58438739</v>
      </c>
      <c r="Q126" s="65"/>
      <c r="R126" s="67">
        <f t="shared" si="16"/>
        <v>98636074.267799854</v>
      </c>
      <c r="S126" s="76"/>
    </row>
    <row r="127" spans="2:21" s="37" customFormat="1" hidden="1" outlineLevel="1">
      <c r="B127" s="69">
        <v>42338</v>
      </c>
      <c r="C127" s="80"/>
      <c r="D127" s="95"/>
      <c r="E127" s="63">
        <f t="shared" si="8"/>
        <v>52761311.789999977</v>
      </c>
      <c r="F127" s="96">
        <f t="shared" si="9"/>
        <v>141761311.78999987</v>
      </c>
      <c r="G127" s="70">
        <f t="shared" si="19"/>
        <v>141761311.7899999</v>
      </c>
      <c r="H127" s="74">
        <f t="shared" si="13"/>
        <v>590672.13245833281</v>
      </c>
      <c r="I127" s="72">
        <f t="shared" si="17"/>
        <v>-28942934.49045831</v>
      </c>
      <c r="J127" s="70">
        <f t="shared" si="14"/>
        <v>-25398901.695708316</v>
      </c>
      <c r="K127" s="70">
        <f t="shared" si="10"/>
        <v>116362410.09429158</v>
      </c>
      <c r="L127" s="65">
        <f t="shared" si="7"/>
        <v>112818377.29954156</v>
      </c>
      <c r="M127" s="66">
        <f t="shared" si="15"/>
        <v>76943.579693749954</v>
      </c>
      <c r="N127" s="72">
        <f t="shared" si="20"/>
        <v>-14696031.584506281</v>
      </c>
      <c r="O127" s="70">
        <f t="shared" si="18"/>
        <v>-15157693.062668778</v>
      </c>
      <c r="P127" s="67">
        <f t="shared" si="12"/>
        <v>101204717.0316228</v>
      </c>
      <c r="Q127" s="65"/>
      <c r="R127" s="67">
        <f t="shared" si="16"/>
        <v>98122345.71503529</v>
      </c>
      <c r="S127" s="76"/>
    </row>
    <row r="128" spans="2:21" s="37" customFormat="1" hidden="1" outlineLevel="1">
      <c r="B128" s="69">
        <v>42369</v>
      </c>
      <c r="C128" s="80"/>
      <c r="D128" s="95"/>
      <c r="E128" s="63">
        <f t="shared" si="8"/>
        <v>52761311.789999977</v>
      </c>
      <c r="F128" s="96">
        <f t="shared" si="9"/>
        <v>141761311.78999987</v>
      </c>
      <c r="G128" s="70">
        <f t="shared" si="19"/>
        <v>141761311.7899999</v>
      </c>
      <c r="H128" s="74">
        <f t="shared" si="13"/>
        <v>590672.13245833281</v>
      </c>
      <c r="I128" s="72">
        <f t="shared" si="17"/>
        <v>-29533606.622916643</v>
      </c>
      <c r="J128" s="70">
        <f t="shared" si="14"/>
        <v>-25989573.828166649</v>
      </c>
      <c r="K128" s="70">
        <f t="shared" si="10"/>
        <v>115771737.96183325</v>
      </c>
      <c r="L128" s="65">
        <f t="shared" si="7"/>
        <v>112227705.16708323</v>
      </c>
      <c r="M128" s="66">
        <f t="shared" si="15"/>
        <v>76943.579693749954</v>
      </c>
      <c r="N128" s="72">
        <f t="shared" si="20"/>
        <v>-14619088.004812531</v>
      </c>
      <c r="O128" s="70">
        <f t="shared" si="18"/>
        <v>-15080749.482975028</v>
      </c>
      <c r="P128" s="67">
        <f t="shared" si="12"/>
        <v>100690988.47885823</v>
      </c>
      <c r="Q128" s="65"/>
      <c r="R128" s="67">
        <f t="shared" si="16"/>
        <v>97608617.162270695</v>
      </c>
      <c r="S128" s="76"/>
    </row>
    <row r="129" spans="2:19" s="37" customFormat="1" hidden="1" outlineLevel="1">
      <c r="B129" s="69">
        <v>42400</v>
      </c>
      <c r="C129" s="80"/>
      <c r="D129" s="95"/>
      <c r="E129" s="63">
        <f t="shared" si="8"/>
        <v>52761311.789999977</v>
      </c>
      <c r="F129" s="96">
        <f t="shared" si="9"/>
        <v>141761311.78999987</v>
      </c>
      <c r="G129" s="70">
        <f t="shared" si="19"/>
        <v>141761311.7899999</v>
      </c>
      <c r="H129" s="74">
        <f t="shared" si="13"/>
        <v>590672.13245833281</v>
      </c>
      <c r="I129" s="72">
        <f t="shared" si="17"/>
        <v>-30124278.755374976</v>
      </c>
      <c r="J129" s="70">
        <f t="shared" si="14"/>
        <v>-26580245.960624982</v>
      </c>
      <c r="K129" s="70">
        <f t="shared" si="10"/>
        <v>115181065.82937492</v>
      </c>
      <c r="L129" s="65">
        <f t="shared" si="7"/>
        <v>111637033.0346249</v>
      </c>
      <c r="M129" s="66">
        <f t="shared" si="15"/>
        <v>76943.579693749954</v>
      </c>
      <c r="N129" s="72">
        <f t="shared" si="20"/>
        <v>-14542144.425118782</v>
      </c>
      <c r="O129" s="70">
        <f t="shared" si="18"/>
        <v>-15003805.903281279</v>
      </c>
      <c r="P129" s="67">
        <f t="shared" si="12"/>
        <v>100177259.92609364</v>
      </c>
      <c r="Q129" s="65"/>
      <c r="R129" s="67">
        <f t="shared" si="16"/>
        <v>97094888.60950613</v>
      </c>
      <c r="S129" s="76"/>
    </row>
    <row r="130" spans="2:19" s="37" customFormat="1" hidden="1" outlineLevel="1">
      <c r="B130" s="69">
        <v>42428</v>
      </c>
      <c r="C130" s="80"/>
      <c r="D130" s="95"/>
      <c r="E130" s="63">
        <f t="shared" si="8"/>
        <v>52761311.789999977</v>
      </c>
      <c r="F130" s="96">
        <f t="shared" si="9"/>
        <v>141761311.78999987</v>
      </c>
      <c r="G130" s="70">
        <f t="shared" si="19"/>
        <v>141761311.7899999</v>
      </c>
      <c r="H130" s="74">
        <f t="shared" si="13"/>
        <v>590672.13245833281</v>
      </c>
      <c r="I130" s="72">
        <f t="shared" si="17"/>
        <v>-30714950.887833308</v>
      </c>
      <c r="J130" s="70">
        <f t="shared" si="14"/>
        <v>-27170918.093083311</v>
      </c>
      <c r="K130" s="70">
        <f t="shared" si="10"/>
        <v>114590393.6969166</v>
      </c>
      <c r="L130" s="65">
        <f t="shared" si="7"/>
        <v>111046360.90216656</v>
      </c>
      <c r="M130" s="66">
        <f t="shared" si="15"/>
        <v>76943.579693749954</v>
      </c>
      <c r="N130" s="72">
        <f t="shared" si="20"/>
        <v>-14465200.845425032</v>
      </c>
      <c r="O130" s="70">
        <f t="shared" si="18"/>
        <v>-14926862.323587529</v>
      </c>
      <c r="P130" s="67">
        <f t="shared" si="12"/>
        <v>99663531.373329073</v>
      </c>
      <c r="Q130" s="65"/>
      <c r="R130" s="67">
        <f t="shared" si="16"/>
        <v>96581160.056741536</v>
      </c>
      <c r="S130" s="76"/>
    </row>
    <row r="131" spans="2:19" s="37" customFormat="1" hidden="1" outlineLevel="1">
      <c r="B131" s="69">
        <v>42460</v>
      </c>
      <c r="C131" s="80"/>
      <c r="D131" s="95"/>
      <c r="E131" s="63">
        <f t="shared" si="8"/>
        <v>52761311.789999977</v>
      </c>
      <c r="F131" s="96">
        <f t="shared" si="9"/>
        <v>141761311.78999987</v>
      </c>
      <c r="G131" s="70">
        <f t="shared" si="19"/>
        <v>141761311.7899999</v>
      </c>
      <c r="H131" s="74">
        <f t="shared" si="13"/>
        <v>590672.13245833281</v>
      </c>
      <c r="I131" s="72">
        <f t="shared" si="17"/>
        <v>-31305623.020291641</v>
      </c>
      <c r="J131" s="70">
        <f t="shared" si="14"/>
        <v>-27761590.225541648</v>
      </c>
      <c r="K131" s="70">
        <f t="shared" si="10"/>
        <v>113999721.56445825</v>
      </c>
      <c r="L131" s="65">
        <f t="shared" si="7"/>
        <v>110455688.76970823</v>
      </c>
      <c r="M131" s="66">
        <f t="shared" si="15"/>
        <v>76943.579693749954</v>
      </c>
      <c r="N131" s="72">
        <f t="shared" si="20"/>
        <v>-14388257.265731283</v>
      </c>
      <c r="O131" s="70">
        <f t="shared" si="18"/>
        <v>-14849918.74389378</v>
      </c>
      <c r="P131" s="67">
        <f t="shared" si="12"/>
        <v>99149802.820564479</v>
      </c>
      <c r="Q131" s="65"/>
      <c r="R131" s="67">
        <f t="shared" si="16"/>
        <v>96067431.503976941</v>
      </c>
      <c r="S131" s="76"/>
    </row>
    <row r="132" spans="2:19" s="37" customFormat="1" hidden="1" outlineLevel="1">
      <c r="B132" s="69">
        <v>42490</v>
      </c>
      <c r="C132" s="80"/>
      <c r="D132" s="95"/>
      <c r="E132" s="63">
        <f t="shared" si="8"/>
        <v>52761311.789999977</v>
      </c>
      <c r="F132" s="96">
        <f t="shared" si="9"/>
        <v>141761311.78999987</v>
      </c>
      <c r="G132" s="70">
        <f t="shared" si="19"/>
        <v>141761311.7899999</v>
      </c>
      <c r="H132" s="74">
        <f t="shared" si="13"/>
        <v>590672.13245833281</v>
      </c>
      <c r="I132" s="72">
        <f t="shared" si="17"/>
        <v>-31896295.152749974</v>
      </c>
      <c r="J132" s="70">
        <f t="shared" si="14"/>
        <v>-28352262.357999977</v>
      </c>
      <c r="K132" s="70">
        <f t="shared" si="10"/>
        <v>113409049.43199992</v>
      </c>
      <c r="L132" s="65">
        <f t="shared" si="7"/>
        <v>109865016.6372499</v>
      </c>
      <c r="M132" s="66">
        <f t="shared" si="15"/>
        <v>76943.579693749954</v>
      </c>
      <c r="N132" s="72">
        <f t="shared" si="20"/>
        <v>-14311313.686037533</v>
      </c>
      <c r="O132" s="70">
        <f t="shared" si="18"/>
        <v>-14772975.16420003</v>
      </c>
      <c r="P132" s="67">
        <f t="shared" si="12"/>
        <v>98636074.267799884</v>
      </c>
      <c r="Q132" s="65"/>
      <c r="R132" s="67">
        <f t="shared" si="16"/>
        <v>95553702.951212376</v>
      </c>
      <c r="S132" s="76"/>
    </row>
    <row r="133" spans="2:19" s="37" customFormat="1" hidden="1" outlineLevel="1">
      <c r="B133" s="69">
        <v>42521</v>
      </c>
      <c r="C133" s="80"/>
      <c r="D133" s="95"/>
      <c r="E133" s="63">
        <f t="shared" si="8"/>
        <v>52761311.789999977</v>
      </c>
      <c r="F133" s="96">
        <f t="shared" si="9"/>
        <v>141761311.78999987</v>
      </c>
      <c r="G133" s="70">
        <f t="shared" si="19"/>
        <v>141761311.7899999</v>
      </c>
      <c r="H133" s="74">
        <f t="shared" si="13"/>
        <v>590672.13245833281</v>
      </c>
      <c r="I133" s="72">
        <f t="shared" si="17"/>
        <v>-32486967.285208307</v>
      </c>
      <c r="J133" s="70">
        <f t="shared" si="14"/>
        <v>-28942934.490458306</v>
      </c>
      <c r="K133" s="70">
        <f t="shared" si="10"/>
        <v>112818377.29954159</v>
      </c>
      <c r="L133" s="65">
        <f t="shared" si="7"/>
        <v>109274344.50479156</v>
      </c>
      <c r="M133" s="66">
        <f t="shared" si="15"/>
        <v>76943.579693749954</v>
      </c>
      <c r="N133" s="72">
        <f t="shared" si="20"/>
        <v>-14234370.106343783</v>
      </c>
      <c r="O133" s="70">
        <f t="shared" si="18"/>
        <v>-14696031.584506281</v>
      </c>
      <c r="P133" s="67">
        <f t="shared" si="12"/>
        <v>98122345.715035319</v>
      </c>
      <c r="Q133" s="65"/>
      <c r="R133" s="67">
        <f t="shared" si="16"/>
        <v>95039974.398447782</v>
      </c>
      <c r="S133" s="76"/>
    </row>
    <row r="134" spans="2:19" s="37" customFormat="1" hidden="1" outlineLevel="1">
      <c r="B134" s="69">
        <v>42551</v>
      </c>
      <c r="C134" s="80"/>
      <c r="D134" s="95"/>
      <c r="E134" s="63">
        <f t="shared" si="8"/>
        <v>52761311.789999977</v>
      </c>
      <c r="F134" s="96">
        <f t="shared" si="9"/>
        <v>141761311.78999987</v>
      </c>
      <c r="G134" s="70">
        <f t="shared" si="19"/>
        <v>141761311.7899999</v>
      </c>
      <c r="H134" s="74">
        <f t="shared" si="13"/>
        <v>590672.13245833281</v>
      </c>
      <c r="I134" s="72">
        <f t="shared" si="17"/>
        <v>-33077639.41766664</v>
      </c>
      <c r="J134" s="70">
        <f t="shared" si="14"/>
        <v>-29533606.622916639</v>
      </c>
      <c r="K134" s="70">
        <f t="shared" si="10"/>
        <v>112227705.16708326</v>
      </c>
      <c r="L134" s="65">
        <f t="shared" si="7"/>
        <v>108683672.37233323</v>
      </c>
      <c r="M134" s="66">
        <f t="shared" si="15"/>
        <v>76943.579693749954</v>
      </c>
      <c r="N134" s="72">
        <f t="shared" si="20"/>
        <v>-14157426.526650034</v>
      </c>
      <c r="O134" s="70">
        <f t="shared" si="18"/>
        <v>-14619088.004812531</v>
      </c>
      <c r="P134" s="67">
        <f t="shared" si="12"/>
        <v>97608617.162270725</v>
      </c>
      <c r="Q134" s="65"/>
      <c r="R134" s="67">
        <f t="shared" si="16"/>
        <v>94526245.845683187</v>
      </c>
      <c r="S134" s="76"/>
    </row>
    <row r="135" spans="2:19" s="37" customFormat="1" hidden="1" outlineLevel="1">
      <c r="B135" s="69">
        <v>42582</v>
      </c>
      <c r="C135" s="80"/>
      <c r="D135" s="95"/>
      <c r="E135" s="63">
        <f t="shared" si="8"/>
        <v>52761311.789999977</v>
      </c>
      <c r="F135" s="96">
        <f t="shared" si="9"/>
        <v>141761311.78999987</v>
      </c>
      <c r="G135" s="70">
        <f t="shared" si="19"/>
        <v>141761311.7899999</v>
      </c>
      <c r="H135" s="74">
        <f t="shared" si="13"/>
        <v>590672.13245833281</v>
      </c>
      <c r="I135" s="72">
        <f t="shared" si="17"/>
        <v>-33668311.550124973</v>
      </c>
      <c r="J135" s="70">
        <f t="shared" si="14"/>
        <v>-30124278.755374972</v>
      </c>
      <c r="K135" s="70">
        <f t="shared" si="10"/>
        <v>111637033.03462493</v>
      </c>
      <c r="L135" s="65">
        <f t="shared" si="7"/>
        <v>108093000.2398749</v>
      </c>
      <c r="M135" s="66">
        <f t="shared" si="15"/>
        <v>76943.579693749954</v>
      </c>
      <c r="N135" s="72">
        <f t="shared" si="20"/>
        <v>-14080482.946956284</v>
      </c>
      <c r="O135" s="70">
        <f t="shared" si="18"/>
        <v>-14542144.425118782</v>
      </c>
      <c r="P135" s="67">
        <f t="shared" si="12"/>
        <v>97094888.60950616</v>
      </c>
      <c r="Q135" s="65"/>
      <c r="R135" s="67">
        <f t="shared" si="16"/>
        <v>94012517.292918622</v>
      </c>
      <c r="S135" s="76"/>
    </row>
    <row r="136" spans="2:19" s="37" customFormat="1" hidden="1" outlineLevel="1">
      <c r="B136" s="69">
        <v>42613</v>
      </c>
      <c r="C136" s="80"/>
      <c r="D136" s="95"/>
      <c r="E136" s="63">
        <f t="shared" si="8"/>
        <v>52761311.789999977</v>
      </c>
      <c r="F136" s="96">
        <f t="shared" si="9"/>
        <v>141761311.78999987</v>
      </c>
      <c r="G136" s="70">
        <f t="shared" si="19"/>
        <v>141761311.7899999</v>
      </c>
      <c r="H136" s="74">
        <f t="shared" si="13"/>
        <v>590672.13245833281</v>
      </c>
      <c r="I136" s="72">
        <f t="shared" si="17"/>
        <v>-34258983.682583302</v>
      </c>
      <c r="J136" s="70">
        <f t="shared" si="14"/>
        <v>-30714950.887833301</v>
      </c>
      <c r="K136" s="70">
        <f t="shared" si="10"/>
        <v>111046360.9021666</v>
      </c>
      <c r="L136" s="65">
        <f t="shared" si="7"/>
        <v>107502328.10741657</v>
      </c>
      <c r="M136" s="66">
        <f t="shared" si="15"/>
        <v>76943.579693749954</v>
      </c>
      <c r="N136" s="72">
        <f t="shared" si="20"/>
        <v>-14003539.367262535</v>
      </c>
      <c r="O136" s="70">
        <f t="shared" si="18"/>
        <v>-14465200.845425032</v>
      </c>
      <c r="P136" s="67">
        <f t="shared" si="12"/>
        <v>96581160.056741565</v>
      </c>
      <c r="Q136" s="76"/>
      <c r="R136" s="67">
        <f t="shared" si="16"/>
        <v>93498788.740154028</v>
      </c>
      <c r="S136" s="76"/>
    </row>
    <row r="137" spans="2:19" s="37" customFormat="1" hidden="1" outlineLevel="1">
      <c r="B137" s="69">
        <v>42643</v>
      </c>
      <c r="C137" s="80"/>
      <c r="D137" s="95"/>
      <c r="E137" s="63">
        <f t="shared" si="8"/>
        <v>52761311.789999977</v>
      </c>
      <c r="F137" s="96">
        <f t="shared" si="9"/>
        <v>141761311.78999987</v>
      </c>
      <c r="G137" s="70">
        <f t="shared" si="19"/>
        <v>141761311.7899999</v>
      </c>
      <c r="H137" s="74">
        <f t="shared" si="13"/>
        <v>590672.13245833281</v>
      </c>
      <c r="I137" s="72">
        <f t="shared" si="17"/>
        <v>-34849655.815041631</v>
      </c>
      <c r="J137" s="70">
        <f t="shared" si="14"/>
        <v>-31305623.020291641</v>
      </c>
      <c r="K137" s="70">
        <f t="shared" si="10"/>
        <v>110455688.76970826</v>
      </c>
      <c r="L137" s="65">
        <f t="shared" si="7"/>
        <v>106911655.97495824</v>
      </c>
      <c r="M137" s="66">
        <f t="shared" si="15"/>
        <v>76943.579693749954</v>
      </c>
      <c r="N137" s="72">
        <f t="shared" si="20"/>
        <v>-13926595.787568785</v>
      </c>
      <c r="O137" s="70">
        <f t="shared" si="18"/>
        <v>-14388257.265731283</v>
      </c>
      <c r="P137" s="67">
        <f t="shared" si="12"/>
        <v>96067431.503976971</v>
      </c>
      <c r="Q137" s="76"/>
      <c r="R137" s="67">
        <f t="shared" si="16"/>
        <v>92985060.187389463</v>
      </c>
      <c r="S137" s="76"/>
    </row>
    <row r="138" spans="2:19" s="37" customFormat="1" hidden="1" outlineLevel="1">
      <c r="B138" s="69">
        <v>42674</v>
      </c>
      <c r="C138" s="80"/>
      <c r="D138" s="95"/>
      <c r="E138" s="63">
        <f t="shared" si="8"/>
        <v>52761311.789999977</v>
      </c>
      <c r="F138" s="96">
        <f t="shared" si="9"/>
        <v>141761311.78999987</v>
      </c>
      <c r="G138" s="70">
        <f t="shared" si="19"/>
        <v>141761311.7899999</v>
      </c>
      <c r="H138" s="74">
        <f t="shared" si="13"/>
        <v>590672.13245833281</v>
      </c>
      <c r="I138" s="72">
        <f t="shared" si="17"/>
        <v>-35440327.947499961</v>
      </c>
      <c r="J138" s="70">
        <f t="shared" si="14"/>
        <v>-31896295.152749982</v>
      </c>
      <c r="K138" s="70">
        <f t="shared" si="10"/>
        <v>109865016.63724992</v>
      </c>
      <c r="L138" s="65">
        <f t="shared" si="7"/>
        <v>106320983.84249991</v>
      </c>
      <c r="M138" s="66">
        <f t="shared" si="15"/>
        <v>76943.579693749954</v>
      </c>
      <c r="N138" s="72">
        <f t="shared" si="20"/>
        <v>-13849652.207875036</v>
      </c>
      <c r="O138" s="70">
        <f t="shared" si="18"/>
        <v>-14311313.686037533</v>
      </c>
      <c r="P138" s="67">
        <f t="shared" si="12"/>
        <v>95553702.951212376</v>
      </c>
      <c r="Q138" s="76"/>
      <c r="R138" s="67">
        <f t="shared" si="16"/>
        <v>92471331.634624869</v>
      </c>
      <c r="S138" s="76"/>
    </row>
    <row r="139" spans="2:19" s="37" customFormat="1" hidden="1" outlineLevel="1">
      <c r="B139" s="69">
        <v>42704</v>
      </c>
      <c r="C139" s="80"/>
      <c r="D139" s="95"/>
      <c r="E139" s="63">
        <f t="shared" si="8"/>
        <v>52761311.789999977</v>
      </c>
      <c r="F139" s="96">
        <f t="shared" si="9"/>
        <v>141761311.78999987</v>
      </c>
      <c r="G139" s="70">
        <f t="shared" si="19"/>
        <v>141761311.7899999</v>
      </c>
      <c r="H139" s="74">
        <f t="shared" si="13"/>
        <v>590672.13245833281</v>
      </c>
      <c r="I139" s="72">
        <f t="shared" si="17"/>
        <v>-36031000.07995829</v>
      </c>
      <c r="J139" s="70">
        <f t="shared" si="14"/>
        <v>-32486967.285208311</v>
      </c>
      <c r="K139" s="70">
        <f t="shared" si="10"/>
        <v>109274344.50479159</v>
      </c>
      <c r="L139" s="65">
        <f t="shared" si="7"/>
        <v>105730311.71004158</v>
      </c>
      <c r="M139" s="66">
        <f t="shared" si="15"/>
        <v>76943.579693749954</v>
      </c>
      <c r="N139" s="72">
        <f t="shared" si="20"/>
        <v>-13772708.628181286</v>
      </c>
      <c r="O139" s="70">
        <f t="shared" si="18"/>
        <v>-14234370.106343783</v>
      </c>
      <c r="P139" s="67">
        <f t="shared" si="12"/>
        <v>95039974.398447812</v>
      </c>
      <c r="Q139" s="76"/>
      <c r="R139" s="67">
        <f t="shared" si="16"/>
        <v>91957603.081860304</v>
      </c>
      <c r="S139" s="76"/>
    </row>
    <row r="140" spans="2:19" s="37" customFormat="1" hidden="1" outlineLevel="1">
      <c r="B140" s="69">
        <v>42735</v>
      </c>
      <c r="C140" s="80"/>
      <c r="D140" s="95"/>
      <c r="E140" s="63">
        <f t="shared" si="8"/>
        <v>52761311.789999977</v>
      </c>
      <c r="F140" s="96">
        <f t="shared" si="9"/>
        <v>141761311.78999987</v>
      </c>
      <c r="G140" s="70">
        <f t="shared" si="19"/>
        <v>141761311.7899999</v>
      </c>
      <c r="H140" s="74">
        <f t="shared" si="13"/>
        <v>590672.13245833281</v>
      </c>
      <c r="I140" s="72">
        <f t="shared" si="17"/>
        <v>-36621672.212416619</v>
      </c>
      <c r="J140" s="70">
        <f t="shared" si="14"/>
        <v>-33077639.41766664</v>
      </c>
      <c r="K140" s="70">
        <f t="shared" si="10"/>
        <v>108683672.37233326</v>
      </c>
      <c r="L140" s="65">
        <f t="shared" si="7"/>
        <v>105139639.57758325</v>
      </c>
      <c r="M140" s="66">
        <f t="shared" si="15"/>
        <v>76943.579693749954</v>
      </c>
      <c r="N140" s="72">
        <f t="shared" si="20"/>
        <v>-13695765.048487537</v>
      </c>
      <c r="O140" s="70">
        <f t="shared" si="18"/>
        <v>-14157426.526650034</v>
      </c>
      <c r="P140" s="67">
        <f t="shared" si="12"/>
        <v>94526245.845683217</v>
      </c>
      <c r="Q140" s="76"/>
      <c r="R140" s="67">
        <f t="shared" si="16"/>
        <v>91443874.529095709</v>
      </c>
      <c r="S140" s="76"/>
    </row>
    <row r="141" spans="2:19" s="37" customFormat="1" hidden="1" outlineLevel="1">
      <c r="B141" s="69">
        <v>42766</v>
      </c>
      <c r="C141" s="80"/>
      <c r="D141" s="95"/>
      <c r="E141" s="63">
        <f t="shared" si="8"/>
        <v>52761311.789999977</v>
      </c>
      <c r="F141" s="96">
        <f t="shared" si="9"/>
        <v>141761311.78999987</v>
      </c>
      <c r="G141" s="70">
        <f t="shared" si="19"/>
        <v>141761311.7899999</v>
      </c>
      <c r="H141" s="74">
        <f t="shared" si="13"/>
        <v>590672.13245833281</v>
      </c>
      <c r="I141" s="72">
        <f t="shared" si="17"/>
        <v>-37212344.344874948</v>
      </c>
      <c r="J141" s="70">
        <f t="shared" si="14"/>
        <v>-33668311.550124966</v>
      </c>
      <c r="K141" s="70">
        <f t="shared" si="10"/>
        <v>108093000.23987493</v>
      </c>
      <c r="L141" s="65">
        <f t="shared" ref="L141:L204" si="21">F141+I141</f>
        <v>104548967.44512492</v>
      </c>
      <c r="M141" s="66">
        <f t="shared" si="15"/>
        <v>76943.579693749954</v>
      </c>
      <c r="N141" s="72">
        <f t="shared" si="20"/>
        <v>-13618821.468793787</v>
      </c>
      <c r="O141" s="70">
        <f t="shared" si="18"/>
        <v>-14080482.946956284</v>
      </c>
      <c r="P141" s="67">
        <f t="shared" si="12"/>
        <v>94012517.292918652</v>
      </c>
      <c r="Q141" s="76"/>
      <c r="R141" s="67">
        <f t="shared" si="16"/>
        <v>90930145.976331145</v>
      </c>
      <c r="S141" s="76"/>
    </row>
    <row r="142" spans="2:19" s="37" customFormat="1" ht="12.75" hidden="1" customHeight="1" outlineLevel="1">
      <c r="B142" s="69">
        <v>42794</v>
      </c>
      <c r="C142" s="80"/>
      <c r="D142" s="95"/>
      <c r="E142" s="63">
        <f t="shared" ref="E142:E205" si="22">D142+E141</f>
        <v>52761311.789999977</v>
      </c>
      <c r="F142" s="96">
        <f t="shared" si="9"/>
        <v>141761311.78999987</v>
      </c>
      <c r="G142" s="70">
        <f t="shared" si="19"/>
        <v>141761311.7899999</v>
      </c>
      <c r="H142" s="74">
        <f t="shared" si="13"/>
        <v>590672.13245833281</v>
      </c>
      <c r="I142" s="72">
        <f t="shared" si="17"/>
        <v>-37803016.477333277</v>
      </c>
      <c r="J142" s="70">
        <f t="shared" si="14"/>
        <v>-34258983.682583295</v>
      </c>
      <c r="K142" s="70">
        <f t="shared" si="10"/>
        <v>107502328.1074166</v>
      </c>
      <c r="L142" s="65">
        <f t="shared" si="21"/>
        <v>103958295.31266659</v>
      </c>
      <c r="M142" s="66">
        <f t="shared" si="15"/>
        <v>76943.579693749954</v>
      </c>
      <c r="N142" s="72">
        <f t="shared" si="20"/>
        <v>-13541877.889100038</v>
      </c>
      <c r="O142" s="70">
        <f t="shared" si="18"/>
        <v>-14003539.367262535</v>
      </c>
      <c r="P142" s="67">
        <f t="shared" si="12"/>
        <v>93498788.740154058</v>
      </c>
      <c r="Q142" s="76"/>
      <c r="R142" s="67">
        <f t="shared" si="16"/>
        <v>90416417.42356655</v>
      </c>
      <c r="S142" s="76"/>
    </row>
    <row r="143" spans="2:19" s="37" customFormat="1" ht="12.75" hidden="1" customHeight="1" outlineLevel="1">
      <c r="B143" s="69">
        <v>42825</v>
      </c>
      <c r="C143" s="80"/>
      <c r="D143" s="95"/>
      <c r="E143" s="63">
        <f t="shared" si="22"/>
        <v>52761311.789999977</v>
      </c>
      <c r="F143" s="96">
        <f t="shared" ref="F143:F206" si="23">F142+D143</f>
        <v>141761311.78999987</v>
      </c>
      <c r="G143" s="70">
        <f t="shared" si="19"/>
        <v>141761311.7899999</v>
      </c>
      <c r="H143" s="74">
        <f t="shared" si="13"/>
        <v>590672.13245833281</v>
      </c>
      <c r="I143" s="72">
        <f t="shared" si="17"/>
        <v>-38393688.609791607</v>
      </c>
      <c r="J143" s="70">
        <f t="shared" si="14"/>
        <v>-34849655.815041639</v>
      </c>
      <c r="K143" s="70">
        <f t="shared" ref="K143:K206" si="24">G143+J143</f>
        <v>106911655.97495827</v>
      </c>
      <c r="L143" s="65">
        <f t="shared" si="21"/>
        <v>103367623.18020827</v>
      </c>
      <c r="M143" s="66">
        <f t="shared" si="15"/>
        <v>76943.579693749954</v>
      </c>
      <c r="N143" s="72">
        <f t="shared" si="20"/>
        <v>-13464934.309406288</v>
      </c>
      <c r="O143" s="70">
        <f t="shared" si="18"/>
        <v>-13926595.787568785</v>
      </c>
      <c r="P143" s="67">
        <f t="shared" ref="P143:P206" si="25">O143+K143</f>
        <v>92985060.187389493</v>
      </c>
      <c r="Q143" s="76"/>
      <c r="R143" s="67">
        <f t="shared" si="16"/>
        <v>89902688.870801985</v>
      </c>
      <c r="S143" s="76"/>
    </row>
    <row r="144" spans="2:19" s="37" customFormat="1" hidden="1" outlineLevel="1">
      <c r="B144" s="69">
        <v>42855</v>
      </c>
      <c r="C144" s="80"/>
      <c r="D144" s="95"/>
      <c r="E144" s="63">
        <f t="shared" si="22"/>
        <v>52761311.789999977</v>
      </c>
      <c r="F144" s="96">
        <f t="shared" si="23"/>
        <v>141761311.78999987</v>
      </c>
      <c r="G144" s="70">
        <f t="shared" si="19"/>
        <v>141761311.7899999</v>
      </c>
      <c r="H144" s="74">
        <f t="shared" ref="H144:H207" si="26">F143/240</f>
        <v>590672.13245833281</v>
      </c>
      <c r="I144" s="72">
        <f t="shared" si="17"/>
        <v>-38984360.742249936</v>
      </c>
      <c r="J144" s="70">
        <f t="shared" si="14"/>
        <v>-35440327.947499968</v>
      </c>
      <c r="K144" s="70">
        <f t="shared" si="24"/>
        <v>106320983.84249994</v>
      </c>
      <c r="L144" s="65">
        <f t="shared" si="21"/>
        <v>102776951.04774994</v>
      </c>
      <c r="M144" s="66">
        <f t="shared" si="15"/>
        <v>76943.579693749954</v>
      </c>
      <c r="N144" s="72">
        <f t="shared" si="20"/>
        <v>-13387990.729712538</v>
      </c>
      <c r="O144" s="70">
        <f t="shared" si="18"/>
        <v>-13849652.207875036</v>
      </c>
      <c r="P144" s="67">
        <f t="shared" si="25"/>
        <v>92471331.634624898</v>
      </c>
      <c r="Q144" s="76"/>
      <c r="R144" s="67">
        <f t="shared" si="16"/>
        <v>89388960.318037391</v>
      </c>
      <c r="S144" s="76"/>
    </row>
    <row r="145" spans="2:19" s="37" customFormat="1" hidden="1" outlineLevel="1">
      <c r="B145" s="69">
        <v>42886</v>
      </c>
      <c r="C145" s="80"/>
      <c r="D145" s="95"/>
      <c r="E145" s="63">
        <f t="shared" si="22"/>
        <v>52761311.789999977</v>
      </c>
      <c r="F145" s="96">
        <f t="shared" si="23"/>
        <v>141761311.78999987</v>
      </c>
      <c r="G145" s="70">
        <f t="shared" si="19"/>
        <v>141761311.7899999</v>
      </c>
      <c r="H145" s="74">
        <f t="shared" si="26"/>
        <v>590672.13245833281</v>
      </c>
      <c r="I145" s="72">
        <f t="shared" si="17"/>
        <v>-39575032.874708265</v>
      </c>
      <c r="J145" s="70">
        <f t="shared" ref="J145:J208" si="27">(I133+I145+SUM(I134:I144)*2)/24</f>
        <v>-36031000.079958297</v>
      </c>
      <c r="K145" s="70">
        <f t="shared" si="24"/>
        <v>105730311.71004161</v>
      </c>
      <c r="L145" s="65">
        <f t="shared" si="21"/>
        <v>102186278.91529161</v>
      </c>
      <c r="M145" s="66">
        <f t="shared" ref="M145:M152" si="28">(E145/240*0.35)</f>
        <v>76943.579693749954</v>
      </c>
      <c r="N145" s="72">
        <f>N144+M145</f>
        <v>-13311047.150018789</v>
      </c>
      <c r="O145" s="70">
        <f t="shared" si="18"/>
        <v>-13772708.628181286</v>
      </c>
      <c r="P145" s="67">
        <f t="shared" si="25"/>
        <v>91957603.081860334</v>
      </c>
      <c r="Q145" s="76"/>
      <c r="R145" s="67">
        <f t="shared" ref="R145:R149" si="29">F145+I145+N145</f>
        <v>88875231.765272826</v>
      </c>
      <c r="S145" s="76"/>
    </row>
    <row r="146" spans="2:19" s="37" customFormat="1" ht="12.75" hidden="1" customHeight="1" outlineLevel="1">
      <c r="B146" s="69">
        <v>42916</v>
      </c>
      <c r="C146" s="80"/>
      <c r="D146" s="95"/>
      <c r="E146" s="63">
        <f t="shared" si="22"/>
        <v>52761311.789999977</v>
      </c>
      <c r="F146" s="96">
        <f t="shared" si="23"/>
        <v>141761311.78999987</v>
      </c>
      <c r="G146" s="70">
        <f t="shared" si="19"/>
        <v>141761311.7899999</v>
      </c>
      <c r="H146" s="74">
        <f t="shared" si="26"/>
        <v>590672.13245833281</v>
      </c>
      <c r="I146" s="72">
        <f t="shared" ref="I146:I209" si="30">I145-H146</f>
        <v>-40165705.007166594</v>
      </c>
      <c r="J146" s="70">
        <f t="shared" si="27"/>
        <v>-36621672.212416627</v>
      </c>
      <c r="K146" s="70">
        <f t="shared" si="24"/>
        <v>105139639.57758328</v>
      </c>
      <c r="L146" s="65">
        <f t="shared" si="21"/>
        <v>101595606.78283328</v>
      </c>
      <c r="M146" s="66">
        <f t="shared" si="28"/>
        <v>76943.579693749954</v>
      </c>
      <c r="N146" s="72">
        <f t="shared" si="20"/>
        <v>-13234103.570325039</v>
      </c>
      <c r="O146" s="70">
        <f t="shared" si="18"/>
        <v>-13695765.048487537</v>
      </c>
      <c r="P146" s="67">
        <f t="shared" si="25"/>
        <v>91443874.529095739</v>
      </c>
      <c r="Q146" s="76"/>
      <c r="R146" s="67">
        <f t="shared" si="29"/>
        <v>88361503.212508231</v>
      </c>
      <c r="S146" s="76"/>
    </row>
    <row r="147" spans="2:19" s="37" customFormat="1" hidden="1" outlineLevel="1">
      <c r="B147" s="69">
        <v>42947</v>
      </c>
      <c r="C147" s="80"/>
      <c r="D147" s="95"/>
      <c r="E147" s="63">
        <f t="shared" si="22"/>
        <v>52761311.789999977</v>
      </c>
      <c r="F147" s="96">
        <f t="shared" si="23"/>
        <v>141761311.78999987</v>
      </c>
      <c r="G147" s="70">
        <f t="shared" si="19"/>
        <v>141761311.7899999</v>
      </c>
      <c r="H147" s="74">
        <f t="shared" si="26"/>
        <v>590672.13245833281</v>
      </c>
      <c r="I147" s="72">
        <f t="shared" si="30"/>
        <v>-40756377.139624923</v>
      </c>
      <c r="J147" s="70">
        <f t="shared" si="27"/>
        <v>-37212344.344874956</v>
      </c>
      <c r="K147" s="70">
        <f t="shared" si="24"/>
        <v>104548967.44512495</v>
      </c>
      <c r="L147" s="65">
        <f t="shared" si="21"/>
        <v>101004934.65037495</v>
      </c>
      <c r="M147" s="66">
        <f t="shared" si="28"/>
        <v>76943.579693749954</v>
      </c>
      <c r="N147" s="72">
        <f t="shared" si="20"/>
        <v>-13157159.99063129</v>
      </c>
      <c r="O147" s="70">
        <f t="shared" si="18"/>
        <v>-13618821.468793787</v>
      </c>
      <c r="P147" s="67">
        <f t="shared" si="25"/>
        <v>90930145.976331174</v>
      </c>
      <c r="Q147" s="76"/>
      <c r="R147" s="67">
        <f t="shared" si="29"/>
        <v>87847774.659743667</v>
      </c>
      <c r="S147" s="76"/>
    </row>
    <row r="148" spans="2:19" s="37" customFormat="1" hidden="1" outlineLevel="1">
      <c r="B148" s="69">
        <v>42978</v>
      </c>
      <c r="C148" s="80"/>
      <c r="D148" s="95"/>
      <c r="E148" s="63">
        <f t="shared" si="22"/>
        <v>52761311.789999977</v>
      </c>
      <c r="F148" s="96">
        <f t="shared" si="23"/>
        <v>141761311.78999987</v>
      </c>
      <c r="G148" s="70">
        <f t="shared" si="19"/>
        <v>141761311.7899999</v>
      </c>
      <c r="H148" s="74">
        <f t="shared" si="26"/>
        <v>590672.13245833281</v>
      </c>
      <c r="I148" s="72">
        <f t="shared" si="30"/>
        <v>-41347049.272083253</v>
      </c>
      <c r="J148" s="70">
        <f t="shared" si="27"/>
        <v>-37803016.477333285</v>
      </c>
      <c r="K148" s="70">
        <f t="shared" si="24"/>
        <v>103958295.31266662</v>
      </c>
      <c r="L148" s="65">
        <f t="shared" si="21"/>
        <v>100414262.51791662</v>
      </c>
      <c r="M148" s="66">
        <f t="shared" si="28"/>
        <v>76943.579693749954</v>
      </c>
      <c r="N148" s="72">
        <f t="shared" si="20"/>
        <v>-13080216.41093754</v>
      </c>
      <c r="O148" s="70">
        <f t="shared" si="18"/>
        <v>-13541877.889100038</v>
      </c>
      <c r="P148" s="67">
        <f t="shared" si="25"/>
        <v>90416417.42356658</v>
      </c>
      <c r="Q148" s="76"/>
      <c r="R148" s="67">
        <f t="shared" si="29"/>
        <v>87334046.106979072</v>
      </c>
      <c r="S148" s="76"/>
    </row>
    <row r="149" spans="2:19" s="37" customFormat="1" hidden="1" outlineLevel="1">
      <c r="B149" s="69">
        <v>43008</v>
      </c>
      <c r="C149" s="80"/>
      <c r="D149" s="95"/>
      <c r="E149" s="63">
        <f t="shared" si="22"/>
        <v>52761311.789999977</v>
      </c>
      <c r="F149" s="96">
        <f t="shared" si="23"/>
        <v>141761311.78999987</v>
      </c>
      <c r="G149" s="70">
        <f t="shared" si="19"/>
        <v>141761311.7899999</v>
      </c>
      <c r="H149" s="74">
        <f t="shared" si="26"/>
        <v>590672.13245833281</v>
      </c>
      <c r="I149" s="72">
        <f t="shared" si="30"/>
        <v>-41937721.404541582</v>
      </c>
      <c r="J149" s="70">
        <f t="shared" si="27"/>
        <v>-38393688.609791614</v>
      </c>
      <c r="K149" s="70">
        <f t="shared" si="24"/>
        <v>103367623.1802083</v>
      </c>
      <c r="L149" s="65">
        <f t="shared" si="21"/>
        <v>99823590.385458291</v>
      </c>
      <c r="M149" s="66">
        <f t="shared" si="28"/>
        <v>76943.579693749954</v>
      </c>
      <c r="N149" s="72">
        <f t="shared" si="20"/>
        <v>-13003272.831243791</v>
      </c>
      <c r="O149" s="70">
        <f t="shared" si="18"/>
        <v>-13464934.309406288</v>
      </c>
      <c r="P149" s="67">
        <f t="shared" si="25"/>
        <v>89902688.870802015</v>
      </c>
      <c r="Q149" s="76"/>
      <c r="R149" s="67">
        <f t="shared" si="29"/>
        <v>86820317.554214507</v>
      </c>
      <c r="S149" s="76"/>
    </row>
    <row r="150" spans="2:19" s="37" customFormat="1" hidden="1" outlineLevel="1">
      <c r="B150" s="69">
        <v>43039</v>
      </c>
      <c r="C150" s="80"/>
      <c r="D150" s="95"/>
      <c r="E150" s="63">
        <f t="shared" si="22"/>
        <v>52761311.789999977</v>
      </c>
      <c r="F150" s="96">
        <f t="shared" si="23"/>
        <v>141761311.78999987</v>
      </c>
      <c r="G150" s="70">
        <f t="shared" si="19"/>
        <v>141761311.7899999</v>
      </c>
      <c r="H150" s="74">
        <f t="shared" si="26"/>
        <v>590672.13245833281</v>
      </c>
      <c r="I150" s="72">
        <f t="shared" si="30"/>
        <v>-42528393.536999911</v>
      </c>
      <c r="J150" s="70">
        <f t="shared" si="27"/>
        <v>-38984360.742249943</v>
      </c>
      <c r="K150" s="70">
        <f t="shared" si="24"/>
        <v>102776951.04774997</v>
      </c>
      <c r="L150" s="65">
        <f t="shared" si="21"/>
        <v>99232918.252999961</v>
      </c>
      <c r="M150" s="66">
        <f t="shared" si="28"/>
        <v>76943.579693749954</v>
      </c>
      <c r="N150" s="72">
        <f t="shared" si="20"/>
        <v>-12926329.251550041</v>
      </c>
      <c r="O150" s="70">
        <f t="shared" si="18"/>
        <v>-13387990.729712538</v>
      </c>
      <c r="P150" s="67">
        <f t="shared" si="25"/>
        <v>89388960.318037421</v>
      </c>
      <c r="Q150" s="76"/>
      <c r="R150" s="65"/>
      <c r="S150" s="76"/>
    </row>
    <row r="151" spans="2:19" s="37" customFormat="1" hidden="1" outlineLevel="1">
      <c r="B151" s="69">
        <v>43069</v>
      </c>
      <c r="C151" s="80"/>
      <c r="D151" s="95"/>
      <c r="E151" s="63">
        <f t="shared" si="22"/>
        <v>52761311.789999977</v>
      </c>
      <c r="F151" s="96">
        <f t="shared" si="23"/>
        <v>141761311.78999987</v>
      </c>
      <c r="G151" s="70">
        <f t="shared" si="19"/>
        <v>141761311.7899999</v>
      </c>
      <c r="H151" s="74">
        <f t="shared" si="26"/>
        <v>590672.13245833281</v>
      </c>
      <c r="I151" s="72">
        <f t="shared" si="30"/>
        <v>-43119065.66945824</v>
      </c>
      <c r="J151" s="70">
        <f t="shared" si="27"/>
        <v>-39575032.874708273</v>
      </c>
      <c r="K151" s="70">
        <f t="shared" si="24"/>
        <v>102186278.91529164</v>
      </c>
      <c r="L151" s="65">
        <f t="shared" si="21"/>
        <v>98642246.120541632</v>
      </c>
      <c r="M151" s="66">
        <f t="shared" si="28"/>
        <v>76943.579693749954</v>
      </c>
      <c r="N151" s="72">
        <f t="shared" si="20"/>
        <v>-12849385.671856292</v>
      </c>
      <c r="O151" s="70">
        <f t="shared" ref="O151:O214" si="31">(N139+N151+SUM(N140:N150)*2)/24</f>
        <v>-13311047.150018789</v>
      </c>
      <c r="P151" s="67">
        <f t="shared" si="25"/>
        <v>88875231.765272856</v>
      </c>
      <c r="Q151" s="76"/>
      <c r="R151" s="65"/>
      <c r="S151" s="76"/>
    </row>
    <row r="152" spans="2:19" s="37" customFormat="1" hidden="1" outlineLevel="1">
      <c r="B152" s="69">
        <v>43100</v>
      </c>
      <c r="C152" s="80"/>
      <c r="D152" s="95"/>
      <c r="E152" s="63">
        <f t="shared" si="22"/>
        <v>52761311.789999977</v>
      </c>
      <c r="F152" s="96">
        <f t="shared" si="23"/>
        <v>141761311.78999987</v>
      </c>
      <c r="G152" s="70">
        <f t="shared" si="19"/>
        <v>141761311.7899999</v>
      </c>
      <c r="H152" s="74">
        <f t="shared" si="26"/>
        <v>590672.13245833281</v>
      </c>
      <c r="I152" s="72">
        <f t="shared" si="30"/>
        <v>-43709737.801916569</v>
      </c>
      <c r="J152" s="70">
        <f t="shared" si="27"/>
        <v>-40165705.007166602</v>
      </c>
      <c r="K152" s="70">
        <f t="shared" si="24"/>
        <v>101595606.78283331</v>
      </c>
      <c r="L152" s="65">
        <f t="shared" si="21"/>
        <v>98051573.988083303</v>
      </c>
      <c r="M152" s="66">
        <f t="shared" si="28"/>
        <v>76943.579693749954</v>
      </c>
      <c r="N152" s="72">
        <f t="shared" si="20"/>
        <v>-12772442.092162542</v>
      </c>
      <c r="O152" s="70">
        <f t="shared" si="31"/>
        <v>-13234103.570325039</v>
      </c>
      <c r="P152" s="67">
        <f t="shared" si="25"/>
        <v>88361503.212508261</v>
      </c>
      <c r="Q152" s="76"/>
      <c r="R152" s="65"/>
      <c r="S152" s="76"/>
    </row>
    <row r="153" spans="2:19" s="37" customFormat="1" collapsed="1">
      <c r="B153" s="69">
        <v>43131</v>
      </c>
      <c r="C153" s="80"/>
      <c r="D153" s="95"/>
      <c r="E153" s="63">
        <f t="shared" si="22"/>
        <v>52761311.789999977</v>
      </c>
      <c r="F153" s="96">
        <f t="shared" si="23"/>
        <v>141761311.78999987</v>
      </c>
      <c r="G153" s="70">
        <f t="shared" si="19"/>
        <v>141761311.7899999</v>
      </c>
      <c r="H153" s="74">
        <f t="shared" si="26"/>
        <v>590672.13245833281</v>
      </c>
      <c r="I153" s="72">
        <f t="shared" si="30"/>
        <v>-44300409.934374899</v>
      </c>
      <c r="J153" s="70">
        <f t="shared" si="27"/>
        <v>-40756377.139624931</v>
      </c>
      <c r="K153" s="70">
        <f t="shared" si="24"/>
        <v>101004934.65037498</v>
      </c>
      <c r="L153" s="65">
        <f t="shared" si="21"/>
        <v>97460901.855624974</v>
      </c>
      <c r="M153" s="66">
        <f t="shared" ref="M153:M184" si="32">(E153/240*0.21)</f>
        <v>46166.147816249977</v>
      </c>
      <c r="N153" s="72">
        <f t="shared" si="20"/>
        <v>-12726275.944346292</v>
      </c>
      <c r="O153" s="70">
        <f t="shared" si="31"/>
        <v>-13158442.383626185</v>
      </c>
      <c r="P153" s="67">
        <f t="shared" si="25"/>
        <v>87846492.266748786</v>
      </c>
      <c r="Q153" s="76"/>
      <c r="R153" s="65"/>
      <c r="S153" s="76"/>
    </row>
    <row r="154" spans="2:19" s="37" customFormat="1" ht="12.75" customHeight="1">
      <c r="B154" s="69">
        <v>43159</v>
      </c>
      <c r="C154" s="80"/>
      <c r="D154" s="95"/>
      <c r="E154" s="63">
        <f t="shared" si="22"/>
        <v>52761311.789999977</v>
      </c>
      <c r="F154" s="96">
        <f t="shared" si="23"/>
        <v>141761311.78999987</v>
      </c>
      <c r="G154" s="70">
        <f t="shared" ref="G154:G217" si="33">(F142+F154+SUM(F143:F153)*2)/24</f>
        <v>141761311.7899999</v>
      </c>
      <c r="H154" s="74">
        <f t="shared" si="26"/>
        <v>590672.13245833281</v>
      </c>
      <c r="I154" s="72">
        <f t="shared" si="30"/>
        <v>-44891082.066833228</v>
      </c>
      <c r="J154" s="70">
        <f t="shared" si="27"/>
        <v>-41347049.27208326</v>
      </c>
      <c r="K154" s="70">
        <f t="shared" si="24"/>
        <v>100414262.51791665</v>
      </c>
      <c r="L154" s="65">
        <f t="shared" si="21"/>
        <v>96870229.723166645</v>
      </c>
      <c r="M154" s="66">
        <f t="shared" si="32"/>
        <v>46166.147816249977</v>
      </c>
      <c r="N154" s="72">
        <f t="shared" si="20"/>
        <v>-12680109.796530042</v>
      </c>
      <c r="O154" s="70">
        <f t="shared" si="31"/>
        <v>-13085345.982917123</v>
      </c>
      <c r="P154" s="67">
        <f t="shared" si="25"/>
        <v>87328916.53499952</v>
      </c>
      <c r="Q154" s="76"/>
      <c r="R154" s="65"/>
      <c r="S154" s="76"/>
    </row>
    <row r="155" spans="2:19" s="37" customFormat="1" ht="12.75" customHeight="1">
      <c r="B155" s="69">
        <v>43190</v>
      </c>
      <c r="C155" s="80"/>
      <c r="D155" s="95"/>
      <c r="E155" s="63">
        <f t="shared" si="22"/>
        <v>52761311.789999977</v>
      </c>
      <c r="F155" s="96">
        <f t="shared" si="23"/>
        <v>141761311.78999987</v>
      </c>
      <c r="G155" s="70">
        <f t="shared" si="33"/>
        <v>141761311.7899999</v>
      </c>
      <c r="H155" s="74">
        <f t="shared" si="26"/>
        <v>590672.13245833281</v>
      </c>
      <c r="I155" s="72">
        <f t="shared" si="30"/>
        <v>-45481754.199291557</v>
      </c>
      <c r="J155" s="70">
        <f t="shared" si="27"/>
        <v>-41937721.404541589</v>
      </c>
      <c r="K155" s="70">
        <f t="shared" si="24"/>
        <v>99823590.38545832</v>
      </c>
      <c r="L155" s="65">
        <f t="shared" si="21"/>
        <v>96279557.590708315</v>
      </c>
      <c r="M155" s="66">
        <f t="shared" si="32"/>
        <v>46166.147816249977</v>
      </c>
      <c r="N155" s="72">
        <f t="shared" si="20"/>
        <v>-12633943.648713792</v>
      </c>
      <c r="O155" s="70">
        <f t="shared" si="31"/>
        <v>-13014814.368197853</v>
      </c>
      <c r="P155" s="67">
        <f t="shared" si="25"/>
        <v>86808776.017260462</v>
      </c>
      <c r="Q155" s="76"/>
      <c r="R155" s="65"/>
      <c r="S155" s="76"/>
    </row>
    <row r="156" spans="2:19" s="37" customFormat="1">
      <c r="B156" s="69">
        <v>43220</v>
      </c>
      <c r="C156" s="80"/>
      <c r="D156" s="95"/>
      <c r="E156" s="63">
        <f t="shared" si="22"/>
        <v>52761311.789999977</v>
      </c>
      <c r="F156" s="96">
        <f t="shared" si="23"/>
        <v>141761311.78999987</v>
      </c>
      <c r="G156" s="70">
        <f t="shared" si="33"/>
        <v>141761311.7899999</v>
      </c>
      <c r="H156" s="74">
        <f t="shared" si="26"/>
        <v>590672.13245833281</v>
      </c>
      <c r="I156" s="72">
        <f t="shared" si="30"/>
        <v>-46072426.331749886</v>
      </c>
      <c r="J156" s="70">
        <f t="shared" si="27"/>
        <v>-42528393.536999919</v>
      </c>
      <c r="K156" s="70">
        <f t="shared" si="24"/>
        <v>99232918.252999991</v>
      </c>
      <c r="L156" s="65">
        <f t="shared" si="21"/>
        <v>95688885.458249986</v>
      </c>
      <c r="M156" s="66">
        <f t="shared" si="32"/>
        <v>46166.147816249977</v>
      </c>
      <c r="N156" s="72">
        <f t="shared" si="20"/>
        <v>-12587777.500897542</v>
      </c>
      <c r="O156" s="70">
        <f t="shared" si="31"/>
        <v>-12946847.539468372</v>
      </c>
      <c r="P156" s="67">
        <f t="shared" si="25"/>
        <v>86286070.713531613</v>
      </c>
      <c r="Q156" s="76"/>
      <c r="R156" s="65"/>
      <c r="S156" s="76"/>
    </row>
    <row r="157" spans="2:19" s="37" customFormat="1">
      <c r="B157" s="69">
        <v>43251</v>
      </c>
      <c r="C157" s="80"/>
      <c r="D157" s="95"/>
      <c r="E157" s="63">
        <f t="shared" si="22"/>
        <v>52761311.789999977</v>
      </c>
      <c r="F157" s="96">
        <f t="shared" si="23"/>
        <v>141761311.78999987</v>
      </c>
      <c r="G157" s="70">
        <f t="shared" si="33"/>
        <v>141761311.7899999</v>
      </c>
      <c r="H157" s="74">
        <f t="shared" si="26"/>
        <v>590672.13245833281</v>
      </c>
      <c r="I157" s="72">
        <f t="shared" si="30"/>
        <v>-46663098.464208215</v>
      </c>
      <c r="J157" s="70">
        <f t="shared" si="27"/>
        <v>-43119065.669458248</v>
      </c>
      <c r="K157" s="70">
        <f t="shared" si="24"/>
        <v>98642246.120541662</v>
      </c>
      <c r="L157" s="65">
        <f t="shared" si="21"/>
        <v>95098213.325791657</v>
      </c>
      <c r="M157" s="66">
        <f t="shared" si="32"/>
        <v>46166.147816249977</v>
      </c>
      <c r="N157" s="72">
        <f t="shared" si="20"/>
        <v>-12541611.353081292</v>
      </c>
      <c r="O157" s="70">
        <f t="shared" si="31"/>
        <v>-12881445.496728688</v>
      </c>
      <c r="P157" s="67">
        <f t="shared" si="25"/>
        <v>85760800.623812973</v>
      </c>
      <c r="Q157" s="76"/>
      <c r="R157" s="65"/>
      <c r="S157" s="76"/>
    </row>
    <row r="158" spans="2:19" s="37" customFormat="1" ht="12.75" customHeight="1">
      <c r="B158" s="69">
        <v>43281</v>
      </c>
      <c r="C158" s="80"/>
      <c r="D158" s="95"/>
      <c r="E158" s="63">
        <f t="shared" si="22"/>
        <v>52761311.789999977</v>
      </c>
      <c r="F158" s="96">
        <f t="shared" si="23"/>
        <v>141761311.78999987</v>
      </c>
      <c r="G158" s="70">
        <f t="shared" si="33"/>
        <v>141761311.7899999</v>
      </c>
      <c r="H158" s="74">
        <f t="shared" si="26"/>
        <v>590672.13245833281</v>
      </c>
      <c r="I158" s="72">
        <f t="shared" si="30"/>
        <v>-47253770.596666545</v>
      </c>
      <c r="J158" s="70">
        <f t="shared" si="27"/>
        <v>-43709737.801916577</v>
      </c>
      <c r="K158" s="70">
        <f t="shared" si="24"/>
        <v>98051573.988083333</v>
      </c>
      <c r="L158" s="65">
        <f t="shared" si="21"/>
        <v>94507541.193333328</v>
      </c>
      <c r="M158" s="66">
        <f t="shared" si="32"/>
        <v>46166.147816249977</v>
      </c>
      <c r="N158" s="72">
        <f t="shared" si="20"/>
        <v>-12495445.205265041</v>
      </c>
      <c r="O158" s="70">
        <f t="shared" si="31"/>
        <v>-12818608.23997879</v>
      </c>
      <c r="P158" s="67">
        <f t="shared" si="25"/>
        <v>85232965.748104542</v>
      </c>
      <c r="Q158" s="76"/>
      <c r="R158" s="65"/>
      <c r="S158" s="76"/>
    </row>
    <row r="159" spans="2:19" s="37" customFormat="1">
      <c r="B159" s="69">
        <v>43312</v>
      </c>
      <c r="C159" s="80"/>
      <c r="D159" s="95"/>
      <c r="E159" s="63">
        <f t="shared" si="22"/>
        <v>52761311.789999977</v>
      </c>
      <c r="F159" s="96">
        <f t="shared" si="23"/>
        <v>141761311.78999987</v>
      </c>
      <c r="G159" s="70">
        <f t="shared" si="33"/>
        <v>141761311.7899999</v>
      </c>
      <c r="H159" s="74">
        <f t="shared" si="26"/>
        <v>590672.13245833281</v>
      </c>
      <c r="I159" s="72">
        <f t="shared" si="30"/>
        <v>-47844442.729124874</v>
      </c>
      <c r="J159" s="70">
        <f t="shared" si="27"/>
        <v>-44300409.934374906</v>
      </c>
      <c r="K159" s="70">
        <f t="shared" si="24"/>
        <v>97460901.855625004</v>
      </c>
      <c r="L159" s="65">
        <f t="shared" si="21"/>
        <v>93916869.060874999</v>
      </c>
      <c r="M159" s="66">
        <f t="shared" si="32"/>
        <v>46166.147816249977</v>
      </c>
      <c r="N159" s="72">
        <f>N158+M159</f>
        <v>-12449279.057448791</v>
      </c>
      <c r="O159" s="70">
        <f t="shared" si="31"/>
        <v>-12758335.769218685</v>
      </c>
      <c r="P159" s="67">
        <f t="shared" si="25"/>
        <v>84702566.08640632</v>
      </c>
      <c r="Q159" s="76"/>
      <c r="R159" s="65"/>
      <c r="S159" s="76"/>
    </row>
    <row r="160" spans="2:19" s="37" customFormat="1">
      <c r="B160" s="69">
        <v>43343</v>
      </c>
      <c r="C160" s="80"/>
      <c r="D160" s="95"/>
      <c r="E160" s="63">
        <f t="shared" si="22"/>
        <v>52761311.789999977</v>
      </c>
      <c r="F160" s="96">
        <f t="shared" si="23"/>
        <v>141761311.78999987</v>
      </c>
      <c r="G160" s="70">
        <f t="shared" si="33"/>
        <v>141761311.7899999</v>
      </c>
      <c r="H160" s="74">
        <f t="shared" si="26"/>
        <v>590672.13245833281</v>
      </c>
      <c r="I160" s="72">
        <f t="shared" si="30"/>
        <v>-48435114.861583203</v>
      </c>
      <c r="J160" s="70">
        <f t="shared" si="27"/>
        <v>-44891082.066833235</v>
      </c>
      <c r="K160" s="70">
        <f t="shared" si="24"/>
        <v>96870229.723166674</v>
      </c>
      <c r="L160" s="65">
        <f t="shared" si="21"/>
        <v>93326196.928416669</v>
      </c>
      <c r="M160" s="66">
        <f t="shared" si="32"/>
        <v>46166.147816249977</v>
      </c>
      <c r="N160" s="72">
        <f t="shared" si="20"/>
        <v>-12403112.909632541</v>
      </c>
      <c r="O160" s="70">
        <f>(N148+N160+SUM(N149:N159)*2)/24</f>
        <v>-12700628.084448377</v>
      </c>
      <c r="P160" s="67">
        <f t="shared" si="25"/>
        <v>84169601.638718292</v>
      </c>
      <c r="Q160" s="76"/>
      <c r="R160" s="65"/>
      <c r="S160" s="76"/>
    </row>
    <row r="161" spans="2:19" s="37" customFormat="1">
      <c r="B161" s="69">
        <v>43373</v>
      </c>
      <c r="C161" s="80"/>
      <c r="D161" s="95"/>
      <c r="E161" s="63">
        <f t="shared" si="22"/>
        <v>52761311.789999977</v>
      </c>
      <c r="F161" s="96">
        <f t="shared" si="23"/>
        <v>141761311.78999987</v>
      </c>
      <c r="G161" s="70">
        <f t="shared" si="33"/>
        <v>141761311.7899999</v>
      </c>
      <c r="H161" s="74">
        <f t="shared" si="26"/>
        <v>590672.13245833281</v>
      </c>
      <c r="I161" s="72">
        <f t="shared" si="30"/>
        <v>-49025786.994041532</v>
      </c>
      <c r="J161" s="70">
        <f t="shared" si="27"/>
        <v>-45481754.199291565</v>
      </c>
      <c r="K161" s="70">
        <f t="shared" si="24"/>
        <v>96279557.590708345</v>
      </c>
      <c r="L161" s="65">
        <f t="shared" si="21"/>
        <v>92735524.79595834</v>
      </c>
      <c r="M161" s="66">
        <f t="shared" si="32"/>
        <v>46166.147816249977</v>
      </c>
      <c r="N161" s="72">
        <f t="shared" si="20"/>
        <v>-12356946.761816291</v>
      </c>
      <c r="O161" s="70">
        <f t="shared" si="31"/>
        <v>-12645485.185667856</v>
      </c>
      <c r="P161" s="67">
        <f t="shared" si="25"/>
        <v>83634072.405040488</v>
      </c>
      <c r="Q161" s="76"/>
      <c r="R161" s="65"/>
      <c r="S161" s="76"/>
    </row>
    <row r="162" spans="2:19" s="37" customFormat="1">
      <c r="B162" s="69">
        <v>43404</v>
      </c>
      <c r="C162" s="80"/>
      <c r="D162" s="95"/>
      <c r="E162" s="63">
        <f t="shared" si="22"/>
        <v>52761311.789999977</v>
      </c>
      <c r="F162" s="96">
        <f t="shared" si="23"/>
        <v>141761311.78999987</v>
      </c>
      <c r="G162" s="70">
        <f t="shared" si="33"/>
        <v>141761311.7899999</v>
      </c>
      <c r="H162" s="74">
        <f t="shared" si="26"/>
        <v>590672.13245833281</v>
      </c>
      <c r="I162" s="72">
        <f t="shared" si="30"/>
        <v>-49616459.126499861</v>
      </c>
      <c r="J162" s="70">
        <f t="shared" si="27"/>
        <v>-46072426.331749894</v>
      </c>
      <c r="K162" s="70">
        <f t="shared" si="24"/>
        <v>95688885.458250016</v>
      </c>
      <c r="L162" s="65">
        <f t="shared" si="21"/>
        <v>92144852.663500011</v>
      </c>
      <c r="M162" s="66">
        <f t="shared" si="32"/>
        <v>46166.147816249977</v>
      </c>
      <c r="N162" s="72">
        <f>N161+M162</f>
        <v>-12310780.614000041</v>
      </c>
      <c r="O162" s="70">
        <f t="shared" si="31"/>
        <v>-12592907.072877126</v>
      </c>
      <c r="P162" s="67">
        <f t="shared" si="25"/>
        <v>83095978.385372892</v>
      </c>
      <c r="Q162" s="76"/>
      <c r="R162" s="65"/>
      <c r="S162" s="76"/>
    </row>
    <row r="163" spans="2:19" s="37" customFormat="1">
      <c r="B163" s="69">
        <v>43434</v>
      </c>
      <c r="C163" s="80"/>
      <c r="D163" s="95"/>
      <c r="E163" s="63">
        <f t="shared" si="22"/>
        <v>52761311.789999977</v>
      </c>
      <c r="F163" s="96">
        <f t="shared" si="23"/>
        <v>141761311.78999987</v>
      </c>
      <c r="G163" s="70">
        <f t="shared" si="33"/>
        <v>141761311.7899999</v>
      </c>
      <c r="H163" s="74">
        <f t="shared" si="26"/>
        <v>590672.13245833281</v>
      </c>
      <c r="I163" s="72">
        <f t="shared" si="30"/>
        <v>-50207131.258958191</v>
      </c>
      <c r="J163" s="70">
        <f t="shared" si="27"/>
        <v>-46663098.464208223</v>
      </c>
      <c r="K163" s="70">
        <f t="shared" si="24"/>
        <v>95098213.325791687</v>
      </c>
      <c r="L163" s="65">
        <f t="shared" si="21"/>
        <v>91554180.531041682</v>
      </c>
      <c r="M163" s="66">
        <f t="shared" si="32"/>
        <v>46166.147816249977</v>
      </c>
      <c r="N163" s="72">
        <f>N162+M163</f>
        <v>-12264614.466183791</v>
      </c>
      <c r="O163" s="70">
        <f t="shared" si="31"/>
        <v>-12542893.746076189</v>
      </c>
      <c r="P163" s="67">
        <f t="shared" si="25"/>
        <v>82555319.57971549</v>
      </c>
      <c r="Q163" s="76"/>
      <c r="R163" s="65"/>
      <c r="S163" s="76"/>
    </row>
    <row r="164" spans="2:19" s="737" customFormat="1">
      <c r="B164" s="398">
        <v>43465</v>
      </c>
      <c r="C164" s="495"/>
      <c r="D164" s="95"/>
      <c r="E164" s="559">
        <f t="shared" si="22"/>
        <v>52761311.789999977</v>
      </c>
      <c r="F164" s="387">
        <f t="shared" si="23"/>
        <v>141761311.78999987</v>
      </c>
      <c r="G164" s="630">
        <f t="shared" si="33"/>
        <v>141761311.7899999</v>
      </c>
      <c r="H164" s="561">
        <f t="shared" si="26"/>
        <v>590672.13245833281</v>
      </c>
      <c r="I164" s="561">
        <f t="shared" si="30"/>
        <v>-50797803.39141652</v>
      </c>
      <c r="J164" s="630">
        <f t="shared" si="27"/>
        <v>-47253770.596666552</v>
      </c>
      <c r="K164" s="630">
        <f t="shared" si="24"/>
        <v>94507541.193333358</v>
      </c>
      <c r="L164" s="394">
        <f t="shared" si="21"/>
        <v>90963508.398583353</v>
      </c>
      <c r="M164" s="384">
        <f t="shared" si="32"/>
        <v>46166.147816249977</v>
      </c>
      <c r="N164" s="561">
        <f t="shared" si="20"/>
        <v>-12218448.318367541</v>
      </c>
      <c r="O164" s="630">
        <f t="shared" si="31"/>
        <v>-12495445.205265043</v>
      </c>
      <c r="P164" s="630">
        <f t="shared" si="25"/>
        <v>82012095.988068312</v>
      </c>
      <c r="Q164" s="394"/>
      <c r="R164" s="394"/>
      <c r="S164" s="394"/>
    </row>
    <row r="165" spans="2:19" s="37" customFormat="1" outlineLevel="1">
      <c r="B165" s="69">
        <v>43496</v>
      </c>
      <c r="C165" s="80"/>
      <c r="D165" s="95"/>
      <c r="E165" s="63">
        <f t="shared" si="22"/>
        <v>52761311.789999977</v>
      </c>
      <c r="F165" s="96">
        <f t="shared" si="23"/>
        <v>141761311.78999987</v>
      </c>
      <c r="G165" s="70">
        <f t="shared" si="33"/>
        <v>141761311.7899999</v>
      </c>
      <c r="H165" s="74">
        <f t="shared" si="26"/>
        <v>590672.13245833281</v>
      </c>
      <c r="I165" s="72">
        <f t="shared" si="30"/>
        <v>-51388475.523874849</v>
      </c>
      <c r="J165" s="70">
        <f t="shared" si="27"/>
        <v>-47844442.729124881</v>
      </c>
      <c r="K165" s="70">
        <f t="shared" si="24"/>
        <v>93916869.060875028</v>
      </c>
      <c r="L165" s="65">
        <f t="shared" si="21"/>
        <v>90372836.266125023</v>
      </c>
      <c r="M165" s="66">
        <f t="shared" si="32"/>
        <v>46166.147816249977</v>
      </c>
      <c r="N165" s="72">
        <f>N164+M165</f>
        <v>-12172282.170551291</v>
      </c>
      <c r="O165" s="70">
        <f t="shared" si="31"/>
        <v>-12449279.057448791</v>
      </c>
      <c r="P165" s="67">
        <f t="shared" si="25"/>
        <v>81467590.003426239</v>
      </c>
      <c r="Q165" s="76"/>
      <c r="R165" s="65"/>
      <c r="S165" s="76"/>
    </row>
    <row r="166" spans="2:19" s="37" customFormat="1" ht="12.75" customHeight="1" outlineLevel="1">
      <c r="B166" s="69">
        <v>43524</v>
      </c>
      <c r="C166" s="80"/>
      <c r="D166" s="95"/>
      <c r="E166" s="63">
        <f t="shared" si="22"/>
        <v>52761311.789999977</v>
      </c>
      <c r="F166" s="96">
        <f t="shared" si="23"/>
        <v>141761311.78999987</v>
      </c>
      <c r="G166" s="70">
        <f t="shared" si="33"/>
        <v>141761311.7899999</v>
      </c>
      <c r="H166" s="74">
        <f t="shared" si="26"/>
        <v>590672.13245833281</v>
      </c>
      <c r="I166" s="72">
        <f t="shared" si="30"/>
        <v>-51979147.656333178</v>
      </c>
      <c r="J166" s="70">
        <f t="shared" si="27"/>
        <v>-48435114.861583211</v>
      </c>
      <c r="K166" s="70">
        <f t="shared" si="24"/>
        <v>93326196.928416699</v>
      </c>
      <c r="L166" s="65">
        <f t="shared" si="21"/>
        <v>89782164.133666694</v>
      </c>
      <c r="M166" s="66">
        <f t="shared" si="32"/>
        <v>46166.147816249977</v>
      </c>
      <c r="N166" s="72">
        <f t="shared" si="20"/>
        <v>-12126116.022735041</v>
      </c>
      <c r="O166" s="70">
        <f t="shared" si="31"/>
        <v>-12403112.909632541</v>
      </c>
      <c r="P166" s="67">
        <f t="shared" si="25"/>
        <v>80923084.018784165</v>
      </c>
      <c r="Q166" s="76"/>
      <c r="R166" s="65"/>
      <c r="S166" s="76"/>
    </row>
    <row r="167" spans="2:19" s="37" customFormat="1" ht="12.75" customHeight="1" outlineLevel="1">
      <c r="B167" s="69">
        <v>43555</v>
      </c>
      <c r="C167" s="80"/>
      <c r="D167" s="95"/>
      <c r="E167" s="63">
        <f t="shared" si="22"/>
        <v>52761311.789999977</v>
      </c>
      <c r="F167" s="96">
        <f t="shared" si="23"/>
        <v>141761311.78999987</v>
      </c>
      <c r="G167" s="70">
        <f t="shared" si="33"/>
        <v>141761311.7899999</v>
      </c>
      <c r="H167" s="74">
        <f t="shared" si="26"/>
        <v>590672.13245833281</v>
      </c>
      <c r="I167" s="72">
        <f t="shared" si="30"/>
        <v>-52569819.788791507</v>
      </c>
      <c r="J167" s="70">
        <f t="shared" si="27"/>
        <v>-49025786.99404154</v>
      </c>
      <c r="K167" s="70">
        <f t="shared" si="24"/>
        <v>92735524.79595837</v>
      </c>
      <c r="L167" s="65">
        <f t="shared" si="21"/>
        <v>89191492.001208365</v>
      </c>
      <c r="M167" s="66">
        <f t="shared" si="32"/>
        <v>46166.147816249977</v>
      </c>
      <c r="N167" s="72">
        <f t="shared" si="20"/>
        <v>-12079949.874918791</v>
      </c>
      <c r="O167" s="70">
        <f t="shared" si="31"/>
        <v>-12356946.761816291</v>
      </c>
      <c r="P167" s="67">
        <f t="shared" si="25"/>
        <v>80378578.034142077</v>
      </c>
      <c r="Q167" s="76"/>
      <c r="R167" s="65"/>
      <c r="S167" s="76"/>
    </row>
    <row r="168" spans="2:19" s="37" customFormat="1" outlineLevel="1">
      <c r="B168" s="69">
        <v>43585</v>
      </c>
      <c r="C168" s="80"/>
      <c r="D168" s="95"/>
      <c r="E168" s="63">
        <f t="shared" si="22"/>
        <v>52761311.789999977</v>
      </c>
      <c r="F168" s="96">
        <f t="shared" si="23"/>
        <v>141761311.78999987</v>
      </c>
      <c r="G168" s="70">
        <f t="shared" si="33"/>
        <v>141761311.7899999</v>
      </c>
      <c r="H168" s="74">
        <f t="shared" si="26"/>
        <v>590672.13245833281</v>
      </c>
      <c r="I168" s="72">
        <f t="shared" si="30"/>
        <v>-53160491.921249837</v>
      </c>
      <c r="J168" s="70">
        <f t="shared" si="27"/>
        <v>-49616459.126499869</v>
      </c>
      <c r="K168" s="70">
        <f t="shared" si="24"/>
        <v>92144852.663500041</v>
      </c>
      <c r="L168" s="65">
        <f t="shared" si="21"/>
        <v>88600819.868750036</v>
      </c>
      <c r="M168" s="66">
        <f t="shared" si="32"/>
        <v>46166.147816249977</v>
      </c>
      <c r="N168" s="72">
        <f>N167+M168</f>
        <v>-12033783.72710254</v>
      </c>
      <c r="O168" s="70">
        <f t="shared" si="31"/>
        <v>-12310780.614000043</v>
      </c>
      <c r="P168" s="67">
        <f t="shared" si="25"/>
        <v>79834072.049500003</v>
      </c>
      <c r="Q168" s="76"/>
      <c r="R168" s="65"/>
      <c r="S168" s="76"/>
    </row>
    <row r="169" spans="2:19" s="37" customFormat="1" outlineLevel="1">
      <c r="B169" s="69">
        <v>43616</v>
      </c>
      <c r="C169" s="80"/>
      <c r="D169" s="95"/>
      <c r="E169" s="63">
        <f t="shared" si="22"/>
        <v>52761311.789999977</v>
      </c>
      <c r="F169" s="96">
        <f t="shared" si="23"/>
        <v>141761311.78999987</v>
      </c>
      <c r="G169" s="70">
        <f t="shared" si="33"/>
        <v>141761311.7899999</v>
      </c>
      <c r="H169" s="74">
        <f t="shared" si="26"/>
        <v>590672.13245833281</v>
      </c>
      <c r="I169" s="72">
        <f t="shared" si="30"/>
        <v>-53751164.053708166</v>
      </c>
      <c r="J169" s="70">
        <f t="shared" si="27"/>
        <v>-50207131.258958198</v>
      </c>
      <c r="K169" s="70">
        <f t="shared" si="24"/>
        <v>91554180.531041712</v>
      </c>
      <c r="L169" s="65">
        <f t="shared" si="21"/>
        <v>88010147.736291707</v>
      </c>
      <c r="M169" s="66">
        <f t="shared" si="32"/>
        <v>46166.147816249977</v>
      </c>
      <c r="N169" s="72">
        <f>N168+M169</f>
        <v>-11987617.57928629</v>
      </c>
      <c r="O169" s="70">
        <f t="shared" si="31"/>
        <v>-12264614.466183791</v>
      </c>
      <c r="P169" s="67">
        <f t="shared" si="25"/>
        <v>79289566.064857915</v>
      </c>
      <c r="Q169" s="76"/>
      <c r="R169" s="65"/>
      <c r="S169" s="76"/>
    </row>
    <row r="170" spans="2:19" s="37" customFormat="1" ht="12.75" customHeight="1" outlineLevel="1">
      <c r="B170" s="69">
        <v>43646</v>
      </c>
      <c r="C170" s="80"/>
      <c r="D170" s="95"/>
      <c r="E170" s="63">
        <f t="shared" si="22"/>
        <v>52761311.789999977</v>
      </c>
      <c r="F170" s="96">
        <f t="shared" si="23"/>
        <v>141761311.78999987</v>
      </c>
      <c r="G170" s="70">
        <f t="shared" si="33"/>
        <v>141761311.7899999</v>
      </c>
      <c r="H170" s="74">
        <f t="shared" si="26"/>
        <v>590672.13245833281</v>
      </c>
      <c r="I170" s="72">
        <f t="shared" si="30"/>
        <v>-54341836.186166495</v>
      </c>
      <c r="J170" s="70">
        <f t="shared" si="27"/>
        <v>-50797803.391416527</v>
      </c>
      <c r="K170" s="70">
        <f t="shared" si="24"/>
        <v>90963508.398583382</v>
      </c>
      <c r="L170" s="65">
        <f t="shared" si="21"/>
        <v>87419475.603833377</v>
      </c>
      <c r="M170" s="66">
        <f t="shared" si="32"/>
        <v>46166.147816249977</v>
      </c>
      <c r="N170" s="72">
        <f t="shared" ref="N170:N233" si="34">N169+M170</f>
        <v>-11941451.43147004</v>
      </c>
      <c r="O170" s="70">
        <f t="shared" si="31"/>
        <v>-12218448.318367541</v>
      </c>
      <c r="P170" s="67">
        <f t="shared" si="25"/>
        <v>78745060.080215842</v>
      </c>
      <c r="Q170" s="76"/>
      <c r="R170" s="65"/>
      <c r="S170" s="76"/>
    </row>
    <row r="171" spans="2:19" s="37" customFormat="1" outlineLevel="1">
      <c r="B171" s="69">
        <v>43677</v>
      </c>
      <c r="C171" s="80"/>
      <c r="D171" s="95"/>
      <c r="E171" s="63">
        <f t="shared" si="22"/>
        <v>52761311.789999977</v>
      </c>
      <c r="F171" s="96">
        <f t="shared" si="23"/>
        <v>141761311.78999987</v>
      </c>
      <c r="G171" s="70">
        <f t="shared" si="33"/>
        <v>141761311.7899999</v>
      </c>
      <c r="H171" s="74">
        <f t="shared" si="26"/>
        <v>590672.13245833281</v>
      </c>
      <c r="I171" s="72">
        <f t="shared" si="30"/>
        <v>-54932508.318624824</v>
      </c>
      <c r="J171" s="70">
        <f t="shared" si="27"/>
        <v>-51388475.523874857</v>
      </c>
      <c r="K171" s="70">
        <f t="shared" si="24"/>
        <v>90372836.266125053</v>
      </c>
      <c r="L171" s="65">
        <f t="shared" si="21"/>
        <v>86828803.471375048</v>
      </c>
      <c r="M171" s="66">
        <f t="shared" si="32"/>
        <v>46166.147816249977</v>
      </c>
      <c r="N171" s="72">
        <f t="shared" si="34"/>
        <v>-11895285.28365379</v>
      </c>
      <c r="O171" s="70">
        <f t="shared" si="31"/>
        <v>-12172282.170551291</v>
      </c>
      <c r="P171" s="67">
        <f t="shared" si="25"/>
        <v>78200554.095573768</v>
      </c>
      <c r="Q171" s="76"/>
      <c r="R171" s="65"/>
      <c r="S171" s="76"/>
    </row>
    <row r="172" spans="2:19" s="37" customFormat="1" outlineLevel="1">
      <c r="B172" s="69">
        <v>43708</v>
      </c>
      <c r="C172" s="80"/>
      <c r="D172" s="95"/>
      <c r="E172" s="63">
        <f t="shared" si="22"/>
        <v>52761311.789999977</v>
      </c>
      <c r="F172" s="96">
        <f t="shared" si="23"/>
        <v>141761311.78999987</v>
      </c>
      <c r="G172" s="70">
        <f t="shared" si="33"/>
        <v>141761311.7899999</v>
      </c>
      <c r="H172" s="74">
        <f t="shared" si="26"/>
        <v>590672.13245833281</v>
      </c>
      <c r="I172" s="72">
        <f t="shared" si="30"/>
        <v>-55523180.451083153</v>
      </c>
      <c r="J172" s="70">
        <f t="shared" si="27"/>
        <v>-51979147.656333186</v>
      </c>
      <c r="K172" s="70">
        <f t="shared" si="24"/>
        <v>89782164.133666724</v>
      </c>
      <c r="L172" s="65">
        <f t="shared" si="21"/>
        <v>86238131.338916719</v>
      </c>
      <c r="M172" s="66">
        <f t="shared" si="32"/>
        <v>46166.147816249977</v>
      </c>
      <c r="N172" s="72">
        <f t="shared" si="34"/>
        <v>-11849119.13583754</v>
      </c>
      <c r="O172" s="70">
        <f t="shared" si="31"/>
        <v>-12126116.022735042</v>
      </c>
      <c r="P172" s="67">
        <f t="shared" si="25"/>
        <v>77656048.11093168</v>
      </c>
      <c r="Q172" s="76"/>
      <c r="R172" s="65"/>
      <c r="S172" s="76"/>
    </row>
    <row r="173" spans="2:19" outlineLevel="1">
      <c r="B173" s="69">
        <v>43738</v>
      </c>
      <c r="C173" s="80"/>
      <c r="D173" s="95"/>
      <c r="E173" s="63">
        <f t="shared" si="22"/>
        <v>52761311.789999977</v>
      </c>
      <c r="F173" s="96">
        <f t="shared" si="23"/>
        <v>141761311.78999987</v>
      </c>
      <c r="G173" s="70">
        <f t="shared" si="33"/>
        <v>141761311.7899999</v>
      </c>
      <c r="H173" s="74">
        <f t="shared" si="26"/>
        <v>590672.13245833281</v>
      </c>
      <c r="I173" s="72">
        <f t="shared" si="30"/>
        <v>-56113852.583541483</v>
      </c>
      <c r="J173" s="70">
        <f t="shared" si="27"/>
        <v>-52569819.788791515</v>
      </c>
      <c r="K173" s="70">
        <f t="shared" si="24"/>
        <v>89191492.001208395</v>
      </c>
      <c r="L173" s="65">
        <f t="shared" si="21"/>
        <v>85647459.20645839</v>
      </c>
      <c r="M173" s="66">
        <f t="shared" si="32"/>
        <v>46166.147816249977</v>
      </c>
      <c r="N173" s="72">
        <f t="shared" si="34"/>
        <v>-11802952.98802129</v>
      </c>
      <c r="O173" s="70">
        <f t="shared" si="31"/>
        <v>-12079949.874918791</v>
      </c>
      <c r="P173" s="67">
        <f t="shared" si="25"/>
        <v>77111542.126289606</v>
      </c>
      <c r="Q173" s="76"/>
      <c r="R173" s="65"/>
      <c r="S173" s="76"/>
    </row>
    <row r="174" spans="2:19" outlineLevel="1">
      <c r="B174" s="69">
        <v>43769</v>
      </c>
      <c r="C174" s="80"/>
      <c r="D174" s="95"/>
      <c r="E174" s="63">
        <f t="shared" si="22"/>
        <v>52761311.789999977</v>
      </c>
      <c r="F174" s="96">
        <f t="shared" si="23"/>
        <v>141761311.78999987</v>
      </c>
      <c r="G174" s="70">
        <f t="shared" si="33"/>
        <v>141761311.7899999</v>
      </c>
      <c r="H174" s="74">
        <f t="shared" si="26"/>
        <v>590672.13245833281</v>
      </c>
      <c r="I174" s="72">
        <f t="shared" si="30"/>
        <v>-56704524.715999812</v>
      </c>
      <c r="J174" s="70">
        <f t="shared" si="27"/>
        <v>-53160491.921249844</v>
      </c>
      <c r="K174" s="70">
        <f t="shared" si="24"/>
        <v>88600819.868750066</v>
      </c>
      <c r="L174" s="65">
        <f t="shared" si="21"/>
        <v>85056787.074000061</v>
      </c>
      <c r="M174" s="66">
        <f t="shared" si="32"/>
        <v>46166.147816249977</v>
      </c>
      <c r="N174" s="72">
        <f t="shared" si="34"/>
        <v>-11756786.84020504</v>
      </c>
      <c r="O174" s="70">
        <f t="shared" si="31"/>
        <v>-12033783.72710254</v>
      </c>
      <c r="P174" s="67">
        <f t="shared" si="25"/>
        <v>76567036.141647518</v>
      </c>
      <c r="Q174" s="76"/>
      <c r="R174" s="65"/>
      <c r="S174" s="76"/>
    </row>
    <row r="175" spans="2:19" outlineLevel="1">
      <c r="B175" s="69">
        <v>43799</v>
      </c>
      <c r="C175" s="80"/>
      <c r="D175" s="95"/>
      <c r="E175" s="63">
        <f t="shared" si="22"/>
        <v>52761311.789999977</v>
      </c>
      <c r="F175" s="96">
        <f t="shared" si="23"/>
        <v>141761311.78999987</v>
      </c>
      <c r="G175" s="70">
        <f t="shared" si="33"/>
        <v>141761311.7899999</v>
      </c>
      <c r="H175" s="74">
        <f t="shared" si="26"/>
        <v>590672.13245833281</v>
      </c>
      <c r="I175" s="72">
        <f t="shared" si="30"/>
        <v>-57295196.848458141</v>
      </c>
      <c r="J175" s="70">
        <f t="shared" si="27"/>
        <v>-53751164.053708173</v>
      </c>
      <c r="K175" s="70">
        <f t="shared" si="24"/>
        <v>88010147.736291736</v>
      </c>
      <c r="L175" s="65">
        <f t="shared" si="21"/>
        <v>84466114.941541731</v>
      </c>
      <c r="M175" s="66">
        <f t="shared" si="32"/>
        <v>46166.147816249977</v>
      </c>
      <c r="N175" s="72">
        <f t="shared" si="34"/>
        <v>-11710620.69238879</v>
      </c>
      <c r="O175" s="70">
        <f t="shared" si="31"/>
        <v>-11987617.57928629</v>
      </c>
      <c r="P175" s="67">
        <f t="shared" si="25"/>
        <v>76022530.157005444</v>
      </c>
      <c r="Q175" s="76"/>
      <c r="R175" s="65"/>
      <c r="S175" s="76"/>
    </row>
    <row r="176" spans="2:19" outlineLevel="1">
      <c r="B176" s="69">
        <v>43830</v>
      </c>
      <c r="C176" s="80"/>
      <c r="D176" s="95"/>
      <c r="E176" s="63">
        <f t="shared" si="22"/>
        <v>52761311.789999977</v>
      </c>
      <c r="F176" s="96">
        <f t="shared" si="23"/>
        <v>141761311.78999987</v>
      </c>
      <c r="G176" s="70">
        <f t="shared" si="33"/>
        <v>141761311.7899999</v>
      </c>
      <c r="H176" s="74">
        <f t="shared" si="26"/>
        <v>590672.13245833281</v>
      </c>
      <c r="I176" s="72">
        <f t="shared" si="30"/>
        <v>-57885868.98091647</v>
      </c>
      <c r="J176" s="70">
        <f t="shared" si="27"/>
        <v>-54341836.186166503</v>
      </c>
      <c r="K176" s="70">
        <f t="shared" si="24"/>
        <v>87419475.603833407</v>
      </c>
      <c r="L176" s="65">
        <f>F176+I176</f>
        <v>83875442.809083402</v>
      </c>
      <c r="M176" s="66">
        <f t="shared" si="32"/>
        <v>46166.147816249977</v>
      </c>
      <c r="N176" s="72">
        <f t="shared" si="34"/>
        <v>-11664454.54457254</v>
      </c>
      <c r="O176" s="70">
        <f t="shared" si="31"/>
        <v>-11941451.431470042</v>
      </c>
      <c r="P176" s="67">
        <f t="shared" si="25"/>
        <v>75478024.172363371</v>
      </c>
      <c r="Q176" s="76"/>
      <c r="R176" s="65"/>
      <c r="S176" s="76"/>
    </row>
    <row r="177" spans="1:19" outlineLevel="1">
      <c r="B177" s="69">
        <v>43861</v>
      </c>
      <c r="C177" s="80"/>
      <c r="D177" s="95"/>
      <c r="E177" s="63">
        <f t="shared" si="22"/>
        <v>52761311.789999977</v>
      </c>
      <c r="F177" s="96">
        <f t="shared" si="23"/>
        <v>141761311.78999987</v>
      </c>
      <c r="G177" s="70">
        <f t="shared" si="33"/>
        <v>141761311.7899999</v>
      </c>
      <c r="H177" s="74">
        <f t="shared" si="26"/>
        <v>590672.13245833281</v>
      </c>
      <c r="I177" s="72">
        <f t="shared" si="30"/>
        <v>-58476541.113374799</v>
      </c>
      <c r="J177" s="70">
        <f t="shared" si="27"/>
        <v>-54932508.318624832</v>
      </c>
      <c r="K177" s="70">
        <f t="shared" si="24"/>
        <v>86828803.471375078</v>
      </c>
      <c r="L177" s="65">
        <f t="shared" si="21"/>
        <v>83284770.676625073</v>
      </c>
      <c r="M177" s="66">
        <f t="shared" si="32"/>
        <v>46166.147816249977</v>
      </c>
      <c r="N177" s="72">
        <f t="shared" si="34"/>
        <v>-11618288.39675629</v>
      </c>
      <c r="O177" s="70">
        <f t="shared" si="31"/>
        <v>-11895285.28365379</v>
      </c>
      <c r="P177" s="67">
        <f t="shared" si="25"/>
        <v>74933518.187721282</v>
      </c>
      <c r="Q177" s="76"/>
      <c r="R177" s="65"/>
      <c r="S177" s="76"/>
    </row>
    <row r="178" spans="1:19" ht="12.75" customHeight="1" outlineLevel="1">
      <c r="A178" s="37"/>
      <c r="B178" s="69">
        <v>43889</v>
      </c>
      <c r="C178" s="80"/>
      <c r="D178" s="95"/>
      <c r="E178" s="63">
        <f t="shared" si="22"/>
        <v>52761311.789999977</v>
      </c>
      <c r="F178" s="96">
        <f t="shared" si="23"/>
        <v>141761311.78999987</v>
      </c>
      <c r="G178" s="70">
        <f t="shared" si="33"/>
        <v>141761311.7899999</v>
      </c>
      <c r="H178" s="74">
        <f t="shared" si="26"/>
        <v>590672.13245833281</v>
      </c>
      <c r="I178" s="72">
        <f t="shared" si="30"/>
        <v>-59067213.245833129</v>
      </c>
      <c r="J178" s="70">
        <f t="shared" si="27"/>
        <v>-55523180.451083176</v>
      </c>
      <c r="K178" s="70">
        <f t="shared" si="24"/>
        <v>86238131.338916719</v>
      </c>
      <c r="L178" s="65">
        <f t="shared" si="21"/>
        <v>82694098.544166744</v>
      </c>
      <c r="M178" s="66">
        <f t="shared" si="32"/>
        <v>46166.147816249977</v>
      </c>
      <c r="N178" s="72">
        <f t="shared" si="34"/>
        <v>-11572122.248940039</v>
      </c>
      <c r="O178" s="70">
        <f t="shared" si="31"/>
        <v>-11849119.13583754</v>
      </c>
      <c r="P178" s="67">
        <f t="shared" si="25"/>
        <v>74389012.203079179</v>
      </c>
      <c r="Q178" s="76"/>
      <c r="R178" s="65"/>
      <c r="S178" s="76"/>
    </row>
    <row r="179" spans="1:19" ht="12.75" customHeight="1" outlineLevel="1">
      <c r="A179" s="37"/>
      <c r="B179" s="69">
        <v>43921</v>
      </c>
      <c r="C179" s="80"/>
      <c r="D179" s="95"/>
      <c r="E179" s="63">
        <f t="shared" si="22"/>
        <v>52761311.789999977</v>
      </c>
      <c r="F179" s="96">
        <f t="shared" si="23"/>
        <v>141761311.78999987</v>
      </c>
      <c r="G179" s="70">
        <f t="shared" si="33"/>
        <v>141761311.7899999</v>
      </c>
      <c r="H179" s="74">
        <f t="shared" si="26"/>
        <v>590672.13245833281</v>
      </c>
      <c r="I179" s="72">
        <f t="shared" si="30"/>
        <v>-59657885.378291458</v>
      </c>
      <c r="J179" s="70">
        <f t="shared" si="27"/>
        <v>-56113852.583541505</v>
      </c>
      <c r="K179" s="70">
        <f t="shared" si="24"/>
        <v>85647459.20645839</v>
      </c>
      <c r="L179" s="65">
        <f t="shared" si="21"/>
        <v>82103426.411708415</v>
      </c>
      <c r="M179" s="66">
        <f t="shared" si="32"/>
        <v>46166.147816249977</v>
      </c>
      <c r="N179" s="72">
        <f t="shared" si="34"/>
        <v>-11525956.101123789</v>
      </c>
      <c r="O179" s="70">
        <f t="shared" si="31"/>
        <v>-11802952.988021292</v>
      </c>
      <c r="P179" s="67">
        <f t="shared" si="25"/>
        <v>73844506.218437105</v>
      </c>
      <c r="Q179" s="76"/>
      <c r="R179" s="65"/>
      <c r="S179" s="76"/>
    </row>
    <row r="180" spans="1:19" outlineLevel="1">
      <c r="A180" s="37"/>
      <c r="B180" s="69">
        <v>43951</v>
      </c>
      <c r="C180" s="80"/>
      <c r="D180" s="95"/>
      <c r="E180" s="63">
        <f t="shared" si="22"/>
        <v>52761311.789999977</v>
      </c>
      <c r="F180" s="96">
        <f t="shared" si="23"/>
        <v>141761311.78999987</v>
      </c>
      <c r="G180" s="70">
        <f t="shared" si="33"/>
        <v>141761311.7899999</v>
      </c>
      <c r="H180" s="74">
        <f t="shared" si="26"/>
        <v>590672.13245833281</v>
      </c>
      <c r="I180" s="72">
        <f t="shared" si="30"/>
        <v>-60248557.510749787</v>
      </c>
      <c r="J180" s="70">
        <f t="shared" si="27"/>
        <v>-56704524.715999834</v>
      </c>
      <c r="K180" s="70">
        <f t="shared" si="24"/>
        <v>85056787.074000061</v>
      </c>
      <c r="L180" s="65">
        <f t="shared" si="21"/>
        <v>81512754.279250085</v>
      </c>
      <c r="M180" s="66">
        <f t="shared" si="32"/>
        <v>46166.147816249977</v>
      </c>
      <c r="N180" s="72">
        <f t="shared" si="34"/>
        <v>-11479789.953307539</v>
      </c>
      <c r="O180" s="70">
        <f t="shared" si="31"/>
        <v>-11756786.840205042</v>
      </c>
      <c r="P180" s="67">
        <f t="shared" si="25"/>
        <v>73300000.233795017</v>
      </c>
      <c r="Q180" s="76"/>
      <c r="R180" s="65"/>
      <c r="S180" s="76"/>
    </row>
    <row r="181" spans="1:19" outlineLevel="1">
      <c r="A181" s="37"/>
      <c r="B181" s="69">
        <v>43982</v>
      </c>
      <c r="C181" s="80"/>
      <c r="D181" s="95"/>
      <c r="E181" s="63">
        <f t="shared" si="22"/>
        <v>52761311.789999977</v>
      </c>
      <c r="F181" s="96">
        <f t="shared" si="23"/>
        <v>141761311.78999987</v>
      </c>
      <c r="G181" s="70">
        <f t="shared" si="33"/>
        <v>141761311.7899999</v>
      </c>
      <c r="H181" s="74">
        <f t="shared" si="26"/>
        <v>590672.13245833281</v>
      </c>
      <c r="I181" s="72">
        <f t="shared" si="30"/>
        <v>-60839229.643208116</v>
      </c>
      <c r="J181" s="70">
        <f t="shared" si="27"/>
        <v>-57295196.848458163</v>
      </c>
      <c r="K181" s="70">
        <f t="shared" si="24"/>
        <v>84466114.941541731</v>
      </c>
      <c r="L181" s="65">
        <f t="shared" si="21"/>
        <v>80922082.146791756</v>
      </c>
      <c r="M181" s="66">
        <f t="shared" si="32"/>
        <v>46166.147816249977</v>
      </c>
      <c r="N181" s="72">
        <f t="shared" si="34"/>
        <v>-11433623.805491289</v>
      </c>
      <c r="O181" s="70">
        <f>(N169+N181+SUM(N170:N180)*2)/24</f>
        <v>-11710620.69238879</v>
      </c>
      <c r="P181" s="67">
        <f t="shared" si="25"/>
        <v>72755494.249152943</v>
      </c>
      <c r="Q181" s="76"/>
      <c r="R181" s="65"/>
      <c r="S181" s="76"/>
    </row>
    <row r="182" spans="1:19" ht="12.75" customHeight="1" outlineLevel="1">
      <c r="A182" s="37"/>
      <c r="B182" s="69">
        <v>44012</v>
      </c>
      <c r="C182" s="80"/>
      <c r="D182" s="95"/>
      <c r="E182" s="63">
        <f t="shared" si="22"/>
        <v>52761311.789999977</v>
      </c>
      <c r="F182" s="96">
        <f t="shared" si="23"/>
        <v>141761311.78999987</v>
      </c>
      <c r="G182" s="70">
        <f t="shared" si="33"/>
        <v>141761311.7899999</v>
      </c>
      <c r="H182" s="74">
        <f t="shared" si="26"/>
        <v>590672.13245833281</v>
      </c>
      <c r="I182" s="72">
        <f t="shared" si="30"/>
        <v>-61429901.775666445</v>
      </c>
      <c r="J182" s="70">
        <f t="shared" si="27"/>
        <v>-57885868.980916493</v>
      </c>
      <c r="K182" s="70">
        <f t="shared" si="24"/>
        <v>83875442.809083402</v>
      </c>
      <c r="L182" s="65">
        <f t="shared" si="21"/>
        <v>80331410.014333427</v>
      </c>
      <c r="M182" s="66">
        <f t="shared" si="32"/>
        <v>46166.147816249977</v>
      </c>
      <c r="N182" s="72">
        <f t="shared" si="34"/>
        <v>-11387457.657675039</v>
      </c>
      <c r="O182" s="70">
        <f t="shared" si="31"/>
        <v>-11664454.54457254</v>
      </c>
      <c r="P182" s="67">
        <f t="shared" si="25"/>
        <v>72210988.26451087</v>
      </c>
      <c r="Q182" s="76"/>
      <c r="R182" s="65"/>
      <c r="S182" s="76"/>
    </row>
    <row r="183" spans="1:19" outlineLevel="1">
      <c r="A183" s="37"/>
      <c r="B183" s="69">
        <v>44043</v>
      </c>
      <c r="C183" s="80"/>
      <c r="D183" s="95"/>
      <c r="E183" s="63">
        <f t="shared" si="22"/>
        <v>52761311.789999977</v>
      </c>
      <c r="F183" s="96">
        <f t="shared" si="23"/>
        <v>141761311.78999987</v>
      </c>
      <c r="G183" s="70">
        <f t="shared" si="33"/>
        <v>141761311.7899999</v>
      </c>
      <c r="H183" s="74">
        <f t="shared" si="26"/>
        <v>590672.13245833281</v>
      </c>
      <c r="I183" s="72">
        <f t="shared" si="30"/>
        <v>-62020573.908124775</v>
      </c>
      <c r="J183" s="70">
        <f t="shared" si="27"/>
        <v>-58476541.113374822</v>
      </c>
      <c r="K183" s="70">
        <f t="shared" si="24"/>
        <v>83284770.676625073</v>
      </c>
      <c r="L183" s="65">
        <f t="shared" si="21"/>
        <v>79740737.881875098</v>
      </c>
      <c r="M183" s="66">
        <f t="shared" si="32"/>
        <v>46166.147816249977</v>
      </c>
      <c r="N183" s="72">
        <f t="shared" si="34"/>
        <v>-11341291.509858789</v>
      </c>
      <c r="O183" s="70">
        <f t="shared" si="31"/>
        <v>-11618288.39675629</v>
      </c>
      <c r="P183" s="67">
        <f t="shared" si="25"/>
        <v>71666482.279868782</v>
      </c>
      <c r="Q183" s="76"/>
      <c r="R183" s="65"/>
      <c r="S183" s="76"/>
    </row>
    <row r="184" spans="1:19" outlineLevel="1">
      <c r="A184" s="37"/>
      <c r="B184" s="69">
        <v>44074</v>
      </c>
      <c r="C184" s="80"/>
      <c r="D184" s="95"/>
      <c r="E184" s="63">
        <f t="shared" si="22"/>
        <v>52761311.789999977</v>
      </c>
      <c r="F184" s="96">
        <f t="shared" si="23"/>
        <v>141761311.78999987</v>
      </c>
      <c r="G184" s="70">
        <f t="shared" si="33"/>
        <v>141761311.7899999</v>
      </c>
      <c r="H184" s="74">
        <f t="shared" si="26"/>
        <v>590672.13245833281</v>
      </c>
      <c r="I184" s="72">
        <f t="shared" si="30"/>
        <v>-62611246.040583104</v>
      </c>
      <c r="J184" s="70">
        <f t="shared" si="27"/>
        <v>-59067213.245833151</v>
      </c>
      <c r="K184" s="70">
        <f t="shared" si="24"/>
        <v>82694098.544166744</v>
      </c>
      <c r="L184" s="65">
        <f t="shared" si="21"/>
        <v>79150065.749416769</v>
      </c>
      <c r="M184" s="66">
        <f t="shared" si="32"/>
        <v>46166.147816249977</v>
      </c>
      <c r="N184" s="72">
        <f t="shared" si="34"/>
        <v>-11295125.362042539</v>
      </c>
      <c r="O184" s="70">
        <f t="shared" si="31"/>
        <v>-11572122.248940041</v>
      </c>
      <c r="P184" s="67">
        <f t="shared" si="25"/>
        <v>71121976.295226708</v>
      </c>
      <c r="Q184" s="76"/>
      <c r="R184" s="65"/>
      <c r="S184" s="76"/>
    </row>
    <row r="185" spans="1:19" outlineLevel="1">
      <c r="A185" s="37"/>
      <c r="B185" s="69">
        <v>44104</v>
      </c>
      <c r="C185" s="80"/>
      <c r="D185" s="95"/>
      <c r="E185" s="63">
        <f t="shared" si="22"/>
        <v>52761311.789999977</v>
      </c>
      <c r="F185" s="96">
        <f t="shared" si="23"/>
        <v>141761311.78999987</v>
      </c>
      <c r="G185" s="70">
        <f t="shared" si="33"/>
        <v>141761311.7899999</v>
      </c>
      <c r="H185" s="74">
        <f t="shared" si="26"/>
        <v>590672.13245833281</v>
      </c>
      <c r="I185" s="72">
        <f t="shared" si="30"/>
        <v>-63201918.173041433</v>
      </c>
      <c r="J185" s="70">
        <f t="shared" si="27"/>
        <v>-59657885.37829148</v>
      </c>
      <c r="K185" s="70">
        <f t="shared" si="24"/>
        <v>82103426.411708415</v>
      </c>
      <c r="L185" s="65">
        <f t="shared" si="21"/>
        <v>78559393.616958439</v>
      </c>
      <c r="M185" s="66">
        <f t="shared" ref="M185:M216" si="35">(E185/240*0.21)</f>
        <v>46166.147816249977</v>
      </c>
      <c r="N185" s="72">
        <f t="shared" si="34"/>
        <v>-11248959.214226289</v>
      </c>
      <c r="O185" s="70">
        <f t="shared" si="31"/>
        <v>-11525956.101123789</v>
      </c>
      <c r="P185" s="67">
        <f t="shared" si="25"/>
        <v>70577470.31058462</v>
      </c>
      <c r="Q185" s="76"/>
      <c r="R185" s="65"/>
      <c r="S185" s="76"/>
    </row>
    <row r="186" spans="1:19" outlineLevel="1">
      <c r="A186" s="37"/>
      <c r="B186" s="69">
        <v>44135</v>
      </c>
      <c r="C186" s="80"/>
      <c r="D186" s="95"/>
      <c r="E186" s="63">
        <f t="shared" si="22"/>
        <v>52761311.789999977</v>
      </c>
      <c r="F186" s="96">
        <f t="shared" si="23"/>
        <v>141761311.78999987</v>
      </c>
      <c r="G186" s="70">
        <f t="shared" si="33"/>
        <v>141761311.7899999</v>
      </c>
      <c r="H186" s="74">
        <f t="shared" si="26"/>
        <v>590672.13245833281</v>
      </c>
      <c r="I186" s="72">
        <f t="shared" si="30"/>
        <v>-63792590.305499762</v>
      </c>
      <c r="J186" s="70">
        <f t="shared" si="27"/>
        <v>-60248557.510749809</v>
      </c>
      <c r="K186" s="70">
        <f t="shared" si="24"/>
        <v>81512754.279250085</v>
      </c>
      <c r="L186" s="65">
        <f t="shared" si="21"/>
        <v>77968721.48450011</v>
      </c>
      <c r="M186" s="66">
        <f t="shared" si="35"/>
        <v>46166.147816249977</v>
      </c>
      <c r="N186" s="72">
        <f t="shared" si="34"/>
        <v>-11202793.066410039</v>
      </c>
      <c r="O186" s="70">
        <f t="shared" si="31"/>
        <v>-11479789.953307539</v>
      </c>
      <c r="P186" s="67">
        <f t="shared" si="25"/>
        <v>70032964.325942546</v>
      </c>
      <c r="Q186" s="76"/>
      <c r="R186" s="65"/>
      <c r="S186" s="76"/>
    </row>
    <row r="187" spans="1:19" outlineLevel="1">
      <c r="A187" s="37"/>
      <c r="B187" s="69">
        <v>44165</v>
      </c>
      <c r="C187" s="80"/>
      <c r="D187" s="95"/>
      <c r="E187" s="63">
        <f t="shared" si="22"/>
        <v>52761311.789999977</v>
      </c>
      <c r="F187" s="96">
        <f t="shared" si="23"/>
        <v>141761311.78999987</v>
      </c>
      <c r="G187" s="70">
        <f t="shared" si="33"/>
        <v>141761311.7899999</v>
      </c>
      <c r="H187" s="74">
        <f t="shared" si="26"/>
        <v>590672.13245833281</v>
      </c>
      <c r="I187" s="72">
        <f t="shared" si="30"/>
        <v>-64383262.437958091</v>
      </c>
      <c r="J187" s="70">
        <f t="shared" si="27"/>
        <v>-60839229.643208139</v>
      </c>
      <c r="K187" s="70">
        <f t="shared" si="24"/>
        <v>80922082.146791756</v>
      </c>
      <c r="L187" s="65">
        <f t="shared" si="21"/>
        <v>77378049.352041781</v>
      </c>
      <c r="M187" s="66">
        <f t="shared" si="35"/>
        <v>46166.147816249977</v>
      </c>
      <c r="N187" s="72">
        <f t="shared" si="34"/>
        <v>-11156626.918593789</v>
      </c>
      <c r="O187" s="70">
        <f t="shared" si="31"/>
        <v>-11433623.805491289</v>
      </c>
      <c r="P187" s="67">
        <f t="shared" si="25"/>
        <v>69488458.341300473</v>
      </c>
      <c r="Q187" s="76"/>
      <c r="R187" s="65"/>
      <c r="S187" s="76"/>
    </row>
    <row r="188" spans="1:19" outlineLevel="1">
      <c r="A188" s="37"/>
      <c r="B188" s="69">
        <v>44196</v>
      </c>
      <c r="C188" s="80"/>
      <c r="D188" s="95"/>
      <c r="E188" s="63">
        <f t="shared" si="22"/>
        <v>52761311.789999977</v>
      </c>
      <c r="F188" s="96">
        <f t="shared" si="23"/>
        <v>141761311.78999987</v>
      </c>
      <c r="G188" s="70">
        <f t="shared" si="33"/>
        <v>141761311.7899999</v>
      </c>
      <c r="H188" s="74">
        <f t="shared" si="26"/>
        <v>590672.13245833281</v>
      </c>
      <c r="I188" s="72">
        <f t="shared" si="30"/>
        <v>-64973934.570416421</v>
      </c>
      <c r="J188" s="70">
        <f t="shared" si="27"/>
        <v>-61429901.775666468</v>
      </c>
      <c r="K188" s="70">
        <f t="shared" si="24"/>
        <v>80331410.014333427</v>
      </c>
      <c r="L188" s="65">
        <f t="shared" si="21"/>
        <v>76787377.219583452</v>
      </c>
      <c r="M188" s="66">
        <f t="shared" si="35"/>
        <v>46166.147816249977</v>
      </c>
      <c r="N188" s="72">
        <f t="shared" si="34"/>
        <v>-11110460.770777538</v>
      </c>
      <c r="O188" s="70">
        <f t="shared" si="31"/>
        <v>-11387457.657675041</v>
      </c>
      <c r="P188" s="67">
        <f t="shared" si="25"/>
        <v>68943952.356658384</v>
      </c>
      <c r="Q188" s="76"/>
      <c r="R188" s="65"/>
      <c r="S188" s="76"/>
    </row>
    <row r="189" spans="1:19" outlineLevel="1">
      <c r="A189" s="37"/>
      <c r="B189" s="69">
        <v>44227</v>
      </c>
      <c r="C189" s="80"/>
      <c r="D189" s="95"/>
      <c r="E189" s="63">
        <f t="shared" si="22"/>
        <v>52761311.789999977</v>
      </c>
      <c r="F189" s="96">
        <f t="shared" si="23"/>
        <v>141761311.78999987</v>
      </c>
      <c r="G189" s="70">
        <f t="shared" si="33"/>
        <v>141761311.7899999</v>
      </c>
      <c r="H189" s="74">
        <f t="shared" si="26"/>
        <v>590672.13245833281</v>
      </c>
      <c r="I189" s="72">
        <f t="shared" si="30"/>
        <v>-65564606.70287475</v>
      </c>
      <c r="J189" s="70">
        <f t="shared" si="27"/>
        <v>-62020573.908124797</v>
      </c>
      <c r="K189" s="70">
        <f t="shared" si="24"/>
        <v>79740737.881875098</v>
      </c>
      <c r="L189" s="65">
        <f t="shared" si="21"/>
        <v>76196705.087125123</v>
      </c>
      <c r="M189" s="66">
        <f t="shared" si="35"/>
        <v>46166.147816249977</v>
      </c>
      <c r="N189" s="72">
        <f t="shared" si="34"/>
        <v>-11064294.622961288</v>
      </c>
      <c r="O189" s="70">
        <f t="shared" si="31"/>
        <v>-11341291.509858789</v>
      </c>
      <c r="P189" s="67">
        <f t="shared" si="25"/>
        <v>68399446.372016311</v>
      </c>
      <c r="Q189" s="76"/>
      <c r="R189" s="65"/>
      <c r="S189" s="76"/>
    </row>
    <row r="190" spans="1:19" ht="12.75" customHeight="1" outlineLevel="1">
      <c r="A190" s="37"/>
      <c r="B190" s="69">
        <v>44255</v>
      </c>
      <c r="C190" s="80"/>
      <c r="D190" s="95"/>
      <c r="E190" s="63">
        <f t="shared" si="22"/>
        <v>52761311.789999977</v>
      </c>
      <c r="F190" s="96">
        <f t="shared" si="23"/>
        <v>141761311.78999987</v>
      </c>
      <c r="G190" s="70">
        <f t="shared" si="33"/>
        <v>141761311.7899999</v>
      </c>
      <c r="H190" s="74">
        <f t="shared" si="26"/>
        <v>590672.13245833281</v>
      </c>
      <c r="I190" s="72">
        <f t="shared" si="30"/>
        <v>-66155278.835333079</v>
      </c>
      <c r="J190" s="70">
        <f t="shared" si="27"/>
        <v>-62611246.040583126</v>
      </c>
      <c r="K190" s="70">
        <f t="shared" si="24"/>
        <v>79150065.749416769</v>
      </c>
      <c r="L190" s="65">
        <f t="shared" si="21"/>
        <v>75606032.954666793</v>
      </c>
      <c r="M190" s="66">
        <f t="shared" si="35"/>
        <v>46166.147816249977</v>
      </c>
      <c r="N190" s="72">
        <f t="shared" si="34"/>
        <v>-11018128.475145038</v>
      </c>
      <c r="O190" s="70">
        <f t="shared" si="31"/>
        <v>-11295125.362042539</v>
      </c>
      <c r="P190" s="67">
        <f t="shared" si="25"/>
        <v>67854940.387374222</v>
      </c>
      <c r="Q190" s="76"/>
      <c r="R190" s="65"/>
      <c r="S190" s="76"/>
    </row>
    <row r="191" spans="1:19" ht="12.75" customHeight="1" outlineLevel="1">
      <c r="A191" s="37"/>
      <c r="B191" s="69">
        <v>44286</v>
      </c>
      <c r="C191" s="80"/>
      <c r="D191" s="95"/>
      <c r="E191" s="63">
        <f t="shared" si="22"/>
        <v>52761311.789999977</v>
      </c>
      <c r="F191" s="96">
        <f t="shared" si="23"/>
        <v>141761311.78999987</v>
      </c>
      <c r="G191" s="70">
        <f t="shared" si="33"/>
        <v>141761311.7899999</v>
      </c>
      <c r="H191" s="74">
        <f t="shared" si="26"/>
        <v>590672.13245833281</v>
      </c>
      <c r="I191" s="72">
        <f t="shared" si="30"/>
        <v>-66745950.967791408</v>
      </c>
      <c r="J191" s="70">
        <f t="shared" si="27"/>
        <v>-63201918.173041455</v>
      </c>
      <c r="K191" s="70">
        <f t="shared" si="24"/>
        <v>78559393.616958439</v>
      </c>
      <c r="L191" s="65">
        <f t="shared" si="21"/>
        <v>75015360.822208464</v>
      </c>
      <c r="M191" s="66">
        <f t="shared" si="35"/>
        <v>46166.147816249977</v>
      </c>
      <c r="N191" s="72">
        <f t="shared" si="34"/>
        <v>-10971962.327328788</v>
      </c>
      <c r="O191" s="70">
        <f t="shared" si="31"/>
        <v>-11248959.214226289</v>
      </c>
      <c r="P191" s="67">
        <f t="shared" si="25"/>
        <v>67310434.402732149</v>
      </c>
      <c r="Q191" s="76"/>
      <c r="R191" s="65"/>
      <c r="S191" s="76"/>
    </row>
    <row r="192" spans="1:19" outlineLevel="1">
      <c r="A192" s="37"/>
      <c r="B192" s="69">
        <v>44316</v>
      </c>
      <c r="C192" s="80"/>
      <c r="D192" s="95"/>
      <c r="E192" s="63">
        <f t="shared" si="22"/>
        <v>52761311.789999977</v>
      </c>
      <c r="F192" s="96">
        <f t="shared" si="23"/>
        <v>141761311.78999987</v>
      </c>
      <c r="G192" s="70">
        <f t="shared" si="33"/>
        <v>141761311.7899999</v>
      </c>
      <c r="H192" s="74">
        <f t="shared" si="26"/>
        <v>590672.13245833281</v>
      </c>
      <c r="I192" s="72">
        <f t="shared" si="30"/>
        <v>-67336623.100249738</v>
      </c>
      <c r="J192" s="70">
        <f t="shared" si="27"/>
        <v>-63792590.305499785</v>
      </c>
      <c r="K192" s="70">
        <f t="shared" si="24"/>
        <v>77968721.48450011</v>
      </c>
      <c r="L192" s="65">
        <f t="shared" si="21"/>
        <v>74424688.689750135</v>
      </c>
      <c r="M192" s="66">
        <f t="shared" si="35"/>
        <v>46166.147816249977</v>
      </c>
      <c r="N192" s="72">
        <f t="shared" si="34"/>
        <v>-10925796.179512538</v>
      </c>
      <c r="O192" s="70">
        <f t="shared" si="31"/>
        <v>-11202793.06641004</v>
      </c>
      <c r="P192" s="67">
        <f t="shared" si="25"/>
        <v>66765928.418090068</v>
      </c>
      <c r="Q192" s="76"/>
      <c r="R192" s="65"/>
      <c r="S192" s="76"/>
    </row>
    <row r="193" spans="2:19" s="37" customFormat="1" outlineLevel="1">
      <c r="B193" s="69">
        <v>44347</v>
      </c>
      <c r="C193" s="80"/>
      <c r="D193" s="95"/>
      <c r="E193" s="63">
        <f t="shared" si="22"/>
        <v>52761311.789999977</v>
      </c>
      <c r="F193" s="96">
        <f t="shared" si="23"/>
        <v>141761311.78999987</v>
      </c>
      <c r="G193" s="70">
        <f t="shared" si="33"/>
        <v>141761311.7899999</v>
      </c>
      <c r="H193" s="74">
        <f t="shared" si="26"/>
        <v>590672.13245833281</v>
      </c>
      <c r="I193" s="72">
        <f t="shared" si="30"/>
        <v>-67927295.232708067</v>
      </c>
      <c r="J193" s="70">
        <f t="shared" si="27"/>
        <v>-64383262.437958114</v>
      </c>
      <c r="K193" s="70">
        <f t="shared" si="24"/>
        <v>77378049.352041781</v>
      </c>
      <c r="L193" s="65">
        <f t="shared" si="21"/>
        <v>73834016.557291806</v>
      </c>
      <c r="M193" s="66">
        <f t="shared" si="35"/>
        <v>46166.147816249977</v>
      </c>
      <c r="N193" s="72">
        <f t="shared" si="34"/>
        <v>-10879630.031696288</v>
      </c>
      <c r="O193" s="70">
        <f t="shared" si="31"/>
        <v>-11156626.918593789</v>
      </c>
      <c r="P193" s="67">
        <f t="shared" si="25"/>
        <v>66221422.433447994</v>
      </c>
      <c r="Q193" s="76"/>
      <c r="R193" s="65"/>
      <c r="S193" s="76"/>
    </row>
    <row r="194" spans="2:19" s="37" customFormat="1" ht="12.75" customHeight="1" outlineLevel="1">
      <c r="B194" s="69">
        <v>44377</v>
      </c>
      <c r="C194" s="80"/>
      <c r="D194" s="95"/>
      <c r="E194" s="63">
        <f t="shared" si="22"/>
        <v>52761311.789999977</v>
      </c>
      <c r="F194" s="96">
        <f t="shared" si="23"/>
        <v>141761311.78999987</v>
      </c>
      <c r="G194" s="70">
        <f t="shared" si="33"/>
        <v>141761311.7899999</v>
      </c>
      <c r="H194" s="74">
        <f t="shared" si="26"/>
        <v>590672.13245833281</v>
      </c>
      <c r="I194" s="72">
        <f t="shared" si="30"/>
        <v>-68517967.365166396</v>
      </c>
      <c r="J194" s="70">
        <f t="shared" si="27"/>
        <v>-64973934.570416443</v>
      </c>
      <c r="K194" s="70">
        <f t="shared" si="24"/>
        <v>76787377.219583452</v>
      </c>
      <c r="L194" s="65">
        <f t="shared" si="21"/>
        <v>73243344.424833477</v>
      </c>
      <c r="M194" s="66">
        <f t="shared" si="35"/>
        <v>46166.147816249977</v>
      </c>
      <c r="N194" s="72">
        <f t="shared" si="34"/>
        <v>-10833463.883880038</v>
      </c>
      <c r="O194" s="70">
        <f t="shared" si="31"/>
        <v>-11110460.77077754</v>
      </c>
      <c r="P194" s="67">
        <f t="shared" si="25"/>
        <v>65676916.448805913</v>
      </c>
      <c r="Q194" s="76"/>
      <c r="R194" s="65"/>
      <c r="S194" s="76"/>
    </row>
    <row r="195" spans="2:19" s="37" customFormat="1" outlineLevel="1">
      <c r="B195" s="69">
        <v>44408</v>
      </c>
      <c r="C195" s="80"/>
      <c r="D195" s="95"/>
      <c r="E195" s="63">
        <f t="shared" si="22"/>
        <v>52761311.789999977</v>
      </c>
      <c r="F195" s="96">
        <f t="shared" si="23"/>
        <v>141761311.78999987</v>
      </c>
      <c r="G195" s="70">
        <f t="shared" si="33"/>
        <v>141761311.7899999</v>
      </c>
      <c r="H195" s="74">
        <f t="shared" si="26"/>
        <v>590672.13245833281</v>
      </c>
      <c r="I195" s="72">
        <f t="shared" si="30"/>
        <v>-69108639.497624725</v>
      </c>
      <c r="J195" s="70">
        <f t="shared" si="27"/>
        <v>-65564606.702874772</v>
      </c>
      <c r="K195" s="70">
        <f t="shared" si="24"/>
        <v>76196705.087125123</v>
      </c>
      <c r="L195" s="65">
        <f t="shared" si="21"/>
        <v>72652672.292375147</v>
      </c>
      <c r="M195" s="66">
        <f t="shared" si="35"/>
        <v>46166.147816249977</v>
      </c>
      <c r="N195" s="72">
        <f t="shared" si="34"/>
        <v>-10787297.736063788</v>
      </c>
      <c r="O195" s="70">
        <f t="shared" si="31"/>
        <v>-11064294.622961288</v>
      </c>
      <c r="P195" s="67">
        <f t="shared" si="25"/>
        <v>65132410.464163832</v>
      </c>
      <c r="Q195" s="76"/>
      <c r="R195" s="65"/>
      <c r="S195" s="76"/>
    </row>
    <row r="196" spans="2:19" s="37" customFormat="1" outlineLevel="1">
      <c r="B196" s="69">
        <v>44439</v>
      </c>
      <c r="C196" s="80"/>
      <c r="D196" s="95"/>
      <c r="E196" s="63">
        <f t="shared" si="22"/>
        <v>52761311.789999977</v>
      </c>
      <c r="F196" s="96">
        <f t="shared" si="23"/>
        <v>141761311.78999987</v>
      </c>
      <c r="G196" s="70">
        <f t="shared" si="33"/>
        <v>141761311.7899999</v>
      </c>
      <c r="H196" s="74">
        <f t="shared" si="26"/>
        <v>590672.13245833281</v>
      </c>
      <c r="I196" s="72">
        <f t="shared" si="30"/>
        <v>-69699311.630083054</v>
      </c>
      <c r="J196" s="70">
        <f t="shared" si="27"/>
        <v>-66155278.835333101</v>
      </c>
      <c r="K196" s="70">
        <f t="shared" si="24"/>
        <v>75606032.954666793</v>
      </c>
      <c r="L196" s="65">
        <f t="shared" si="21"/>
        <v>72062000.159916818</v>
      </c>
      <c r="M196" s="66">
        <f t="shared" si="35"/>
        <v>46166.147816249977</v>
      </c>
      <c r="N196" s="72">
        <f t="shared" si="34"/>
        <v>-10741131.588247538</v>
      </c>
      <c r="O196" s="70">
        <f t="shared" si="31"/>
        <v>-11018128.47514504</v>
      </c>
      <c r="P196" s="67">
        <f t="shared" si="25"/>
        <v>64587904.479521751</v>
      </c>
      <c r="Q196" s="76"/>
      <c r="R196" s="65"/>
      <c r="S196" s="76"/>
    </row>
    <row r="197" spans="2:19" s="37" customFormat="1" outlineLevel="1">
      <c r="B197" s="69">
        <v>44469</v>
      </c>
      <c r="C197" s="80"/>
      <c r="D197" s="95"/>
      <c r="E197" s="63">
        <f t="shared" si="22"/>
        <v>52761311.789999977</v>
      </c>
      <c r="F197" s="96">
        <f t="shared" si="23"/>
        <v>141761311.78999987</v>
      </c>
      <c r="G197" s="70">
        <f t="shared" si="33"/>
        <v>141761311.7899999</v>
      </c>
      <c r="H197" s="74">
        <f t="shared" si="26"/>
        <v>590672.13245833281</v>
      </c>
      <c r="I197" s="72">
        <f t="shared" si="30"/>
        <v>-70289983.762541384</v>
      </c>
      <c r="J197" s="70">
        <f t="shared" si="27"/>
        <v>-66745950.967791431</v>
      </c>
      <c r="K197" s="70">
        <f t="shared" si="24"/>
        <v>75015360.822208464</v>
      </c>
      <c r="L197" s="65">
        <f t="shared" si="21"/>
        <v>71471328.027458489</v>
      </c>
      <c r="M197" s="66">
        <f t="shared" si="35"/>
        <v>46166.147816249977</v>
      </c>
      <c r="N197" s="72">
        <f t="shared" si="34"/>
        <v>-10694965.440431288</v>
      </c>
      <c r="O197" s="70">
        <f t="shared" si="31"/>
        <v>-10971962.327328788</v>
      </c>
      <c r="P197" s="67">
        <f t="shared" si="25"/>
        <v>64043398.494879678</v>
      </c>
      <c r="Q197" s="76"/>
      <c r="R197" s="65"/>
      <c r="S197" s="76"/>
    </row>
    <row r="198" spans="2:19" s="37" customFormat="1" outlineLevel="1">
      <c r="B198" s="69">
        <v>44500</v>
      </c>
      <c r="C198" s="80"/>
      <c r="D198" s="95"/>
      <c r="E198" s="63">
        <f t="shared" si="22"/>
        <v>52761311.789999977</v>
      </c>
      <c r="F198" s="96">
        <f t="shared" si="23"/>
        <v>141761311.78999987</v>
      </c>
      <c r="G198" s="70">
        <f t="shared" si="33"/>
        <v>141761311.7899999</v>
      </c>
      <c r="H198" s="74">
        <f t="shared" si="26"/>
        <v>590672.13245833281</v>
      </c>
      <c r="I198" s="72">
        <f t="shared" si="30"/>
        <v>-70880655.894999713</v>
      </c>
      <c r="J198" s="70">
        <f t="shared" si="27"/>
        <v>-67336623.100249752</v>
      </c>
      <c r="K198" s="70">
        <f t="shared" si="24"/>
        <v>74424688.68975015</v>
      </c>
      <c r="L198" s="65">
        <f t="shared" si="21"/>
        <v>70880655.89500016</v>
      </c>
      <c r="M198" s="66">
        <f t="shared" si="35"/>
        <v>46166.147816249977</v>
      </c>
      <c r="N198" s="72">
        <f t="shared" si="34"/>
        <v>-10648799.292615037</v>
      </c>
      <c r="O198" s="70">
        <f t="shared" si="31"/>
        <v>-10925796.179512538</v>
      </c>
      <c r="P198" s="67">
        <f t="shared" si="25"/>
        <v>63498892.510237612</v>
      </c>
      <c r="Q198" s="76"/>
      <c r="R198" s="65"/>
      <c r="S198" s="76"/>
    </row>
    <row r="199" spans="2:19" s="37" customFormat="1" outlineLevel="1">
      <c r="B199" s="69">
        <v>44530</v>
      </c>
      <c r="C199" s="80"/>
      <c r="D199" s="95"/>
      <c r="E199" s="63">
        <f t="shared" si="22"/>
        <v>52761311.789999977</v>
      </c>
      <c r="F199" s="96">
        <f t="shared" si="23"/>
        <v>141761311.78999987</v>
      </c>
      <c r="G199" s="70">
        <f t="shared" si="33"/>
        <v>141761311.7899999</v>
      </c>
      <c r="H199" s="74">
        <f t="shared" si="26"/>
        <v>590672.13245833281</v>
      </c>
      <c r="I199" s="72">
        <f t="shared" si="30"/>
        <v>-71471328.027458042</v>
      </c>
      <c r="J199" s="70">
        <f t="shared" si="27"/>
        <v>-67927295.232708082</v>
      </c>
      <c r="K199" s="70">
        <f t="shared" si="24"/>
        <v>73834016.557291821</v>
      </c>
      <c r="L199" s="65">
        <f t="shared" si="21"/>
        <v>70289983.762541831</v>
      </c>
      <c r="M199" s="66">
        <f t="shared" si="35"/>
        <v>46166.147816249977</v>
      </c>
      <c r="N199" s="72">
        <f t="shared" si="34"/>
        <v>-10602633.144798787</v>
      </c>
      <c r="O199" s="70">
        <f t="shared" si="31"/>
        <v>-10879630.031696288</v>
      </c>
      <c r="P199" s="67">
        <f t="shared" si="25"/>
        <v>62954386.525595531</v>
      </c>
      <c r="Q199" s="76"/>
      <c r="R199" s="65"/>
      <c r="S199" s="76"/>
    </row>
    <row r="200" spans="2:19" s="37" customFormat="1" outlineLevel="1">
      <c r="B200" s="69">
        <v>44561</v>
      </c>
      <c r="C200" s="80"/>
      <c r="D200" s="95"/>
      <c r="E200" s="63">
        <f t="shared" si="22"/>
        <v>52761311.789999977</v>
      </c>
      <c r="F200" s="96">
        <f t="shared" si="23"/>
        <v>141761311.78999987</v>
      </c>
      <c r="G200" s="70">
        <f t="shared" si="33"/>
        <v>141761311.7899999</v>
      </c>
      <c r="H200" s="74">
        <f t="shared" si="26"/>
        <v>590672.13245833281</v>
      </c>
      <c r="I200" s="72">
        <f t="shared" si="30"/>
        <v>-72062000.159916371</v>
      </c>
      <c r="J200" s="70">
        <f t="shared" si="27"/>
        <v>-68517967.365166411</v>
      </c>
      <c r="K200" s="70">
        <f t="shared" si="24"/>
        <v>73243344.424833491</v>
      </c>
      <c r="L200" s="65">
        <f t="shared" si="21"/>
        <v>69699311.630083501</v>
      </c>
      <c r="M200" s="66">
        <f t="shared" si="35"/>
        <v>46166.147816249977</v>
      </c>
      <c r="N200" s="72">
        <f>N199+M200</f>
        <v>-10556466.996982537</v>
      </c>
      <c r="O200" s="70">
        <f t="shared" si="31"/>
        <v>-10833463.883880038</v>
      </c>
      <c r="P200" s="67">
        <f t="shared" si="25"/>
        <v>62409880.540953457</v>
      </c>
      <c r="Q200" s="76"/>
      <c r="R200" s="65"/>
      <c r="S200" s="76"/>
    </row>
    <row r="201" spans="2:19" s="37" customFormat="1" outlineLevel="1">
      <c r="B201" s="69">
        <v>44592</v>
      </c>
      <c r="C201" s="80"/>
      <c r="D201" s="95"/>
      <c r="E201" s="63">
        <f t="shared" si="22"/>
        <v>52761311.789999977</v>
      </c>
      <c r="F201" s="96">
        <f t="shared" si="23"/>
        <v>141761311.78999987</v>
      </c>
      <c r="G201" s="70">
        <f t="shared" si="33"/>
        <v>141761311.7899999</v>
      </c>
      <c r="H201" s="74">
        <f t="shared" si="26"/>
        <v>590672.13245833281</v>
      </c>
      <c r="I201" s="72">
        <f t="shared" si="30"/>
        <v>-72652672.2923747</v>
      </c>
      <c r="J201" s="70">
        <f t="shared" si="27"/>
        <v>-69108639.49762474</v>
      </c>
      <c r="K201" s="70">
        <f t="shared" si="24"/>
        <v>72652672.292375162</v>
      </c>
      <c r="L201" s="65">
        <f t="shared" si="21"/>
        <v>69108639.497625172</v>
      </c>
      <c r="M201" s="66">
        <f t="shared" si="35"/>
        <v>46166.147816249977</v>
      </c>
      <c r="N201" s="72">
        <f t="shared" si="34"/>
        <v>-10510300.849166287</v>
      </c>
      <c r="O201" s="70">
        <f t="shared" si="31"/>
        <v>-10787297.73606379</v>
      </c>
      <c r="P201" s="67">
        <f t="shared" si="25"/>
        <v>61865374.556311369</v>
      </c>
      <c r="Q201" s="76"/>
      <c r="R201" s="65"/>
      <c r="S201" s="76"/>
    </row>
    <row r="202" spans="2:19" s="37" customFormat="1" outlineLevel="1">
      <c r="B202" s="69">
        <v>44620</v>
      </c>
      <c r="C202" s="80"/>
      <c r="D202" s="95"/>
      <c r="E202" s="63">
        <f t="shared" si="22"/>
        <v>52761311.789999977</v>
      </c>
      <c r="F202" s="96">
        <f t="shared" si="23"/>
        <v>141761311.78999987</v>
      </c>
      <c r="G202" s="70">
        <f t="shared" si="33"/>
        <v>141761311.7899999</v>
      </c>
      <c r="H202" s="74">
        <f t="shared" si="26"/>
        <v>590672.13245833281</v>
      </c>
      <c r="I202" s="72">
        <f t="shared" si="30"/>
        <v>-73243344.42483303</v>
      </c>
      <c r="J202" s="70">
        <f t="shared" si="27"/>
        <v>-69699311.630083069</v>
      </c>
      <c r="K202" s="70">
        <f t="shared" si="24"/>
        <v>72062000.159916833</v>
      </c>
      <c r="L202" s="65">
        <f t="shared" si="21"/>
        <v>68517967.365166843</v>
      </c>
      <c r="M202" s="66">
        <f t="shared" si="35"/>
        <v>46166.147816249977</v>
      </c>
      <c r="N202" s="72">
        <f t="shared" si="34"/>
        <v>-10464134.701350037</v>
      </c>
      <c r="O202" s="70">
        <f t="shared" si="31"/>
        <v>-10741131.588247539</v>
      </c>
      <c r="P202" s="67">
        <f t="shared" si="25"/>
        <v>61320868.571669295</v>
      </c>
      <c r="Q202" s="76"/>
      <c r="R202" s="65"/>
      <c r="S202" s="76"/>
    </row>
    <row r="203" spans="2:19" s="37" customFormat="1" outlineLevel="1">
      <c r="B203" s="69">
        <v>44651</v>
      </c>
      <c r="C203" s="80"/>
      <c r="D203" s="95"/>
      <c r="E203" s="63">
        <f t="shared" si="22"/>
        <v>52761311.789999977</v>
      </c>
      <c r="F203" s="96">
        <f t="shared" si="23"/>
        <v>141761311.78999987</v>
      </c>
      <c r="G203" s="70">
        <f t="shared" si="33"/>
        <v>141761311.7899999</v>
      </c>
      <c r="H203" s="74">
        <f t="shared" si="26"/>
        <v>590672.13245833281</v>
      </c>
      <c r="I203" s="72">
        <f t="shared" si="30"/>
        <v>-73834016.557291359</v>
      </c>
      <c r="J203" s="70">
        <f t="shared" si="27"/>
        <v>-70289983.762541398</v>
      </c>
      <c r="K203" s="70">
        <f t="shared" si="24"/>
        <v>71471328.027458504</v>
      </c>
      <c r="L203" s="65">
        <f t="shared" si="21"/>
        <v>67927295.232708514</v>
      </c>
      <c r="M203" s="66">
        <f t="shared" si="35"/>
        <v>46166.147816249977</v>
      </c>
      <c r="N203" s="72">
        <f t="shared" si="34"/>
        <v>-10417968.553533787</v>
      </c>
      <c r="O203" s="70">
        <f t="shared" si="31"/>
        <v>-10694965.440431288</v>
      </c>
      <c r="P203" s="67">
        <f t="shared" si="25"/>
        <v>60776362.587027214</v>
      </c>
      <c r="Q203" s="76"/>
      <c r="R203" s="65"/>
      <c r="S203" s="76"/>
    </row>
    <row r="204" spans="2:19" s="37" customFormat="1" outlineLevel="1">
      <c r="B204" s="69">
        <v>44681</v>
      </c>
      <c r="C204" s="80"/>
      <c r="D204" s="95"/>
      <c r="E204" s="63">
        <f t="shared" si="22"/>
        <v>52761311.789999977</v>
      </c>
      <c r="F204" s="96">
        <f t="shared" si="23"/>
        <v>141761311.78999987</v>
      </c>
      <c r="G204" s="70">
        <f t="shared" si="33"/>
        <v>141761311.7899999</v>
      </c>
      <c r="H204" s="74">
        <f t="shared" si="26"/>
        <v>590672.13245833281</v>
      </c>
      <c r="I204" s="72">
        <f t="shared" si="30"/>
        <v>-74424688.689749688</v>
      </c>
      <c r="J204" s="70">
        <f t="shared" si="27"/>
        <v>-70880655.894999728</v>
      </c>
      <c r="K204" s="70">
        <f t="shared" si="24"/>
        <v>70880655.895000175</v>
      </c>
      <c r="L204" s="65">
        <f t="shared" si="21"/>
        <v>67336623.100250185</v>
      </c>
      <c r="M204" s="66">
        <f t="shared" si="35"/>
        <v>46166.147816249977</v>
      </c>
      <c r="N204" s="72">
        <f t="shared" si="34"/>
        <v>-10371802.405717537</v>
      </c>
      <c r="O204" s="70">
        <f t="shared" si="31"/>
        <v>-10648799.292615039</v>
      </c>
      <c r="P204" s="67">
        <f t="shared" si="25"/>
        <v>60231856.602385134</v>
      </c>
      <c r="Q204" s="76"/>
      <c r="R204" s="65"/>
      <c r="S204" s="76"/>
    </row>
    <row r="205" spans="2:19" s="37" customFormat="1" outlineLevel="1">
      <c r="B205" s="69">
        <v>44712</v>
      </c>
      <c r="C205" s="80"/>
      <c r="D205" s="95"/>
      <c r="E205" s="63">
        <f t="shared" si="22"/>
        <v>52761311.789999977</v>
      </c>
      <c r="F205" s="96">
        <f t="shared" si="23"/>
        <v>141761311.78999987</v>
      </c>
      <c r="G205" s="70">
        <f t="shared" si="33"/>
        <v>141761311.7899999</v>
      </c>
      <c r="H205" s="74">
        <f t="shared" si="26"/>
        <v>590672.13245833281</v>
      </c>
      <c r="I205" s="72">
        <f t="shared" si="30"/>
        <v>-75015360.822208017</v>
      </c>
      <c r="J205" s="70">
        <f t="shared" si="27"/>
        <v>-71471328.027458057</v>
      </c>
      <c r="K205" s="70">
        <f t="shared" si="24"/>
        <v>70289983.762541845</v>
      </c>
      <c r="L205" s="65">
        <f t="shared" ref="L205:L268" si="36">F205+I205</f>
        <v>66745950.967791855</v>
      </c>
      <c r="M205" s="66">
        <f t="shared" si="35"/>
        <v>46166.147816249977</v>
      </c>
      <c r="N205" s="72">
        <f t="shared" si="34"/>
        <v>-10325636.257901287</v>
      </c>
      <c r="O205" s="70">
        <f t="shared" si="31"/>
        <v>-10602633.144798787</v>
      </c>
      <c r="P205" s="67">
        <f t="shared" si="25"/>
        <v>59687350.61774306</v>
      </c>
      <c r="Q205" s="76"/>
      <c r="R205" s="65"/>
      <c r="S205" s="76"/>
    </row>
    <row r="206" spans="2:19" s="37" customFormat="1" outlineLevel="1">
      <c r="B206" s="69">
        <v>44742</v>
      </c>
      <c r="D206" s="95"/>
      <c r="E206" s="63">
        <f t="shared" ref="E206:E269" si="37">D206+E205</f>
        <v>52761311.789999977</v>
      </c>
      <c r="F206" s="96">
        <f t="shared" si="23"/>
        <v>141761311.78999987</v>
      </c>
      <c r="G206" s="70">
        <f t="shared" si="33"/>
        <v>141761311.7899999</v>
      </c>
      <c r="H206" s="74">
        <f t="shared" si="26"/>
        <v>590672.13245833281</v>
      </c>
      <c r="I206" s="72">
        <f t="shared" si="30"/>
        <v>-75606032.954666346</v>
      </c>
      <c r="J206" s="70">
        <f t="shared" si="27"/>
        <v>-72062000.159916386</v>
      </c>
      <c r="K206" s="70">
        <f t="shared" si="24"/>
        <v>69699311.630083516</v>
      </c>
      <c r="L206" s="65">
        <f t="shared" si="36"/>
        <v>66155278.835333526</v>
      </c>
      <c r="M206" s="66">
        <f t="shared" si="35"/>
        <v>46166.147816249977</v>
      </c>
      <c r="N206" s="72">
        <f t="shared" si="34"/>
        <v>-10279470.110085037</v>
      </c>
      <c r="O206" s="70">
        <f t="shared" si="31"/>
        <v>-10556466.996982537</v>
      </c>
      <c r="P206" s="67">
        <f t="shared" si="25"/>
        <v>59142844.633100979</v>
      </c>
      <c r="R206" s="38"/>
    </row>
    <row r="207" spans="2:19" s="37" customFormat="1" outlineLevel="1">
      <c r="B207" s="69">
        <v>44773</v>
      </c>
      <c r="D207" s="95"/>
      <c r="E207" s="63">
        <f t="shared" si="37"/>
        <v>52761311.789999977</v>
      </c>
      <c r="F207" s="96">
        <f t="shared" ref="F207:F270" si="38">F206+D207</f>
        <v>141761311.78999987</v>
      </c>
      <c r="G207" s="70">
        <f t="shared" si="33"/>
        <v>141761311.7899999</v>
      </c>
      <c r="H207" s="74">
        <f t="shared" si="26"/>
        <v>590672.13245833281</v>
      </c>
      <c r="I207" s="72">
        <f t="shared" si="30"/>
        <v>-76196705.087124676</v>
      </c>
      <c r="J207" s="70">
        <f t="shared" si="27"/>
        <v>-72652672.292374715</v>
      </c>
      <c r="K207" s="70">
        <f t="shared" ref="K207:K270" si="39">G207+J207</f>
        <v>69108639.497625187</v>
      </c>
      <c r="L207" s="65">
        <f t="shared" si="36"/>
        <v>65564606.702875197</v>
      </c>
      <c r="M207" s="66">
        <f t="shared" si="35"/>
        <v>46166.147816249977</v>
      </c>
      <c r="N207" s="72">
        <f t="shared" si="34"/>
        <v>-10233303.962268787</v>
      </c>
      <c r="O207" s="70">
        <f t="shared" si="31"/>
        <v>-10510300.849166287</v>
      </c>
      <c r="P207" s="67">
        <f t="shared" ref="P207:P268" si="40">O207+K207</f>
        <v>58598338.648458898</v>
      </c>
      <c r="R207" s="38"/>
    </row>
    <row r="208" spans="2:19" s="37" customFormat="1" outlineLevel="1">
      <c r="B208" s="69">
        <v>44804</v>
      </c>
      <c r="D208" s="95"/>
      <c r="E208" s="63">
        <f t="shared" si="37"/>
        <v>52761311.789999977</v>
      </c>
      <c r="F208" s="96">
        <f t="shared" si="38"/>
        <v>141761311.78999987</v>
      </c>
      <c r="G208" s="70">
        <f t="shared" si="33"/>
        <v>141761311.7899999</v>
      </c>
      <c r="H208" s="74">
        <f t="shared" ref="H208:H271" si="41">F207/240</f>
        <v>590672.13245833281</v>
      </c>
      <c r="I208" s="72">
        <f t="shared" si="30"/>
        <v>-76787377.219583005</v>
      </c>
      <c r="J208" s="70">
        <f t="shared" si="27"/>
        <v>-73243344.424833044</v>
      </c>
      <c r="K208" s="70">
        <f t="shared" si="39"/>
        <v>68517967.365166858</v>
      </c>
      <c r="L208" s="65">
        <f t="shared" si="36"/>
        <v>64973934.570416868</v>
      </c>
      <c r="M208" s="66">
        <f t="shared" si="35"/>
        <v>46166.147816249977</v>
      </c>
      <c r="N208" s="72">
        <f t="shared" si="34"/>
        <v>-10187137.814452536</v>
      </c>
      <c r="O208" s="70">
        <f t="shared" si="31"/>
        <v>-10464134.701350037</v>
      </c>
      <c r="P208" s="67">
        <f t="shared" si="40"/>
        <v>58053832.663816825</v>
      </c>
      <c r="R208" s="38"/>
    </row>
    <row r="209" spans="2:18" s="37" customFormat="1" outlineLevel="1">
      <c r="B209" s="69">
        <v>44834</v>
      </c>
      <c r="D209" s="95"/>
      <c r="E209" s="63">
        <f t="shared" si="37"/>
        <v>52761311.789999977</v>
      </c>
      <c r="F209" s="96">
        <f t="shared" si="38"/>
        <v>141761311.78999987</v>
      </c>
      <c r="G209" s="70">
        <f t="shared" si="33"/>
        <v>141761311.7899999</v>
      </c>
      <c r="H209" s="74">
        <f t="shared" si="41"/>
        <v>590672.13245833281</v>
      </c>
      <c r="I209" s="72">
        <f t="shared" si="30"/>
        <v>-77378049.352041334</v>
      </c>
      <c r="J209" s="70">
        <f t="shared" ref="J209:J272" si="42">(I197+I209+SUM(I198:I208)*2)/24</f>
        <v>-73834016.557291374</v>
      </c>
      <c r="K209" s="70">
        <f t="shared" si="39"/>
        <v>67927295.232708529</v>
      </c>
      <c r="L209" s="65">
        <f t="shared" si="36"/>
        <v>64383262.437958539</v>
      </c>
      <c r="M209" s="66">
        <f t="shared" si="35"/>
        <v>46166.147816249977</v>
      </c>
      <c r="N209" s="72">
        <f t="shared" si="34"/>
        <v>-10140971.666636286</v>
      </c>
      <c r="O209" s="70">
        <f t="shared" si="31"/>
        <v>-10417968.553533787</v>
      </c>
      <c r="P209" s="67">
        <f t="shared" si="40"/>
        <v>57509326.679174744</v>
      </c>
      <c r="R209" s="38"/>
    </row>
    <row r="210" spans="2:18" s="37" customFormat="1" outlineLevel="1">
      <c r="B210" s="69">
        <v>44865</v>
      </c>
      <c r="D210" s="95"/>
      <c r="E210" s="63">
        <f t="shared" si="37"/>
        <v>52761311.789999977</v>
      </c>
      <c r="F210" s="96">
        <f t="shared" si="38"/>
        <v>141761311.78999987</v>
      </c>
      <c r="G210" s="70">
        <f t="shared" si="33"/>
        <v>141761311.7899999</v>
      </c>
      <c r="H210" s="74">
        <f t="shared" si="41"/>
        <v>590672.13245833281</v>
      </c>
      <c r="I210" s="72">
        <f t="shared" ref="I210:I273" si="43">I209-H210</f>
        <v>-77968721.484499663</v>
      </c>
      <c r="J210" s="70">
        <f t="shared" si="42"/>
        <v>-74424688.689749703</v>
      </c>
      <c r="K210" s="70">
        <f t="shared" si="39"/>
        <v>67336623.100250199</v>
      </c>
      <c r="L210" s="65">
        <f t="shared" si="36"/>
        <v>63792590.305500209</v>
      </c>
      <c r="M210" s="66">
        <f t="shared" si="35"/>
        <v>46166.147816249977</v>
      </c>
      <c r="N210" s="72">
        <f t="shared" si="34"/>
        <v>-10094805.518820036</v>
      </c>
      <c r="O210" s="70">
        <f t="shared" si="31"/>
        <v>-10371802.405717539</v>
      </c>
      <c r="P210" s="67">
        <f t="shared" si="40"/>
        <v>56964820.694532663</v>
      </c>
      <c r="R210" s="38"/>
    </row>
    <row r="211" spans="2:18" s="37" customFormat="1" outlineLevel="1">
      <c r="B211" s="69">
        <v>44895</v>
      </c>
      <c r="D211" s="95"/>
      <c r="E211" s="63">
        <f t="shared" si="37"/>
        <v>52761311.789999977</v>
      </c>
      <c r="F211" s="96">
        <f t="shared" si="38"/>
        <v>141761311.78999987</v>
      </c>
      <c r="G211" s="70">
        <f t="shared" si="33"/>
        <v>141761311.7899999</v>
      </c>
      <c r="H211" s="74">
        <f t="shared" si="41"/>
        <v>590672.13245833281</v>
      </c>
      <c r="I211" s="72">
        <f t="shared" si="43"/>
        <v>-78559393.616957992</v>
      </c>
      <c r="J211" s="70">
        <f t="shared" si="42"/>
        <v>-75015360.822208032</v>
      </c>
      <c r="K211" s="70">
        <f t="shared" si="39"/>
        <v>66745950.96779187</v>
      </c>
      <c r="L211" s="65">
        <f t="shared" si="36"/>
        <v>63201918.17304188</v>
      </c>
      <c r="M211" s="66">
        <f t="shared" si="35"/>
        <v>46166.147816249977</v>
      </c>
      <c r="N211" s="72">
        <f t="shared" si="34"/>
        <v>-10048639.371003786</v>
      </c>
      <c r="O211" s="70">
        <f t="shared" si="31"/>
        <v>-10325636.257901287</v>
      </c>
      <c r="P211" s="67">
        <f t="shared" si="40"/>
        <v>56420314.709890582</v>
      </c>
      <c r="R211" s="38"/>
    </row>
    <row r="212" spans="2:18" s="37" customFormat="1" outlineLevel="1">
      <c r="B212" s="69">
        <v>44926</v>
      </c>
      <c r="D212" s="95"/>
      <c r="E212" s="63">
        <f t="shared" si="37"/>
        <v>52761311.789999977</v>
      </c>
      <c r="F212" s="96">
        <f t="shared" si="38"/>
        <v>141761311.78999987</v>
      </c>
      <c r="G212" s="70">
        <f t="shared" si="33"/>
        <v>141761311.7899999</v>
      </c>
      <c r="H212" s="74">
        <f t="shared" si="41"/>
        <v>590672.13245833281</v>
      </c>
      <c r="I212" s="72">
        <f t="shared" si="43"/>
        <v>-79150065.749416322</v>
      </c>
      <c r="J212" s="70">
        <f t="shared" si="42"/>
        <v>-75606032.954666361</v>
      </c>
      <c r="K212" s="70">
        <f t="shared" si="39"/>
        <v>66155278.835333541</v>
      </c>
      <c r="L212" s="65">
        <f t="shared" si="36"/>
        <v>62611246.040583551</v>
      </c>
      <c r="M212" s="66">
        <f t="shared" si="35"/>
        <v>46166.147816249977</v>
      </c>
      <c r="N212" s="72">
        <f t="shared" si="34"/>
        <v>-10002473.223187536</v>
      </c>
      <c r="O212" s="70">
        <f t="shared" si="31"/>
        <v>-10279470.110085038</v>
      </c>
      <c r="P212" s="67">
        <f t="shared" si="40"/>
        <v>55875808.725248501</v>
      </c>
      <c r="R212" s="38"/>
    </row>
    <row r="213" spans="2:18" s="37" customFormat="1" outlineLevel="1">
      <c r="B213" s="69">
        <v>44957</v>
      </c>
      <c r="D213" s="95"/>
      <c r="E213" s="63">
        <f t="shared" si="37"/>
        <v>52761311.789999977</v>
      </c>
      <c r="F213" s="96">
        <f t="shared" si="38"/>
        <v>141761311.78999987</v>
      </c>
      <c r="G213" s="70">
        <f t="shared" si="33"/>
        <v>141761311.7899999</v>
      </c>
      <c r="H213" s="74">
        <f t="shared" si="41"/>
        <v>590672.13245833281</v>
      </c>
      <c r="I213" s="72">
        <f t="shared" si="43"/>
        <v>-79740737.881874651</v>
      </c>
      <c r="J213" s="70">
        <f t="shared" si="42"/>
        <v>-76196705.08712469</v>
      </c>
      <c r="K213" s="70">
        <f t="shared" si="39"/>
        <v>65564606.702875212</v>
      </c>
      <c r="L213" s="65">
        <f t="shared" si="36"/>
        <v>62020573.908125222</v>
      </c>
      <c r="M213" s="66">
        <f t="shared" si="35"/>
        <v>46166.147816249977</v>
      </c>
      <c r="N213" s="72">
        <f t="shared" si="34"/>
        <v>-9956307.0753712859</v>
      </c>
      <c r="O213" s="70">
        <f t="shared" si="31"/>
        <v>-10233303.962268787</v>
      </c>
      <c r="P213" s="67">
        <f t="shared" si="40"/>
        <v>55331302.740606427</v>
      </c>
      <c r="R213" s="38"/>
    </row>
    <row r="214" spans="2:18" s="37" customFormat="1" outlineLevel="1">
      <c r="B214" s="69">
        <v>44985</v>
      </c>
      <c r="D214" s="95"/>
      <c r="E214" s="63">
        <f t="shared" si="37"/>
        <v>52761311.789999977</v>
      </c>
      <c r="F214" s="96">
        <f t="shared" si="38"/>
        <v>141761311.78999987</v>
      </c>
      <c r="G214" s="70">
        <f t="shared" si="33"/>
        <v>141761311.7899999</v>
      </c>
      <c r="H214" s="74">
        <f t="shared" si="41"/>
        <v>590672.13245833281</v>
      </c>
      <c r="I214" s="72">
        <f t="shared" si="43"/>
        <v>-80331410.01433298</v>
      </c>
      <c r="J214" s="70">
        <f t="shared" si="42"/>
        <v>-76787377.21958302</v>
      </c>
      <c r="K214" s="70">
        <f t="shared" si="39"/>
        <v>64973934.570416883</v>
      </c>
      <c r="L214" s="65">
        <f t="shared" si="36"/>
        <v>61429901.775666893</v>
      </c>
      <c r="M214" s="66">
        <f t="shared" si="35"/>
        <v>46166.147816249977</v>
      </c>
      <c r="N214" s="72">
        <f t="shared" si="34"/>
        <v>-9910140.9275550358</v>
      </c>
      <c r="O214" s="70">
        <f t="shared" si="31"/>
        <v>-10187137.814452536</v>
      </c>
      <c r="P214" s="67">
        <f t="shared" si="40"/>
        <v>54786796.755964346</v>
      </c>
      <c r="R214" s="38"/>
    </row>
    <row r="215" spans="2:18" s="37" customFormat="1" outlineLevel="1">
      <c r="B215" s="69">
        <v>45016</v>
      </c>
      <c r="D215" s="95"/>
      <c r="E215" s="63">
        <f t="shared" si="37"/>
        <v>52761311.789999977</v>
      </c>
      <c r="F215" s="96">
        <f t="shared" si="38"/>
        <v>141761311.78999987</v>
      </c>
      <c r="G215" s="70">
        <f t="shared" si="33"/>
        <v>141761311.7899999</v>
      </c>
      <c r="H215" s="74">
        <f t="shared" si="41"/>
        <v>590672.13245833281</v>
      </c>
      <c r="I215" s="72">
        <f t="shared" si="43"/>
        <v>-80922082.146791309</v>
      </c>
      <c r="J215" s="70">
        <f t="shared" si="42"/>
        <v>-77378049.352041349</v>
      </c>
      <c r="K215" s="70">
        <f t="shared" si="39"/>
        <v>64383262.437958553</v>
      </c>
      <c r="L215" s="65">
        <f t="shared" si="36"/>
        <v>60839229.643208563</v>
      </c>
      <c r="M215" s="66">
        <f t="shared" si="35"/>
        <v>46166.147816249977</v>
      </c>
      <c r="N215" s="72">
        <f t="shared" si="34"/>
        <v>-9863974.7797387857</v>
      </c>
      <c r="O215" s="70">
        <f t="shared" ref="O215:O268" si="44">(N203+N215+SUM(N204:N214)*2)/24</f>
        <v>-10140971.666636286</v>
      </c>
      <c r="P215" s="67">
        <f t="shared" si="40"/>
        <v>54242290.771322265</v>
      </c>
      <c r="R215" s="38"/>
    </row>
    <row r="216" spans="2:18" s="37" customFormat="1" outlineLevel="1">
      <c r="B216" s="69">
        <v>45046</v>
      </c>
      <c r="D216" s="95"/>
      <c r="E216" s="63">
        <f t="shared" si="37"/>
        <v>52761311.789999977</v>
      </c>
      <c r="F216" s="96">
        <f t="shared" si="38"/>
        <v>141761311.78999987</v>
      </c>
      <c r="G216" s="70">
        <f t="shared" si="33"/>
        <v>141761311.7899999</v>
      </c>
      <c r="H216" s="74">
        <f t="shared" si="41"/>
        <v>590672.13245833281</v>
      </c>
      <c r="I216" s="72">
        <f t="shared" si="43"/>
        <v>-81512754.279249638</v>
      </c>
      <c r="J216" s="70">
        <f t="shared" si="42"/>
        <v>-77968721.484499678</v>
      </c>
      <c r="K216" s="70">
        <f t="shared" si="39"/>
        <v>63792590.305500224</v>
      </c>
      <c r="L216" s="65">
        <f t="shared" si="36"/>
        <v>60248557.510750234</v>
      </c>
      <c r="M216" s="66">
        <f t="shared" si="35"/>
        <v>46166.147816249977</v>
      </c>
      <c r="N216" s="72">
        <f t="shared" si="34"/>
        <v>-9817808.6319225356</v>
      </c>
      <c r="O216" s="70">
        <f t="shared" si="44"/>
        <v>-10094805.518820036</v>
      </c>
      <c r="P216" s="67">
        <f t="shared" si="40"/>
        <v>53697784.786680192</v>
      </c>
      <c r="R216" s="38"/>
    </row>
    <row r="217" spans="2:18" s="37" customFormat="1" outlineLevel="1">
      <c r="B217" s="69">
        <v>45077</v>
      </c>
      <c r="D217" s="95"/>
      <c r="E217" s="63">
        <f t="shared" si="37"/>
        <v>52761311.789999977</v>
      </c>
      <c r="F217" s="96">
        <f t="shared" si="38"/>
        <v>141761311.78999987</v>
      </c>
      <c r="G217" s="70">
        <f t="shared" si="33"/>
        <v>141761311.7899999</v>
      </c>
      <c r="H217" s="74">
        <f t="shared" si="41"/>
        <v>590672.13245833281</v>
      </c>
      <c r="I217" s="72">
        <f t="shared" si="43"/>
        <v>-82103426.411707968</v>
      </c>
      <c r="J217" s="70">
        <f t="shared" si="42"/>
        <v>-78559393.616958007</v>
      </c>
      <c r="K217" s="70">
        <f t="shared" si="39"/>
        <v>63201918.173041895</v>
      </c>
      <c r="L217" s="65">
        <f t="shared" si="36"/>
        <v>59657885.378291905</v>
      </c>
      <c r="M217" s="66">
        <f t="shared" ref="M217:M248" si="45">(E217/240*0.21)</f>
        <v>46166.147816249977</v>
      </c>
      <c r="N217" s="72">
        <f t="shared" si="34"/>
        <v>-9771642.4841062855</v>
      </c>
      <c r="O217" s="70">
        <f t="shared" si="44"/>
        <v>-10048639.371003788</v>
      </c>
      <c r="P217" s="67">
        <f t="shared" si="40"/>
        <v>53153278.802038103</v>
      </c>
      <c r="R217" s="38"/>
    </row>
    <row r="218" spans="2:18" s="37" customFormat="1" outlineLevel="1">
      <c r="B218" s="69">
        <v>45107</v>
      </c>
      <c r="D218" s="95"/>
      <c r="E218" s="63">
        <f t="shared" si="37"/>
        <v>52761311.789999977</v>
      </c>
      <c r="F218" s="96">
        <f t="shared" si="38"/>
        <v>141761311.78999987</v>
      </c>
      <c r="G218" s="70">
        <f t="shared" ref="G218:G281" si="46">(F206+F218+SUM(F207:F217)*2)/24</f>
        <v>141761311.7899999</v>
      </c>
      <c r="H218" s="74">
        <f t="shared" si="41"/>
        <v>590672.13245833281</v>
      </c>
      <c r="I218" s="72">
        <f t="shared" si="43"/>
        <v>-82694098.544166297</v>
      </c>
      <c r="J218" s="70">
        <f t="shared" si="42"/>
        <v>-79150065.749416336</v>
      </c>
      <c r="K218" s="70">
        <f t="shared" si="39"/>
        <v>62611246.040583566</v>
      </c>
      <c r="L218" s="65">
        <f t="shared" si="36"/>
        <v>59067213.245833576</v>
      </c>
      <c r="M218" s="66">
        <f t="shared" si="45"/>
        <v>46166.147816249977</v>
      </c>
      <c r="N218" s="72">
        <f t="shared" si="34"/>
        <v>-9725476.3362900354</v>
      </c>
      <c r="O218" s="70">
        <f t="shared" si="44"/>
        <v>-10002473.223187538</v>
      </c>
      <c r="P218" s="67">
        <f t="shared" si="40"/>
        <v>52608772.81739603</v>
      </c>
      <c r="R218" s="38"/>
    </row>
    <row r="219" spans="2:18" s="37" customFormat="1" outlineLevel="1">
      <c r="B219" s="69">
        <v>45138</v>
      </c>
      <c r="D219" s="95"/>
      <c r="E219" s="63">
        <f t="shared" si="37"/>
        <v>52761311.789999977</v>
      </c>
      <c r="F219" s="96">
        <f t="shared" si="38"/>
        <v>141761311.78999987</v>
      </c>
      <c r="G219" s="70">
        <f t="shared" si="46"/>
        <v>141761311.7899999</v>
      </c>
      <c r="H219" s="74">
        <f t="shared" si="41"/>
        <v>590672.13245833281</v>
      </c>
      <c r="I219" s="72">
        <f t="shared" si="43"/>
        <v>-83284770.676624626</v>
      </c>
      <c r="J219" s="70">
        <f t="shared" si="42"/>
        <v>-79740737.881874666</v>
      </c>
      <c r="K219" s="70">
        <f t="shared" si="39"/>
        <v>62020573.908125237</v>
      </c>
      <c r="L219" s="65">
        <f t="shared" si="36"/>
        <v>58476541.113375247</v>
      </c>
      <c r="M219" s="66">
        <f t="shared" si="45"/>
        <v>46166.147816249977</v>
      </c>
      <c r="N219" s="72">
        <f t="shared" si="34"/>
        <v>-9679310.1884737853</v>
      </c>
      <c r="O219" s="70">
        <f t="shared" si="44"/>
        <v>-9956307.0753712859</v>
      </c>
      <c r="P219" s="67">
        <f t="shared" si="40"/>
        <v>52064266.832753949</v>
      </c>
      <c r="R219" s="38"/>
    </row>
    <row r="220" spans="2:18" s="37" customFormat="1" outlineLevel="1">
      <c r="B220" s="69">
        <v>45169</v>
      </c>
      <c r="D220" s="95"/>
      <c r="E220" s="63">
        <f t="shared" si="37"/>
        <v>52761311.789999977</v>
      </c>
      <c r="F220" s="96">
        <f t="shared" si="38"/>
        <v>141761311.78999987</v>
      </c>
      <c r="G220" s="70">
        <f t="shared" si="46"/>
        <v>141761311.7899999</v>
      </c>
      <c r="H220" s="74">
        <f t="shared" si="41"/>
        <v>590672.13245833281</v>
      </c>
      <c r="I220" s="72">
        <f t="shared" si="43"/>
        <v>-83875442.809082955</v>
      </c>
      <c r="J220" s="70">
        <f t="shared" si="42"/>
        <v>-80331410.014332995</v>
      </c>
      <c r="K220" s="70">
        <f t="shared" si="39"/>
        <v>61429901.775666907</v>
      </c>
      <c r="L220" s="65">
        <f t="shared" si="36"/>
        <v>57885868.980916917</v>
      </c>
      <c r="M220" s="66">
        <f t="shared" si="45"/>
        <v>46166.147816249977</v>
      </c>
      <c r="N220" s="72">
        <f t="shared" si="34"/>
        <v>-9633144.0406575352</v>
      </c>
      <c r="O220" s="70">
        <f t="shared" si="44"/>
        <v>-9910140.9275550377</v>
      </c>
      <c r="P220" s="67">
        <f t="shared" si="40"/>
        <v>51519760.848111868</v>
      </c>
      <c r="R220" s="38"/>
    </row>
    <row r="221" spans="2:18" s="37" customFormat="1" outlineLevel="1">
      <c r="B221" s="69">
        <v>45199</v>
      </c>
      <c r="D221" s="95"/>
      <c r="E221" s="63">
        <f t="shared" si="37"/>
        <v>52761311.789999977</v>
      </c>
      <c r="F221" s="96">
        <f t="shared" si="38"/>
        <v>141761311.78999987</v>
      </c>
      <c r="G221" s="70">
        <f t="shared" si="46"/>
        <v>141761311.7899999</v>
      </c>
      <c r="H221" s="74">
        <f t="shared" si="41"/>
        <v>590672.13245833281</v>
      </c>
      <c r="I221" s="72">
        <f t="shared" si="43"/>
        <v>-84466114.941541284</v>
      </c>
      <c r="J221" s="70">
        <f t="shared" si="42"/>
        <v>-80922082.146791324</v>
      </c>
      <c r="K221" s="70">
        <f t="shared" si="39"/>
        <v>60839229.643208578</v>
      </c>
      <c r="L221" s="65">
        <f t="shared" si="36"/>
        <v>57295196.848458588</v>
      </c>
      <c r="M221" s="66">
        <f t="shared" si="45"/>
        <v>46166.147816249977</v>
      </c>
      <c r="N221" s="72">
        <f t="shared" si="34"/>
        <v>-9586977.8928412851</v>
      </c>
      <c r="O221" s="70">
        <f t="shared" si="44"/>
        <v>-9863974.7797387857</v>
      </c>
      <c r="P221" s="67">
        <f t="shared" si="40"/>
        <v>50975254.863469794</v>
      </c>
      <c r="R221" s="38"/>
    </row>
    <row r="222" spans="2:18" s="37" customFormat="1" outlineLevel="1">
      <c r="B222" s="69">
        <v>45230</v>
      </c>
      <c r="D222" s="95"/>
      <c r="E222" s="63">
        <f t="shared" si="37"/>
        <v>52761311.789999977</v>
      </c>
      <c r="F222" s="96">
        <f t="shared" si="38"/>
        <v>141761311.78999987</v>
      </c>
      <c r="G222" s="70">
        <f t="shared" si="46"/>
        <v>141761311.7899999</v>
      </c>
      <c r="H222" s="74">
        <f t="shared" si="41"/>
        <v>590672.13245833281</v>
      </c>
      <c r="I222" s="72">
        <f t="shared" si="43"/>
        <v>-85056787.073999614</v>
      </c>
      <c r="J222" s="70">
        <f t="shared" si="42"/>
        <v>-81512754.279249653</v>
      </c>
      <c r="K222" s="70">
        <f t="shared" si="39"/>
        <v>60248557.510750249</v>
      </c>
      <c r="L222" s="65">
        <f t="shared" si="36"/>
        <v>56704524.716000259</v>
      </c>
      <c r="M222" s="66">
        <f t="shared" si="45"/>
        <v>46166.147816249977</v>
      </c>
      <c r="N222" s="72">
        <f t="shared" si="34"/>
        <v>-9540811.745025035</v>
      </c>
      <c r="O222" s="70">
        <f t="shared" si="44"/>
        <v>-9817808.6319225356</v>
      </c>
      <c r="P222" s="67">
        <f t="shared" si="40"/>
        <v>50430748.878827713</v>
      </c>
      <c r="R222" s="38"/>
    </row>
    <row r="223" spans="2:18" s="37" customFormat="1" outlineLevel="1">
      <c r="B223" s="69">
        <v>45260</v>
      </c>
      <c r="D223" s="95"/>
      <c r="E223" s="63">
        <f t="shared" si="37"/>
        <v>52761311.789999977</v>
      </c>
      <c r="F223" s="96">
        <f t="shared" si="38"/>
        <v>141761311.78999987</v>
      </c>
      <c r="G223" s="70">
        <f t="shared" si="46"/>
        <v>141761311.7899999</v>
      </c>
      <c r="H223" s="74">
        <f t="shared" si="41"/>
        <v>590672.13245833281</v>
      </c>
      <c r="I223" s="72">
        <f t="shared" si="43"/>
        <v>-85647459.206457943</v>
      </c>
      <c r="J223" s="70">
        <f t="shared" si="42"/>
        <v>-82103426.411707982</v>
      </c>
      <c r="K223" s="70">
        <f t="shared" si="39"/>
        <v>59657885.37829192</v>
      </c>
      <c r="L223" s="65">
        <f t="shared" si="36"/>
        <v>56113852.58354193</v>
      </c>
      <c r="M223" s="66">
        <f t="shared" si="45"/>
        <v>46166.147816249977</v>
      </c>
      <c r="N223" s="72">
        <f t="shared" si="34"/>
        <v>-9494645.5972087849</v>
      </c>
      <c r="O223" s="70">
        <f t="shared" si="44"/>
        <v>-9771642.4841062855</v>
      </c>
      <c r="P223" s="67">
        <f t="shared" si="40"/>
        <v>49886242.894185632</v>
      </c>
      <c r="R223" s="38"/>
    </row>
    <row r="224" spans="2:18" s="37" customFormat="1" outlineLevel="1">
      <c r="B224" s="69">
        <v>45291</v>
      </c>
      <c r="D224" s="95"/>
      <c r="E224" s="63">
        <f t="shared" si="37"/>
        <v>52761311.789999977</v>
      </c>
      <c r="F224" s="96">
        <f t="shared" si="38"/>
        <v>141761311.78999987</v>
      </c>
      <c r="G224" s="70">
        <f t="shared" si="46"/>
        <v>141761311.7899999</v>
      </c>
      <c r="H224" s="74">
        <f t="shared" si="41"/>
        <v>590672.13245833281</v>
      </c>
      <c r="I224" s="72">
        <f t="shared" si="43"/>
        <v>-86238131.338916272</v>
      </c>
      <c r="J224" s="70">
        <f t="shared" si="42"/>
        <v>-82694098.544166312</v>
      </c>
      <c r="K224" s="70">
        <f t="shared" si="39"/>
        <v>59067213.245833591</v>
      </c>
      <c r="L224" s="65">
        <f t="shared" si="36"/>
        <v>55523180.451083601</v>
      </c>
      <c r="M224" s="66">
        <f t="shared" si="45"/>
        <v>46166.147816249977</v>
      </c>
      <c r="N224" s="72">
        <f t="shared" si="34"/>
        <v>-9448479.4493925348</v>
      </c>
      <c r="O224" s="70">
        <f t="shared" si="44"/>
        <v>-9725476.3362900354</v>
      </c>
      <c r="P224" s="67">
        <f t="shared" si="40"/>
        <v>49341736.909543559</v>
      </c>
      <c r="R224" s="38"/>
    </row>
    <row r="225" spans="2:18" s="37" customFormat="1" outlineLevel="1">
      <c r="B225" s="69">
        <v>45322</v>
      </c>
      <c r="D225" s="95"/>
      <c r="E225" s="63">
        <f t="shared" si="37"/>
        <v>52761311.789999977</v>
      </c>
      <c r="F225" s="96">
        <f t="shared" si="38"/>
        <v>141761311.78999987</v>
      </c>
      <c r="G225" s="70">
        <f t="shared" si="46"/>
        <v>141761311.7899999</v>
      </c>
      <c r="H225" s="74">
        <f t="shared" si="41"/>
        <v>590672.13245833281</v>
      </c>
      <c r="I225" s="72">
        <f t="shared" si="43"/>
        <v>-86828803.471374601</v>
      </c>
      <c r="J225" s="70">
        <f t="shared" si="42"/>
        <v>-83284770.676624641</v>
      </c>
      <c r="K225" s="70">
        <f t="shared" si="39"/>
        <v>58476541.113375261</v>
      </c>
      <c r="L225" s="65">
        <f t="shared" si="36"/>
        <v>54932508.318625271</v>
      </c>
      <c r="M225" s="66">
        <f t="shared" si="45"/>
        <v>46166.147816249977</v>
      </c>
      <c r="N225" s="72">
        <f t="shared" si="34"/>
        <v>-9402313.3015762847</v>
      </c>
      <c r="O225" s="70">
        <f t="shared" si="44"/>
        <v>-9679310.1884737853</v>
      </c>
      <c r="P225" s="67">
        <f t="shared" si="40"/>
        <v>48797230.924901478</v>
      </c>
      <c r="R225" s="38"/>
    </row>
    <row r="226" spans="2:18" s="37" customFormat="1" outlineLevel="1">
      <c r="B226" s="69">
        <v>45350</v>
      </c>
      <c r="D226" s="95"/>
      <c r="E226" s="63">
        <f t="shared" si="37"/>
        <v>52761311.789999977</v>
      </c>
      <c r="F226" s="96">
        <f t="shared" si="38"/>
        <v>141761311.78999987</v>
      </c>
      <c r="G226" s="70">
        <f t="shared" si="46"/>
        <v>141761311.7899999</v>
      </c>
      <c r="H226" s="74">
        <f t="shared" si="41"/>
        <v>590672.13245833281</v>
      </c>
      <c r="I226" s="72">
        <f t="shared" si="43"/>
        <v>-87419475.60383293</v>
      </c>
      <c r="J226" s="70">
        <f t="shared" si="42"/>
        <v>-83875442.80908297</v>
      </c>
      <c r="K226" s="70">
        <f t="shared" si="39"/>
        <v>57885868.980916932</v>
      </c>
      <c r="L226" s="65">
        <f t="shared" si="36"/>
        <v>54341836.186166942</v>
      </c>
      <c r="M226" s="66">
        <f t="shared" si="45"/>
        <v>46166.147816249977</v>
      </c>
      <c r="N226" s="72">
        <f t="shared" si="34"/>
        <v>-9356147.1537600346</v>
      </c>
      <c r="O226" s="70">
        <f t="shared" si="44"/>
        <v>-9633144.0406575371</v>
      </c>
      <c r="P226" s="67">
        <f t="shared" si="40"/>
        <v>48252724.940259397</v>
      </c>
      <c r="R226" s="38"/>
    </row>
    <row r="227" spans="2:18" s="37" customFormat="1" outlineLevel="1">
      <c r="B227" s="69">
        <v>45382</v>
      </c>
      <c r="D227" s="95"/>
      <c r="E227" s="63">
        <f t="shared" si="37"/>
        <v>52761311.789999977</v>
      </c>
      <c r="F227" s="96">
        <f t="shared" si="38"/>
        <v>141761311.78999987</v>
      </c>
      <c r="G227" s="70">
        <f t="shared" si="46"/>
        <v>141761311.7899999</v>
      </c>
      <c r="H227" s="74">
        <f t="shared" si="41"/>
        <v>590672.13245833281</v>
      </c>
      <c r="I227" s="72">
        <f t="shared" si="43"/>
        <v>-88010147.73629126</v>
      </c>
      <c r="J227" s="70">
        <f t="shared" si="42"/>
        <v>-84466114.941541299</v>
      </c>
      <c r="K227" s="70">
        <f t="shared" si="39"/>
        <v>57295196.848458603</v>
      </c>
      <c r="L227" s="65">
        <f t="shared" si="36"/>
        <v>53751164.053708613</v>
      </c>
      <c r="M227" s="66">
        <f t="shared" si="45"/>
        <v>46166.147816249977</v>
      </c>
      <c r="N227" s="72">
        <f t="shared" si="34"/>
        <v>-9309981.0059437845</v>
      </c>
      <c r="O227" s="70">
        <f t="shared" si="44"/>
        <v>-9586977.8928412851</v>
      </c>
      <c r="P227" s="67">
        <f t="shared" si="40"/>
        <v>47708218.955617316</v>
      </c>
      <c r="R227" s="38"/>
    </row>
    <row r="228" spans="2:18" s="37" customFormat="1" outlineLevel="1">
      <c r="B228" s="69">
        <v>45412</v>
      </c>
      <c r="D228" s="95"/>
      <c r="E228" s="63">
        <f t="shared" si="37"/>
        <v>52761311.789999977</v>
      </c>
      <c r="F228" s="96">
        <f t="shared" si="38"/>
        <v>141761311.78999987</v>
      </c>
      <c r="G228" s="70">
        <f t="shared" si="46"/>
        <v>141761311.7899999</v>
      </c>
      <c r="H228" s="74">
        <f t="shared" si="41"/>
        <v>590672.13245833281</v>
      </c>
      <c r="I228" s="72">
        <f t="shared" si="43"/>
        <v>-88600819.868749589</v>
      </c>
      <c r="J228" s="70">
        <f t="shared" si="42"/>
        <v>-85056787.073999628</v>
      </c>
      <c r="K228" s="70">
        <f t="shared" si="39"/>
        <v>56704524.716000274</v>
      </c>
      <c r="L228" s="65">
        <f t="shared" si="36"/>
        <v>53160491.921250284</v>
      </c>
      <c r="M228" s="66">
        <f t="shared" si="45"/>
        <v>46166.147816249977</v>
      </c>
      <c r="N228" s="72">
        <f t="shared" si="34"/>
        <v>-9263814.8581275344</v>
      </c>
      <c r="O228" s="70">
        <f t="shared" si="44"/>
        <v>-9540811.7450250369</v>
      </c>
      <c r="P228" s="67">
        <f t="shared" si="40"/>
        <v>47163712.970975235</v>
      </c>
      <c r="R228" s="38"/>
    </row>
    <row r="229" spans="2:18" s="37" customFormat="1" outlineLevel="1">
      <c r="B229" s="69">
        <v>45443</v>
      </c>
      <c r="D229" s="95"/>
      <c r="E229" s="63">
        <f t="shared" si="37"/>
        <v>52761311.789999977</v>
      </c>
      <c r="F229" s="96">
        <f t="shared" si="38"/>
        <v>141761311.78999987</v>
      </c>
      <c r="G229" s="70">
        <f t="shared" si="46"/>
        <v>141761311.7899999</v>
      </c>
      <c r="H229" s="74">
        <f t="shared" si="41"/>
        <v>590672.13245833281</v>
      </c>
      <c r="I229" s="72">
        <f t="shared" si="43"/>
        <v>-89191492.001207918</v>
      </c>
      <c r="J229" s="70">
        <f t="shared" si="42"/>
        <v>-85647459.206457958</v>
      </c>
      <c r="K229" s="70">
        <f t="shared" si="39"/>
        <v>56113852.583541945</v>
      </c>
      <c r="L229" s="65">
        <f t="shared" si="36"/>
        <v>52569819.788791955</v>
      </c>
      <c r="M229" s="66">
        <f t="shared" si="45"/>
        <v>46166.147816249977</v>
      </c>
      <c r="N229" s="72">
        <f t="shared" si="34"/>
        <v>-9217648.7103112843</v>
      </c>
      <c r="O229" s="70">
        <f t="shared" si="44"/>
        <v>-9494645.5972087849</v>
      </c>
      <c r="P229" s="67">
        <f t="shared" si="40"/>
        <v>46619206.986333162</v>
      </c>
      <c r="R229" s="38"/>
    </row>
    <row r="230" spans="2:18" s="37" customFormat="1" outlineLevel="1">
      <c r="B230" s="69">
        <v>45473</v>
      </c>
      <c r="D230" s="95"/>
      <c r="E230" s="63">
        <f t="shared" si="37"/>
        <v>52761311.789999977</v>
      </c>
      <c r="F230" s="96">
        <f t="shared" si="38"/>
        <v>141761311.78999987</v>
      </c>
      <c r="G230" s="70">
        <f t="shared" si="46"/>
        <v>141761311.7899999</v>
      </c>
      <c r="H230" s="74">
        <f t="shared" si="41"/>
        <v>590672.13245833281</v>
      </c>
      <c r="I230" s="72">
        <f t="shared" si="43"/>
        <v>-89782164.133666247</v>
      </c>
      <c r="J230" s="70">
        <f t="shared" si="42"/>
        <v>-86238131.338916287</v>
      </c>
      <c r="K230" s="70">
        <f t="shared" si="39"/>
        <v>55523180.451083615</v>
      </c>
      <c r="L230" s="65">
        <f t="shared" si="36"/>
        <v>51979147.656333625</v>
      </c>
      <c r="M230" s="66">
        <f t="shared" si="45"/>
        <v>46166.147816249977</v>
      </c>
      <c r="N230" s="72">
        <f t="shared" si="34"/>
        <v>-9171482.5624950342</v>
      </c>
      <c r="O230" s="70">
        <f t="shared" si="44"/>
        <v>-9448479.4493925348</v>
      </c>
      <c r="P230" s="67">
        <f t="shared" si="40"/>
        <v>46074701.001691081</v>
      </c>
      <c r="R230" s="38"/>
    </row>
    <row r="231" spans="2:18" s="37" customFormat="1" outlineLevel="1">
      <c r="B231" s="69">
        <v>45504</v>
      </c>
      <c r="D231" s="95"/>
      <c r="E231" s="63">
        <f t="shared" si="37"/>
        <v>52761311.789999977</v>
      </c>
      <c r="F231" s="96">
        <f t="shared" si="38"/>
        <v>141761311.78999987</v>
      </c>
      <c r="G231" s="70">
        <f t="shared" si="46"/>
        <v>141761311.7899999</v>
      </c>
      <c r="H231" s="74">
        <f t="shared" si="41"/>
        <v>590672.13245833281</v>
      </c>
      <c r="I231" s="72">
        <f t="shared" si="43"/>
        <v>-90372836.266124576</v>
      </c>
      <c r="J231" s="70">
        <f t="shared" si="42"/>
        <v>-86828803.471374616</v>
      </c>
      <c r="K231" s="70">
        <f t="shared" si="39"/>
        <v>54932508.318625286</v>
      </c>
      <c r="L231" s="65">
        <f t="shared" si="36"/>
        <v>51388475.523875296</v>
      </c>
      <c r="M231" s="66">
        <f t="shared" si="45"/>
        <v>46166.147816249977</v>
      </c>
      <c r="N231" s="72">
        <f t="shared" si="34"/>
        <v>-9125316.4146787841</v>
      </c>
      <c r="O231" s="70">
        <f t="shared" si="44"/>
        <v>-9402313.3015762847</v>
      </c>
      <c r="P231" s="67">
        <f t="shared" si="40"/>
        <v>45530195.017049</v>
      </c>
      <c r="R231" s="38"/>
    </row>
    <row r="232" spans="2:18" s="37" customFormat="1" outlineLevel="1">
      <c r="B232" s="69">
        <v>45535</v>
      </c>
      <c r="D232" s="95"/>
      <c r="E232" s="63">
        <f t="shared" si="37"/>
        <v>52761311.789999977</v>
      </c>
      <c r="F232" s="96">
        <f t="shared" si="38"/>
        <v>141761311.78999987</v>
      </c>
      <c r="G232" s="70">
        <f t="shared" si="46"/>
        <v>141761311.7899999</v>
      </c>
      <c r="H232" s="74">
        <f t="shared" si="41"/>
        <v>590672.13245833281</v>
      </c>
      <c r="I232" s="72">
        <f t="shared" si="43"/>
        <v>-90963508.398582906</v>
      </c>
      <c r="J232" s="70">
        <f t="shared" si="42"/>
        <v>-87419475.603832945</v>
      </c>
      <c r="K232" s="70">
        <f t="shared" si="39"/>
        <v>54341836.186166957</v>
      </c>
      <c r="L232" s="65">
        <f t="shared" si="36"/>
        <v>50797803.391416967</v>
      </c>
      <c r="M232" s="66">
        <f t="shared" si="45"/>
        <v>46166.147816249977</v>
      </c>
      <c r="N232" s="72">
        <f t="shared" si="34"/>
        <v>-9079150.266862534</v>
      </c>
      <c r="O232" s="70">
        <f t="shared" si="44"/>
        <v>-9356147.1537600346</v>
      </c>
      <c r="P232" s="67">
        <f t="shared" si="40"/>
        <v>44985689.032406926</v>
      </c>
      <c r="R232" s="38"/>
    </row>
    <row r="233" spans="2:18" s="37" customFormat="1" outlineLevel="1">
      <c r="B233" s="69">
        <v>45565</v>
      </c>
      <c r="D233" s="95"/>
      <c r="E233" s="63">
        <f t="shared" si="37"/>
        <v>52761311.789999977</v>
      </c>
      <c r="F233" s="96">
        <f t="shared" si="38"/>
        <v>141761311.78999987</v>
      </c>
      <c r="G233" s="70">
        <f t="shared" si="46"/>
        <v>141761311.7899999</v>
      </c>
      <c r="H233" s="74">
        <f t="shared" si="41"/>
        <v>590672.13245833281</v>
      </c>
      <c r="I233" s="72">
        <f t="shared" si="43"/>
        <v>-91554180.531041235</v>
      </c>
      <c r="J233" s="70">
        <f t="shared" si="42"/>
        <v>-88010147.736291274</v>
      </c>
      <c r="K233" s="70">
        <f t="shared" si="39"/>
        <v>53751164.053708628</v>
      </c>
      <c r="L233" s="65">
        <f t="shared" si="36"/>
        <v>50207131.258958638</v>
      </c>
      <c r="M233" s="66">
        <f t="shared" si="45"/>
        <v>46166.147816249977</v>
      </c>
      <c r="N233" s="72">
        <f t="shared" si="34"/>
        <v>-9032984.1190462839</v>
      </c>
      <c r="O233" s="70">
        <f t="shared" si="44"/>
        <v>-9309981.0059437864</v>
      </c>
      <c r="P233" s="67">
        <f t="shared" si="40"/>
        <v>44441183.047764838</v>
      </c>
      <c r="R233" s="38"/>
    </row>
    <row r="234" spans="2:18" s="37" customFormat="1" outlineLevel="1">
      <c r="B234" s="69">
        <v>45596</v>
      </c>
      <c r="D234" s="95"/>
      <c r="E234" s="63">
        <f t="shared" si="37"/>
        <v>52761311.789999977</v>
      </c>
      <c r="F234" s="96">
        <f t="shared" si="38"/>
        <v>141761311.78999987</v>
      </c>
      <c r="G234" s="70">
        <f t="shared" si="46"/>
        <v>141761311.7899999</v>
      </c>
      <c r="H234" s="74">
        <f t="shared" si="41"/>
        <v>590672.13245833281</v>
      </c>
      <c r="I234" s="72">
        <f t="shared" si="43"/>
        <v>-92144852.663499564</v>
      </c>
      <c r="J234" s="70">
        <f t="shared" si="42"/>
        <v>-88600819.868749604</v>
      </c>
      <c r="K234" s="70">
        <f t="shared" si="39"/>
        <v>53160491.921250299</v>
      </c>
      <c r="L234" s="65">
        <f t="shared" si="36"/>
        <v>49616459.126500309</v>
      </c>
      <c r="M234" s="66">
        <f t="shared" si="45"/>
        <v>46166.147816249977</v>
      </c>
      <c r="N234" s="72">
        <f t="shared" ref="N234:N297" si="47">N233+M234</f>
        <v>-8986817.9712300338</v>
      </c>
      <c r="O234" s="70">
        <f t="shared" si="44"/>
        <v>-9263814.8581275363</v>
      </c>
      <c r="P234" s="67">
        <f t="shared" si="40"/>
        <v>43896677.063122764</v>
      </c>
      <c r="R234" s="38"/>
    </row>
    <row r="235" spans="2:18" s="37" customFormat="1" outlineLevel="1">
      <c r="B235" s="69">
        <v>45626</v>
      </c>
      <c r="D235" s="95"/>
      <c r="E235" s="63">
        <f t="shared" si="37"/>
        <v>52761311.789999977</v>
      </c>
      <c r="F235" s="96">
        <f t="shared" si="38"/>
        <v>141761311.78999987</v>
      </c>
      <c r="G235" s="70">
        <f t="shared" si="46"/>
        <v>141761311.7899999</v>
      </c>
      <c r="H235" s="74">
        <f t="shared" si="41"/>
        <v>590672.13245833281</v>
      </c>
      <c r="I235" s="72">
        <f t="shared" si="43"/>
        <v>-92735524.795957893</v>
      </c>
      <c r="J235" s="70">
        <f t="shared" si="42"/>
        <v>-89191492.001207933</v>
      </c>
      <c r="K235" s="70">
        <f t="shared" si="39"/>
        <v>52569819.788791969</v>
      </c>
      <c r="L235" s="65">
        <f t="shared" si="36"/>
        <v>49025786.994041979</v>
      </c>
      <c r="M235" s="66">
        <f t="shared" si="45"/>
        <v>46166.147816249977</v>
      </c>
      <c r="N235" s="72">
        <f t="shared" si="47"/>
        <v>-8940651.8234137837</v>
      </c>
      <c r="O235" s="70">
        <f t="shared" si="44"/>
        <v>-9217648.7103112843</v>
      </c>
      <c r="P235" s="67">
        <f t="shared" si="40"/>
        <v>43352171.078480683</v>
      </c>
      <c r="R235" s="38"/>
    </row>
    <row r="236" spans="2:18" s="37" customFormat="1" outlineLevel="1">
      <c r="B236" s="69">
        <v>45657</v>
      </c>
      <c r="D236" s="95"/>
      <c r="E236" s="63">
        <f t="shared" si="37"/>
        <v>52761311.789999977</v>
      </c>
      <c r="F236" s="96">
        <f t="shared" si="38"/>
        <v>141761311.78999987</v>
      </c>
      <c r="G236" s="70">
        <f t="shared" si="46"/>
        <v>141761311.7899999</v>
      </c>
      <c r="H236" s="74">
        <f t="shared" si="41"/>
        <v>590672.13245833281</v>
      </c>
      <c r="I236" s="72">
        <f t="shared" si="43"/>
        <v>-93326196.928416222</v>
      </c>
      <c r="J236" s="70">
        <f t="shared" si="42"/>
        <v>-89782164.133666262</v>
      </c>
      <c r="K236" s="70">
        <f t="shared" si="39"/>
        <v>51979147.65633364</v>
      </c>
      <c r="L236" s="65">
        <f t="shared" si="36"/>
        <v>48435114.86158365</v>
      </c>
      <c r="M236" s="66">
        <f t="shared" si="45"/>
        <v>46166.147816249977</v>
      </c>
      <c r="N236" s="72">
        <f t="shared" si="47"/>
        <v>-8894485.6755975336</v>
      </c>
      <c r="O236" s="70">
        <f t="shared" si="44"/>
        <v>-9171482.5624950361</v>
      </c>
      <c r="P236" s="67">
        <f t="shared" si="40"/>
        <v>42807665.093838602</v>
      </c>
      <c r="R236" s="38"/>
    </row>
    <row r="237" spans="2:18" s="37" customFormat="1" outlineLevel="1">
      <c r="B237" s="69">
        <v>45688</v>
      </c>
      <c r="D237" s="95"/>
      <c r="E237" s="63">
        <f t="shared" si="37"/>
        <v>52761311.789999977</v>
      </c>
      <c r="F237" s="96">
        <f t="shared" si="38"/>
        <v>141761311.78999987</v>
      </c>
      <c r="G237" s="70">
        <f t="shared" si="46"/>
        <v>141761311.7899999</v>
      </c>
      <c r="H237" s="74">
        <f t="shared" si="41"/>
        <v>590672.13245833281</v>
      </c>
      <c r="I237" s="72">
        <f t="shared" si="43"/>
        <v>-93916869.060874552</v>
      </c>
      <c r="J237" s="70">
        <f t="shared" si="42"/>
        <v>-90372836.266124591</v>
      </c>
      <c r="K237" s="70">
        <f t="shared" si="39"/>
        <v>51388475.523875311</v>
      </c>
      <c r="L237" s="65">
        <f t="shared" si="36"/>
        <v>47844442.729125321</v>
      </c>
      <c r="M237" s="66">
        <f t="shared" si="45"/>
        <v>46166.147816249977</v>
      </c>
      <c r="N237" s="72">
        <f t="shared" si="47"/>
        <v>-8848319.5277812835</v>
      </c>
      <c r="O237" s="70">
        <f t="shared" si="44"/>
        <v>-9125316.4146787841</v>
      </c>
      <c r="P237" s="67">
        <f t="shared" si="40"/>
        <v>42263159.109196529</v>
      </c>
      <c r="R237" s="38"/>
    </row>
    <row r="238" spans="2:18" s="37" customFormat="1" outlineLevel="1">
      <c r="B238" s="69">
        <v>45716</v>
      </c>
      <c r="D238" s="95"/>
      <c r="E238" s="63">
        <f t="shared" si="37"/>
        <v>52761311.789999977</v>
      </c>
      <c r="F238" s="96">
        <f t="shared" si="38"/>
        <v>141761311.78999987</v>
      </c>
      <c r="G238" s="70">
        <f t="shared" si="46"/>
        <v>141761311.7899999</v>
      </c>
      <c r="H238" s="74">
        <f t="shared" si="41"/>
        <v>590672.13245833281</v>
      </c>
      <c r="I238" s="72">
        <f t="shared" si="43"/>
        <v>-94507541.193332881</v>
      </c>
      <c r="J238" s="70">
        <f t="shared" si="42"/>
        <v>-90963508.39858292</v>
      </c>
      <c r="K238" s="70">
        <f t="shared" si="39"/>
        <v>50797803.391416982</v>
      </c>
      <c r="L238" s="65">
        <f t="shared" si="36"/>
        <v>47253770.596666992</v>
      </c>
      <c r="M238" s="66">
        <f t="shared" si="45"/>
        <v>46166.147816249977</v>
      </c>
      <c r="N238" s="72">
        <f t="shared" si="47"/>
        <v>-8802153.3799650334</v>
      </c>
      <c r="O238" s="70">
        <f t="shared" si="44"/>
        <v>-9079150.266862534</v>
      </c>
      <c r="P238" s="67">
        <f t="shared" si="40"/>
        <v>41718653.124554448</v>
      </c>
      <c r="R238" s="38"/>
    </row>
    <row r="239" spans="2:18" s="37" customFormat="1" outlineLevel="1">
      <c r="B239" s="69">
        <v>45747</v>
      </c>
      <c r="D239" s="95"/>
      <c r="E239" s="63">
        <f t="shared" si="37"/>
        <v>52761311.789999977</v>
      </c>
      <c r="F239" s="96">
        <f t="shared" si="38"/>
        <v>141761311.78999987</v>
      </c>
      <c r="G239" s="70">
        <f t="shared" si="46"/>
        <v>141761311.7899999</v>
      </c>
      <c r="H239" s="74">
        <f t="shared" si="41"/>
        <v>590672.13245833281</v>
      </c>
      <c r="I239" s="72">
        <f t="shared" si="43"/>
        <v>-95098213.32579121</v>
      </c>
      <c r="J239" s="70">
        <f t="shared" si="42"/>
        <v>-91554180.53104125</v>
      </c>
      <c r="K239" s="70">
        <f t="shared" si="39"/>
        <v>50207131.258958653</v>
      </c>
      <c r="L239" s="65">
        <f t="shared" si="36"/>
        <v>46663098.464208663</v>
      </c>
      <c r="M239" s="66">
        <f t="shared" si="45"/>
        <v>46166.147816249977</v>
      </c>
      <c r="N239" s="72">
        <f t="shared" si="47"/>
        <v>-8755987.2321487833</v>
      </c>
      <c r="O239" s="70">
        <f t="shared" si="44"/>
        <v>-9032984.1190462839</v>
      </c>
      <c r="P239" s="67">
        <f t="shared" si="40"/>
        <v>41174147.139912367</v>
      </c>
      <c r="R239" s="38"/>
    </row>
    <row r="240" spans="2:18" s="37" customFormat="1" outlineLevel="1">
      <c r="B240" s="69">
        <v>45777</v>
      </c>
      <c r="D240" s="95"/>
      <c r="E240" s="63">
        <f t="shared" si="37"/>
        <v>52761311.789999977</v>
      </c>
      <c r="F240" s="96">
        <f t="shared" si="38"/>
        <v>141761311.78999987</v>
      </c>
      <c r="G240" s="70">
        <f t="shared" si="46"/>
        <v>141761311.7899999</v>
      </c>
      <c r="H240" s="74">
        <f t="shared" si="41"/>
        <v>590672.13245833281</v>
      </c>
      <c r="I240" s="72">
        <f t="shared" si="43"/>
        <v>-95688885.458249539</v>
      </c>
      <c r="J240" s="70">
        <f t="shared" si="42"/>
        <v>-92144852.663499579</v>
      </c>
      <c r="K240" s="70">
        <f t="shared" si="39"/>
        <v>49616459.126500323</v>
      </c>
      <c r="L240" s="65">
        <f t="shared" si="36"/>
        <v>46072426.331750333</v>
      </c>
      <c r="M240" s="66">
        <f t="shared" si="45"/>
        <v>46166.147816249977</v>
      </c>
      <c r="N240" s="72">
        <f t="shared" si="47"/>
        <v>-8709821.0843325332</v>
      </c>
      <c r="O240" s="70">
        <f t="shared" si="44"/>
        <v>-8986817.9712300338</v>
      </c>
      <c r="P240" s="67">
        <f t="shared" si="40"/>
        <v>40629641.155270293</v>
      </c>
      <c r="R240" s="38"/>
    </row>
    <row r="241" spans="2:18" s="37" customFormat="1" outlineLevel="1">
      <c r="B241" s="69">
        <v>45808</v>
      </c>
      <c r="D241" s="95"/>
      <c r="E241" s="63">
        <f t="shared" si="37"/>
        <v>52761311.789999977</v>
      </c>
      <c r="F241" s="96">
        <f t="shared" si="38"/>
        <v>141761311.78999987</v>
      </c>
      <c r="G241" s="70">
        <f t="shared" si="46"/>
        <v>141761311.7899999</v>
      </c>
      <c r="H241" s="74">
        <f t="shared" si="41"/>
        <v>590672.13245833281</v>
      </c>
      <c r="I241" s="72">
        <f t="shared" si="43"/>
        <v>-96279557.590707868</v>
      </c>
      <c r="J241" s="70">
        <f t="shared" si="42"/>
        <v>-92735524.795957908</v>
      </c>
      <c r="K241" s="70">
        <f t="shared" si="39"/>
        <v>49025786.994041994</v>
      </c>
      <c r="L241" s="65">
        <f t="shared" si="36"/>
        <v>45481754.199292004</v>
      </c>
      <c r="M241" s="66">
        <f t="shared" si="45"/>
        <v>46166.147816249977</v>
      </c>
      <c r="N241" s="72">
        <f t="shared" si="47"/>
        <v>-8663654.9365162831</v>
      </c>
      <c r="O241" s="70">
        <f t="shared" si="44"/>
        <v>-8940651.8234137837</v>
      </c>
      <c r="P241" s="67">
        <f t="shared" si="40"/>
        <v>40085135.170628212</v>
      </c>
      <c r="R241" s="38"/>
    </row>
    <row r="242" spans="2:18" s="37" customFormat="1" outlineLevel="1">
      <c r="B242" s="69">
        <v>45838</v>
      </c>
      <c r="D242" s="95"/>
      <c r="E242" s="63">
        <f t="shared" si="37"/>
        <v>52761311.789999977</v>
      </c>
      <c r="F242" s="96">
        <f t="shared" si="38"/>
        <v>141761311.78999987</v>
      </c>
      <c r="G242" s="70">
        <f t="shared" si="46"/>
        <v>141761311.7899999</v>
      </c>
      <c r="H242" s="74">
        <f t="shared" si="41"/>
        <v>590672.13245833281</v>
      </c>
      <c r="I242" s="72">
        <f t="shared" si="43"/>
        <v>-96870229.723166198</v>
      </c>
      <c r="J242" s="70">
        <f t="shared" si="42"/>
        <v>-93326196.928416237</v>
      </c>
      <c r="K242" s="70">
        <f t="shared" si="39"/>
        <v>48435114.861583665</v>
      </c>
      <c r="L242" s="65">
        <f t="shared" si="36"/>
        <v>44891082.066833675</v>
      </c>
      <c r="M242" s="66">
        <f t="shared" si="45"/>
        <v>46166.147816249977</v>
      </c>
      <c r="N242" s="72">
        <f t="shared" si="47"/>
        <v>-8617488.788700033</v>
      </c>
      <c r="O242" s="70">
        <f t="shared" si="44"/>
        <v>-8894485.6755975354</v>
      </c>
      <c r="P242" s="67">
        <f t="shared" si="40"/>
        <v>39540629.185986131</v>
      </c>
      <c r="R242" s="38"/>
    </row>
    <row r="243" spans="2:18" s="37" customFormat="1" outlineLevel="1">
      <c r="B243" s="69">
        <v>45869</v>
      </c>
      <c r="D243" s="95"/>
      <c r="E243" s="63">
        <f t="shared" si="37"/>
        <v>52761311.789999977</v>
      </c>
      <c r="F243" s="96">
        <f t="shared" si="38"/>
        <v>141761311.78999987</v>
      </c>
      <c r="G243" s="70">
        <f t="shared" si="46"/>
        <v>141761311.7899999</v>
      </c>
      <c r="H243" s="74">
        <f t="shared" si="41"/>
        <v>590672.13245833281</v>
      </c>
      <c r="I243" s="72">
        <f t="shared" si="43"/>
        <v>-97460901.855624527</v>
      </c>
      <c r="J243" s="70">
        <f t="shared" si="42"/>
        <v>-93916869.060874566</v>
      </c>
      <c r="K243" s="70">
        <f t="shared" si="39"/>
        <v>47844442.729125336</v>
      </c>
      <c r="L243" s="65">
        <f t="shared" si="36"/>
        <v>44300409.934375346</v>
      </c>
      <c r="M243" s="66">
        <f t="shared" si="45"/>
        <v>46166.147816249977</v>
      </c>
      <c r="N243" s="72">
        <f t="shared" si="47"/>
        <v>-8571322.6408837829</v>
      </c>
      <c r="O243" s="70">
        <f t="shared" si="44"/>
        <v>-8848319.5277812835</v>
      </c>
      <c r="P243" s="67">
        <f t="shared" si="40"/>
        <v>38996123.20134405</v>
      </c>
      <c r="R243" s="38"/>
    </row>
    <row r="244" spans="2:18" s="37" customFormat="1" outlineLevel="1">
      <c r="B244" s="69">
        <v>45900</v>
      </c>
      <c r="D244" s="95"/>
      <c r="E244" s="63">
        <f t="shared" si="37"/>
        <v>52761311.789999977</v>
      </c>
      <c r="F244" s="96">
        <f t="shared" si="38"/>
        <v>141761311.78999987</v>
      </c>
      <c r="G244" s="70">
        <f t="shared" si="46"/>
        <v>141761311.7899999</v>
      </c>
      <c r="H244" s="74">
        <f t="shared" si="41"/>
        <v>590672.13245833281</v>
      </c>
      <c r="I244" s="72">
        <f t="shared" si="43"/>
        <v>-98051573.988082856</v>
      </c>
      <c r="J244" s="70">
        <f t="shared" si="42"/>
        <v>-94507541.193332896</v>
      </c>
      <c r="K244" s="70">
        <f t="shared" si="39"/>
        <v>47253770.596667007</v>
      </c>
      <c r="L244" s="65">
        <f t="shared" si="36"/>
        <v>43709737.801917017</v>
      </c>
      <c r="M244" s="66">
        <f t="shared" si="45"/>
        <v>46166.147816249977</v>
      </c>
      <c r="N244" s="72">
        <f t="shared" si="47"/>
        <v>-8525156.4930675328</v>
      </c>
      <c r="O244" s="70">
        <f t="shared" si="44"/>
        <v>-8802153.3799650352</v>
      </c>
      <c r="P244" s="67">
        <f t="shared" si="40"/>
        <v>38451617.21670197</v>
      </c>
      <c r="R244" s="38"/>
    </row>
    <row r="245" spans="2:18" s="37" customFormat="1" outlineLevel="1">
      <c r="B245" s="69">
        <v>45930</v>
      </c>
      <c r="D245" s="95"/>
      <c r="E245" s="63">
        <f t="shared" si="37"/>
        <v>52761311.789999977</v>
      </c>
      <c r="F245" s="96">
        <f t="shared" si="38"/>
        <v>141761311.78999987</v>
      </c>
      <c r="G245" s="70">
        <f t="shared" si="46"/>
        <v>141761311.7899999</v>
      </c>
      <c r="H245" s="74">
        <f t="shared" si="41"/>
        <v>590672.13245833281</v>
      </c>
      <c r="I245" s="72">
        <f t="shared" si="43"/>
        <v>-98642246.120541185</v>
      </c>
      <c r="J245" s="70">
        <f t="shared" si="42"/>
        <v>-95098213.325791225</v>
      </c>
      <c r="K245" s="70">
        <f t="shared" si="39"/>
        <v>46663098.464208677</v>
      </c>
      <c r="L245" s="65">
        <f t="shared" si="36"/>
        <v>43119065.669458687</v>
      </c>
      <c r="M245" s="66">
        <f t="shared" si="45"/>
        <v>46166.147816249977</v>
      </c>
      <c r="N245" s="72">
        <f t="shared" si="47"/>
        <v>-8478990.3452512827</v>
      </c>
      <c r="O245" s="70">
        <f t="shared" si="44"/>
        <v>-8755987.2321487833</v>
      </c>
      <c r="P245" s="67">
        <f t="shared" si="40"/>
        <v>37907111.232059896</v>
      </c>
      <c r="R245" s="38"/>
    </row>
    <row r="246" spans="2:18" s="37" customFormat="1" outlineLevel="1">
      <c r="B246" s="69">
        <v>45961</v>
      </c>
      <c r="D246" s="95"/>
      <c r="E246" s="63">
        <f t="shared" si="37"/>
        <v>52761311.789999977</v>
      </c>
      <c r="F246" s="96">
        <f t="shared" si="38"/>
        <v>141761311.78999987</v>
      </c>
      <c r="G246" s="70">
        <f t="shared" si="46"/>
        <v>141761311.7899999</v>
      </c>
      <c r="H246" s="74">
        <f t="shared" si="41"/>
        <v>590672.13245833281</v>
      </c>
      <c r="I246" s="72">
        <f t="shared" si="43"/>
        <v>-99232918.252999514</v>
      </c>
      <c r="J246" s="70">
        <f t="shared" si="42"/>
        <v>-95688885.458249554</v>
      </c>
      <c r="K246" s="70">
        <f t="shared" si="39"/>
        <v>46072426.331750348</v>
      </c>
      <c r="L246" s="65">
        <f t="shared" si="36"/>
        <v>42528393.537000358</v>
      </c>
      <c r="M246" s="66">
        <f t="shared" si="45"/>
        <v>46166.147816249977</v>
      </c>
      <c r="N246" s="72">
        <f t="shared" si="47"/>
        <v>-8432824.1974350326</v>
      </c>
      <c r="O246" s="70">
        <f t="shared" si="44"/>
        <v>-8709821.0843325332</v>
      </c>
      <c r="P246" s="67">
        <f t="shared" si="40"/>
        <v>37362605.247417815</v>
      </c>
      <c r="R246" s="38"/>
    </row>
    <row r="247" spans="2:18" s="37" customFormat="1" outlineLevel="1">
      <c r="B247" s="69">
        <v>45991</v>
      </c>
      <c r="D247" s="95"/>
      <c r="E247" s="63">
        <f t="shared" si="37"/>
        <v>52761311.789999977</v>
      </c>
      <c r="F247" s="96">
        <f t="shared" si="38"/>
        <v>141761311.78999987</v>
      </c>
      <c r="G247" s="70">
        <f t="shared" si="46"/>
        <v>141761311.7899999</v>
      </c>
      <c r="H247" s="74">
        <f t="shared" si="41"/>
        <v>590672.13245833281</v>
      </c>
      <c r="I247" s="72">
        <f t="shared" si="43"/>
        <v>-99823590.385457844</v>
      </c>
      <c r="J247" s="70">
        <f t="shared" si="42"/>
        <v>-96279557.590707883</v>
      </c>
      <c r="K247" s="70">
        <f t="shared" si="39"/>
        <v>45481754.199292019</v>
      </c>
      <c r="L247" s="65">
        <f t="shared" si="36"/>
        <v>41937721.404542029</v>
      </c>
      <c r="M247" s="66">
        <f t="shared" si="45"/>
        <v>46166.147816249977</v>
      </c>
      <c r="N247" s="72">
        <f t="shared" si="47"/>
        <v>-8386658.0496187825</v>
      </c>
      <c r="O247" s="70">
        <f t="shared" si="44"/>
        <v>-8663654.9365162831</v>
      </c>
      <c r="P247" s="67">
        <f t="shared" si="40"/>
        <v>36818099.262775734</v>
      </c>
      <c r="R247" s="38"/>
    </row>
    <row r="248" spans="2:18" outlineLevel="1">
      <c r="B248" s="69">
        <v>46022</v>
      </c>
      <c r="D248" s="95"/>
      <c r="E248" s="63">
        <f t="shared" si="37"/>
        <v>52761311.789999977</v>
      </c>
      <c r="F248" s="96">
        <f t="shared" si="38"/>
        <v>141761311.78999987</v>
      </c>
      <c r="G248" s="70">
        <f t="shared" si="46"/>
        <v>141761311.7899999</v>
      </c>
      <c r="H248" s="74">
        <f t="shared" si="41"/>
        <v>590672.13245833281</v>
      </c>
      <c r="I248" s="72">
        <f t="shared" si="43"/>
        <v>-100414262.51791617</v>
      </c>
      <c r="J248" s="70">
        <f t="shared" si="42"/>
        <v>-96870229.723166212</v>
      </c>
      <c r="K248" s="70">
        <f t="shared" si="39"/>
        <v>44891082.06683369</v>
      </c>
      <c r="L248" s="65">
        <f t="shared" si="36"/>
        <v>41347049.2720837</v>
      </c>
      <c r="M248" s="66">
        <f t="shared" si="45"/>
        <v>46166.147816249977</v>
      </c>
      <c r="N248" s="72">
        <f t="shared" si="47"/>
        <v>-8340491.9018025324</v>
      </c>
      <c r="O248" s="70">
        <f t="shared" si="44"/>
        <v>-8617488.788700033</v>
      </c>
      <c r="P248" s="67">
        <f t="shared" si="40"/>
        <v>36273593.278133661</v>
      </c>
    </row>
    <row r="249" spans="2:18" outlineLevel="1">
      <c r="B249" s="69">
        <v>46053</v>
      </c>
      <c r="D249" s="95"/>
      <c r="E249" s="63">
        <f t="shared" si="37"/>
        <v>52761311.789999977</v>
      </c>
      <c r="F249" s="96">
        <f t="shared" si="38"/>
        <v>141761311.78999987</v>
      </c>
      <c r="G249" s="70">
        <f t="shared" si="46"/>
        <v>141761311.7899999</v>
      </c>
      <c r="H249" s="74">
        <f t="shared" si="41"/>
        <v>590672.13245833281</v>
      </c>
      <c r="I249" s="72">
        <f t="shared" si="43"/>
        <v>-101004934.6503745</v>
      </c>
      <c r="J249" s="70">
        <f t="shared" si="42"/>
        <v>-97460901.855624542</v>
      </c>
      <c r="K249" s="70">
        <f t="shared" si="39"/>
        <v>44300409.934375361</v>
      </c>
      <c r="L249" s="65">
        <f t="shared" si="36"/>
        <v>40756377.139625371</v>
      </c>
      <c r="M249" s="66">
        <f t="shared" ref="M249:M280" si="48">(E249/240*0.21)</f>
        <v>46166.147816249977</v>
      </c>
      <c r="N249" s="72">
        <f t="shared" si="47"/>
        <v>-8294325.7539862823</v>
      </c>
      <c r="O249" s="70">
        <f t="shared" si="44"/>
        <v>-8571322.6408837847</v>
      </c>
      <c r="P249" s="67">
        <f t="shared" si="40"/>
        <v>35729087.293491572</v>
      </c>
    </row>
    <row r="250" spans="2:18" outlineLevel="1">
      <c r="B250" s="69">
        <v>46081</v>
      </c>
      <c r="D250" s="95"/>
      <c r="E250" s="63">
        <f t="shared" si="37"/>
        <v>52761311.789999977</v>
      </c>
      <c r="F250" s="96">
        <f t="shared" si="38"/>
        <v>141761311.78999987</v>
      </c>
      <c r="G250" s="70">
        <f t="shared" si="46"/>
        <v>141761311.7899999</v>
      </c>
      <c r="H250" s="74">
        <f t="shared" si="41"/>
        <v>590672.13245833281</v>
      </c>
      <c r="I250" s="72">
        <f t="shared" si="43"/>
        <v>-101595606.78283283</v>
      </c>
      <c r="J250" s="70">
        <f t="shared" si="42"/>
        <v>-98051573.988082871</v>
      </c>
      <c r="K250" s="70">
        <f t="shared" si="39"/>
        <v>43709737.801917031</v>
      </c>
      <c r="L250" s="65">
        <f t="shared" si="36"/>
        <v>40165705.007167041</v>
      </c>
      <c r="M250" s="66">
        <f t="shared" si="48"/>
        <v>46166.147816249977</v>
      </c>
      <c r="N250" s="72">
        <f t="shared" si="47"/>
        <v>-8248159.6061700322</v>
      </c>
      <c r="O250" s="70">
        <f t="shared" si="44"/>
        <v>-8525156.4930675346</v>
      </c>
      <c r="P250" s="67">
        <f t="shared" si="40"/>
        <v>35184581.308849499</v>
      </c>
    </row>
    <row r="251" spans="2:18" outlineLevel="1">
      <c r="B251" s="69">
        <v>46112</v>
      </c>
      <c r="D251" s="95"/>
      <c r="E251" s="63">
        <f t="shared" si="37"/>
        <v>52761311.789999977</v>
      </c>
      <c r="F251" s="96">
        <f t="shared" si="38"/>
        <v>141761311.78999987</v>
      </c>
      <c r="G251" s="70">
        <f t="shared" si="46"/>
        <v>141761311.7899999</v>
      </c>
      <c r="H251" s="74">
        <f t="shared" si="41"/>
        <v>590672.13245833281</v>
      </c>
      <c r="I251" s="72">
        <f t="shared" si="43"/>
        <v>-102186278.91529116</v>
      </c>
      <c r="J251" s="70">
        <f t="shared" si="42"/>
        <v>-98642246.1205412</v>
      </c>
      <c r="K251" s="70">
        <f t="shared" si="39"/>
        <v>43119065.669458702</v>
      </c>
      <c r="L251" s="65">
        <f t="shared" si="36"/>
        <v>39575032.874708712</v>
      </c>
      <c r="M251" s="66">
        <f t="shared" si="48"/>
        <v>46166.147816249977</v>
      </c>
      <c r="N251" s="72">
        <f t="shared" si="47"/>
        <v>-8201993.4583537821</v>
      </c>
      <c r="O251" s="70">
        <f t="shared" si="44"/>
        <v>-8478990.3452512827</v>
      </c>
      <c r="P251" s="67">
        <f t="shared" si="40"/>
        <v>34640075.324207418</v>
      </c>
    </row>
    <row r="252" spans="2:18" outlineLevel="1">
      <c r="B252" s="69">
        <v>46142</v>
      </c>
      <c r="D252" s="95"/>
      <c r="E252" s="63">
        <f t="shared" si="37"/>
        <v>52761311.789999977</v>
      </c>
      <c r="F252" s="96">
        <f t="shared" si="38"/>
        <v>141761311.78999987</v>
      </c>
      <c r="G252" s="70">
        <f t="shared" si="46"/>
        <v>141761311.7899999</v>
      </c>
      <c r="H252" s="74">
        <f t="shared" si="41"/>
        <v>590672.13245833281</v>
      </c>
      <c r="I252" s="72">
        <f t="shared" si="43"/>
        <v>-102776951.04774949</v>
      </c>
      <c r="J252" s="70">
        <f t="shared" si="42"/>
        <v>-99232918.252999529</v>
      </c>
      <c r="K252" s="70">
        <f t="shared" si="39"/>
        <v>42528393.537000373</v>
      </c>
      <c r="L252" s="65">
        <f t="shared" si="36"/>
        <v>38984360.742250383</v>
      </c>
      <c r="M252" s="66">
        <f t="shared" si="48"/>
        <v>46166.147816249977</v>
      </c>
      <c r="N252" s="72">
        <f t="shared" si="47"/>
        <v>-8155827.310537532</v>
      </c>
      <c r="O252" s="70">
        <f t="shared" si="44"/>
        <v>-8432824.1974350344</v>
      </c>
      <c r="P252" s="67">
        <f t="shared" si="40"/>
        <v>34095569.339565337</v>
      </c>
    </row>
    <row r="253" spans="2:18" outlineLevel="1">
      <c r="B253" s="69">
        <v>46173</v>
      </c>
      <c r="D253" s="95"/>
      <c r="E253" s="63">
        <f t="shared" si="37"/>
        <v>52761311.789999977</v>
      </c>
      <c r="F253" s="96">
        <f t="shared" si="38"/>
        <v>141761311.78999987</v>
      </c>
      <c r="G253" s="70">
        <f t="shared" si="46"/>
        <v>141761311.7899999</v>
      </c>
      <c r="H253" s="74">
        <f t="shared" si="41"/>
        <v>590672.13245833281</v>
      </c>
      <c r="I253" s="72">
        <f t="shared" si="43"/>
        <v>-103367623.18020782</v>
      </c>
      <c r="J253" s="70">
        <f t="shared" si="42"/>
        <v>-99823590.385457858</v>
      </c>
      <c r="K253" s="70">
        <f t="shared" si="39"/>
        <v>41937721.404542044</v>
      </c>
      <c r="L253" s="65">
        <f t="shared" si="36"/>
        <v>38393688.609792054</v>
      </c>
      <c r="M253" s="66">
        <f t="shared" si="48"/>
        <v>46166.147816249977</v>
      </c>
      <c r="N253" s="72">
        <f t="shared" si="47"/>
        <v>-8109661.1627212819</v>
      </c>
      <c r="O253" s="70">
        <f t="shared" si="44"/>
        <v>-8386658.0496187815</v>
      </c>
      <c r="P253" s="67">
        <f t="shared" si="40"/>
        <v>33551063.354923263</v>
      </c>
    </row>
    <row r="254" spans="2:18" outlineLevel="1">
      <c r="B254" s="69">
        <v>46203</v>
      </c>
      <c r="D254" s="95"/>
      <c r="E254" s="63">
        <f t="shared" si="37"/>
        <v>52761311.789999977</v>
      </c>
      <c r="F254" s="96">
        <f t="shared" si="38"/>
        <v>141761311.78999987</v>
      </c>
      <c r="G254" s="70">
        <f t="shared" si="46"/>
        <v>141761311.7899999</v>
      </c>
      <c r="H254" s="74">
        <f t="shared" si="41"/>
        <v>590672.13245833281</v>
      </c>
      <c r="I254" s="72">
        <f t="shared" si="43"/>
        <v>-103958295.31266615</v>
      </c>
      <c r="J254" s="70">
        <f t="shared" si="42"/>
        <v>-100414262.51791619</v>
      </c>
      <c r="K254" s="70">
        <f t="shared" si="39"/>
        <v>41347049.272083715</v>
      </c>
      <c r="L254" s="65">
        <f t="shared" si="36"/>
        <v>37803016.477333724</v>
      </c>
      <c r="M254" s="66">
        <f t="shared" si="48"/>
        <v>46166.147816249977</v>
      </c>
      <c r="N254" s="72">
        <f t="shared" si="47"/>
        <v>-8063495.0149050318</v>
      </c>
      <c r="O254" s="70">
        <f t="shared" si="44"/>
        <v>-8340491.9018025324</v>
      </c>
      <c r="P254" s="67">
        <f t="shared" si="40"/>
        <v>33006557.370281182</v>
      </c>
    </row>
    <row r="255" spans="2:18" outlineLevel="1">
      <c r="B255" s="69">
        <v>46234</v>
      </c>
      <c r="D255" s="95"/>
      <c r="E255" s="63">
        <f t="shared" si="37"/>
        <v>52761311.789999977</v>
      </c>
      <c r="F255" s="96">
        <f t="shared" si="38"/>
        <v>141761311.78999987</v>
      </c>
      <c r="G255" s="70">
        <f t="shared" si="46"/>
        <v>141761311.7899999</v>
      </c>
      <c r="H255" s="74">
        <f t="shared" si="41"/>
        <v>590672.13245833281</v>
      </c>
      <c r="I255" s="72">
        <f t="shared" si="43"/>
        <v>-104548967.44512448</v>
      </c>
      <c r="J255" s="70">
        <f t="shared" si="42"/>
        <v>-101004934.65037452</v>
      </c>
      <c r="K255" s="70">
        <f t="shared" si="39"/>
        <v>40756377.139625385</v>
      </c>
      <c r="L255" s="65">
        <f t="shared" si="36"/>
        <v>37212344.344875395</v>
      </c>
      <c r="M255" s="66">
        <f t="shared" si="48"/>
        <v>46166.147816249977</v>
      </c>
      <c r="N255" s="72">
        <f t="shared" si="47"/>
        <v>-8017328.8670887817</v>
      </c>
      <c r="O255" s="70">
        <f t="shared" si="44"/>
        <v>-8294325.7539862832</v>
      </c>
      <c r="P255" s="67">
        <f t="shared" si="40"/>
        <v>32462051.385639101</v>
      </c>
    </row>
    <row r="256" spans="2:18" outlineLevel="1">
      <c r="B256" s="69">
        <v>46265</v>
      </c>
      <c r="D256" s="95"/>
      <c r="E256" s="63">
        <f t="shared" si="37"/>
        <v>52761311.789999977</v>
      </c>
      <c r="F256" s="96">
        <f t="shared" si="38"/>
        <v>141761311.78999987</v>
      </c>
      <c r="G256" s="70">
        <f t="shared" si="46"/>
        <v>141761311.7899999</v>
      </c>
      <c r="H256" s="74">
        <f t="shared" si="41"/>
        <v>590672.13245833281</v>
      </c>
      <c r="I256" s="72">
        <f t="shared" si="43"/>
        <v>-105139639.57758281</v>
      </c>
      <c r="J256" s="70">
        <f t="shared" si="42"/>
        <v>-101595606.78283285</v>
      </c>
      <c r="K256" s="70">
        <f t="shared" si="39"/>
        <v>40165705.007167056</v>
      </c>
      <c r="L256" s="65">
        <f t="shared" si="36"/>
        <v>36621672.212417066</v>
      </c>
      <c r="M256" s="66">
        <f t="shared" si="48"/>
        <v>46166.147816249977</v>
      </c>
      <c r="N256" s="72">
        <f t="shared" si="47"/>
        <v>-7971162.7192725316</v>
      </c>
      <c r="O256" s="70">
        <f t="shared" si="44"/>
        <v>-8248159.6061700322</v>
      </c>
      <c r="P256" s="67">
        <f t="shared" si="40"/>
        <v>31917545.400997024</v>
      </c>
    </row>
    <row r="257" spans="2:16" outlineLevel="1">
      <c r="B257" s="69">
        <v>46295</v>
      </c>
      <c r="D257" s="95"/>
      <c r="E257" s="63">
        <f t="shared" si="37"/>
        <v>52761311.789999977</v>
      </c>
      <c r="F257" s="96">
        <f t="shared" si="38"/>
        <v>141761311.78999987</v>
      </c>
      <c r="G257" s="70">
        <f t="shared" si="46"/>
        <v>141761311.7899999</v>
      </c>
      <c r="H257" s="74">
        <f t="shared" si="41"/>
        <v>590672.13245833281</v>
      </c>
      <c r="I257" s="72">
        <f t="shared" si="43"/>
        <v>-105730311.71004114</v>
      </c>
      <c r="J257" s="70">
        <f t="shared" si="42"/>
        <v>-102186278.91529118</v>
      </c>
      <c r="K257" s="70">
        <f t="shared" si="39"/>
        <v>39575032.874708727</v>
      </c>
      <c r="L257" s="65">
        <f t="shared" si="36"/>
        <v>36031000.079958737</v>
      </c>
      <c r="M257" s="66">
        <f t="shared" si="48"/>
        <v>46166.147816249977</v>
      </c>
      <c r="N257" s="72">
        <f t="shared" si="47"/>
        <v>-7924996.5714562815</v>
      </c>
      <c r="O257" s="70">
        <f t="shared" si="44"/>
        <v>-8201993.458353783</v>
      </c>
      <c r="P257" s="67">
        <f t="shared" si="40"/>
        <v>31373039.416354943</v>
      </c>
    </row>
    <row r="258" spans="2:16" outlineLevel="1">
      <c r="B258" s="69">
        <v>46326</v>
      </c>
      <c r="D258" s="95"/>
      <c r="E258" s="63">
        <f t="shared" si="37"/>
        <v>52761311.789999977</v>
      </c>
      <c r="F258" s="96">
        <f t="shared" si="38"/>
        <v>141761311.78999987</v>
      </c>
      <c r="G258" s="70">
        <f t="shared" si="46"/>
        <v>141761311.7899999</v>
      </c>
      <c r="H258" s="74">
        <f t="shared" si="41"/>
        <v>590672.13245833281</v>
      </c>
      <c r="I258" s="72">
        <f t="shared" si="43"/>
        <v>-106320983.84249946</v>
      </c>
      <c r="J258" s="70">
        <f t="shared" si="42"/>
        <v>-102776951.0477495</v>
      </c>
      <c r="K258" s="70">
        <f t="shared" si="39"/>
        <v>38984360.742250398</v>
      </c>
      <c r="L258" s="65">
        <f t="shared" si="36"/>
        <v>35440327.947500408</v>
      </c>
      <c r="M258" s="66">
        <f t="shared" si="48"/>
        <v>46166.147816249977</v>
      </c>
      <c r="N258" s="72">
        <f t="shared" si="47"/>
        <v>-7878830.4236400314</v>
      </c>
      <c r="O258" s="70">
        <f t="shared" si="44"/>
        <v>-8155827.3105375329</v>
      </c>
      <c r="P258" s="67">
        <f t="shared" si="40"/>
        <v>30828533.431712866</v>
      </c>
    </row>
    <row r="259" spans="2:16" outlineLevel="1">
      <c r="B259" s="69">
        <v>46356</v>
      </c>
      <c r="D259" s="95"/>
      <c r="E259" s="63">
        <f t="shared" si="37"/>
        <v>52761311.789999977</v>
      </c>
      <c r="F259" s="96">
        <f t="shared" si="38"/>
        <v>141761311.78999987</v>
      </c>
      <c r="G259" s="70">
        <f t="shared" si="46"/>
        <v>141761311.7899999</v>
      </c>
      <c r="H259" s="74">
        <f t="shared" si="41"/>
        <v>590672.13245833281</v>
      </c>
      <c r="I259" s="72">
        <f t="shared" si="43"/>
        <v>-106911655.97495779</v>
      </c>
      <c r="J259" s="70">
        <f t="shared" si="42"/>
        <v>-103367623.18020783</v>
      </c>
      <c r="K259" s="70">
        <f t="shared" si="39"/>
        <v>38393688.609792069</v>
      </c>
      <c r="L259" s="65">
        <f t="shared" si="36"/>
        <v>34849655.815042078</v>
      </c>
      <c r="M259" s="66">
        <f t="shared" si="48"/>
        <v>46166.147816249977</v>
      </c>
      <c r="N259" s="72">
        <f t="shared" si="47"/>
        <v>-7832664.2758237813</v>
      </c>
      <c r="O259" s="70">
        <f t="shared" si="44"/>
        <v>-8109661.16272128</v>
      </c>
      <c r="P259" s="67">
        <f t="shared" si="40"/>
        <v>30284027.447070789</v>
      </c>
    </row>
    <row r="260" spans="2:16" outlineLevel="1">
      <c r="B260" s="69">
        <v>46387</v>
      </c>
      <c r="D260" s="95"/>
      <c r="E260" s="63">
        <f t="shared" si="37"/>
        <v>52761311.789999977</v>
      </c>
      <c r="F260" s="96">
        <f t="shared" si="38"/>
        <v>141761311.78999987</v>
      </c>
      <c r="G260" s="70">
        <f t="shared" si="46"/>
        <v>141761311.7899999</v>
      </c>
      <c r="H260" s="74">
        <f t="shared" si="41"/>
        <v>590672.13245833281</v>
      </c>
      <c r="I260" s="72">
        <f t="shared" si="43"/>
        <v>-107502328.10741612</v>
      </c>
      <c r="J260" s="70">
        <f t="shared" si="42"/>
        <v>-103958295.31266616</v>
      </c>
      <c r="K260" s="70">
        <f t="shared" si="39"/>
        <v>37803016.477333739</v>
      </c>
      <c r="L260" s="65">
        <f t="shared" si="36"/>
        <v>34258983.682583749</v>
      </c>
      <c r="M260" s="66">
        <f t="shared" si="48"/>
        <v>46166.147816249977</v>
      </c>
      <c r="N260" s="72">
        <f t="shared" si="47"/>
        <v>-7786498.1280075312</v>
      </c>
      <c r="O260" s="70">
        <f t="shared" si="44"/>
        <v>-8063495.0149050318</v>
      </c>
      <c r="P260" s="67">
        <f t="shared" si="40"/>
        <v>29739521.462428708</v>
      </c>
    </row>
    <row r="261" spans="2:16" outlineLevel="1">
      <c r="B261" s="69">
        <v>46418</v>
      </c>
      <c r="D261" s="95"/>
      <c r="E261" s="63">
        <f t="shared" si="37"/>
        <v>52761311.789999977</v>
      </c>
      <c r="F261" s="96">
        <f t="shared" si="38"/>
        <v>141761311.78999987</v>
      </c>
      <c r="G261" s="70">
        <f t="shared" si="46"/>
        <v>141761311.7899999</v>
      </c>
      <c r="H261" s="74">
        <f t="shared" si="41"/>
        <v>590672.13245833281</v>
      </c>
      <c r="I261" s="72">
        <f t="shared" si="43"/>
        <v>-108093000.23987445</v>
      </c>
      <c r="J261" s="70">
        <f t="shared" si="42"/>
        <v>-104548967.44512449</v>
      </c>
      <c r="K261" s="70">
        <f t="shared" si="39"/>
        <v>37212344.34487541</v>
      </c>
      <c r="L261" s="65">
        <f t="shared" si="36"/>
        <v>33668311.55012542</v>
      </c>
      <c r="M261" s="66">
        <f t="shared" si="48"/>
        <v>46166.147816249977</v>
      </c>
      <c r="N261" s="72">
        <f t="shared" si="47"/>
        <v>-7740331.9801912811</v>
      </c>
      <c r="O261" s="70">
        <f t="shared" si="44"/>
        <v>-8017328.8670887826</v>
      </c>
      <c r="P261" s="67">
        <f t="shared" si="40"/>
        <v>29195015.477786627</v>
      </c>
    </row>
    <row r="262" spans="2:16" outlineLevel="1">
      <c r="B262" s="69">
        <v>46446</v>
      </c>
      <c r="D262" s="95"/>
      <c r="E262" s="63">
        <f t="shared" si="37"/>
        <v>52761311.789999977</v>
      </c>
      <c r="F262" s="96">
        <f t="shared" si="38"/>
        <v>141761311.78999987</v>
      </c>
      <c r="G262" s="70">
        <f t="shared" si="46"/>
        <v>141761311.7899999</v>
      </c>
      <c r="H262" s="74">
        <f t="shared" si="41"/>
        <v>590672.13245833281</v>
      </c>
      <c r="I262" s="72">
        <f t="shared" si="43"/>
        <v>-108683672.37233278</v>
      </c>
      <c r="J262" s="70">
        <f t="shared" si="42"/>
        <v>-105139639.57758282</v>
      </c>
      <c r="K262" s="70">
        <f t="shared" si="39"/>
        <v>36621672.212417081</v>
      </c>
      <c r="L262" s="65">
        <f t="shared" si="36"/>
        <v>33077639.417667091</v>
      </c>
      <c r="M262" s="66">
        <f t="shared" si="48"/>
        <v>46166.147816249977</v>
      </c>
      <c r="N262" s="72">
        <f t="shared" si="47"/>
        <v>-7694165.832375031</v>
      </c>
      <c r="O262" s="70">
        <f t="shared" si="44"/>
        <v>-7971162.7192725316</v>
      </c>
      <c r="P262" s="67">
        <f t="shared" si="40"/>
        <v>28650509.493144549</v>
      </c>
    </row>
    <row r="263" spans="2:16" outlineLevel="1">
      <c r="B263" s="69">
        <v>46477</v>
      </c>
      <c r="D263" s="95"/>
      <c r="E263" s="63">
        <f t="shared" si="37"/>
        <v>52761311.789999977</v>
      </c>
      <c r="F263" s="96">
        <f t="shared" si="38"/>
        <v>141761311.78999987</v>
      </c>
      <c r="G263" s="70">
        <f t="shared" si="46"/>
        <v>141761311.7899999</v>
      </c>
      <c r="H263" s="74">
        <f t="shared" si="41"/>
        <v>590672.13245833281</v>
      </c>
      <c r="I263" s="72">
        <f t="shared" si="43"/>
        <v>-109274344.50479111</v>
      </c>
      <c r="J263" s="70">
        <f t="shared" si="42"/>
        <v>-105730311.71004115</v>
      </c>
      <c r="K263" s="70">
        <f t="shared" si="39"/>
        <v>36031000.079958752</v>
      </c>
      <c r="L263" s="65">
        <f t="shared" si="36"/>
        <v>32486967.285208762</v>
      </c>
      <c r="M263" s="66">
        <f t="shared" si="48"/>
        <v>46166.147816249977</v>
      </c>
      <c r="N263" s="72">
        <f t="shared" si="47"/>
        <v>-7647999.6845587809</v>
      </c>
      <c r="O263" s="70">
        <f t="shared" si="44"/>
        <v>-7924996.5714562805</v>
      </c>
      <c r="P263" s="67">
        <f t="shared" si="40"/>
        <v>28106003.508502472</v>
      </c>
    </row>
    <row r="264" spans="2:16" outlineLevel="1">
      <c r="B264" s="69">
        <v>46507</v>
      </c>
      <c r="D264" s="95"/>
      <c r="E264" s="63">
        <f t="shared" si="37"/>
        <v>52761311.789999977</v>
      </c>
      <c r="F264" s="96">
        <f t="shared" si="38"/>
        <v>141761311.78999987</v>
      </c>
      <c r="G264" s="70">
        <f t="shared" si="46"/>
        <v>141761311.7899999</v>
      </c>
      <c r="H264" s="74">
        <f t="shared" si="41"/>
        <v>590672.13245833281</v>
      </c>
      <c r="I264" s="72">
        <f t="shared" si="43"/>
        <v>-109865016.63724944</v>
      </c>
      <c r="J264" s="70">
        <f t="shared" si="42"/>
        <v>-106320983.84249948</v>
      </c>
      <c r="K264" s="70">
        <f t="shared" si="39"/>
        <v>35440327.947500423</v>
      </c>
      <c r="L264" s="65">
        <f t="shared" si="36"/>
        <v>31896295.152750432</v>
      </c>
      <c r="M264" s="66">
        <f t="shared" si="48"/>
        <v>46166.147816249977</v>
      </c>
      <c r="N264" s="72">
        <f t="shared" si="47"/>
        <v>-7601833.5367425308</v>
      </c>
      <c r="O264" s="70">
        <f t="shared" si="44"/>
        <v>-7878830.4236400314</v>
      </c>
      <c r="P264" s="67">
        <f t="shared" si="40"/>
        <v>27561497.523860391</v>
      </c>
    </row>
    <row r="265" spans="2:16" outlineLevel="1">
      <c r="B265" s="69">
        <v>46538</v>
      </c>
      <c r="D265" s="95"/>
      <c r="E265" s="63">
        <f t="shared" si="37"/>
        <v>52761311.789999977</v>
      </c>
      <c r="F265" s="96">
        <f t="shared" si="38"/>
        <v>141761311.78999987</v>
      </c>
      <c r="G265" s="70">
        <f t="shared" si="46"/>
        <v>141761311.7899999</v>
      </c>
      <c r="H265" s="74">
        <f t="shared" si="41"/>
        <v>590672.13245833281</v>
      </c>
      <c r="I265" s="72">
        <f t="shared" si="43"/>
        <v>-110455688.76970777</v>
      </c>
      <c r="J265" s="70">
        <f t="shared" si="42"/>
        <v>-106911655.97495781</v>
      </c>
      <c r="K265" s="70">
        <f t="shared" si="39"/>
        <v>34849655.815042093</v>
      </c>
      <c r="L265" s="65">
        <f t="shared" si="36"/>
        <v>31305623.020292103</v>
      </c>
      <c r="M265" s="66">
        <f t="shared" si="48"/>
        <v>46166.147816249977</v>
      </c>
      <c r="N265" s="72">
        <f t="shared" si="47"/>
        <v>-7555667.3889262807</v>
      </c>
      <c r="O265" s="70">
        <f t="shared" si="44"/>
        <v>-7832664.2758237831</v>
      </c>
      <c r="P265" s="67">
        <f t="shared" si="40"/>
        <v>27016991.53921831</v>
      </c>
    </row>
    <row r="266" spans="2:16" outlineLevel="1">
      <c r="B266" s="69">
        <v>46568</v>
      </c>
      <c r="D266" s="95"/>
      <c r="E266" s="63">
        <f t="shared" si="37"/>
        <v>52761311.789999977</v>
      </c>
      <c r="F266" s="96">
        <f t="shared" si="38"/>
        <v>141761311.78999987</v>
      </c>
      <c r="G266" s="70">
        <f t="shared" si="46"/>
        <v>141761311.7899999</v>
      </c>
      <c r="H266" s="74">
        <f t="shared" si="41"/>
        <v>590672.13245833281</v>
      </c>
      <c r="I266" s="72">
        <f t="shared" si="43"/>
        <v>-111046360.9021661</v>
      </c>
      <c r="J266" s="70">
        <f t="shared" si="42"/>
        <v>-107502328.10741614</v>
      </c>
      <c r="K266" s="70">
        <f t="shared" si="39"/>
        <v>34258983.682583764</v>
      </c>
      <c r="L266" s="65">
        <f t="shared" si="36"/>
        <v>30714950.887833774</v>
      </c>
      <c r="M266" s="66">
        <f t="shared" si="48"/>
        <v>46166.147816249977</v>
      </c>
      <c r="N266" s="72">
        <f t="shared" si="47"/>
        <v>-7509501.2411100306</v>
      </c>
      <c r="O266" s="70">
        <f t="shared" si="44"/>
        <v>-7786498.1280075321</v>
      </c>
      <c r="P266" s="67">
        <f t="shared" si="40"/>
        <v>26472485.554576233</v>
      </c>
    </row>
    <row r="267" spans="2:16" outlineLevel="1">
      <c r="B267" s="69">
        <v>46599</v>
      </c>
      <c r="D267" s="95"/>
      <c r="E267" s="63">
        <f t="shared" si="37"/>
        <v>52761311.789999977</v>
      </c>
      <c r="F267" s="96">
        <f t="shared" si="38"/>
        <v>141761311.78999987</v>
      </c>
      <c r="G267" s="70">
        <f t="shared" si="46"/>
        <v>141761311.7899999</v>
      </c>
      <c r="H267" s="74">
        <f t="shared" si="41"/>
        <v>590672.13245833281</v>
      </c>
      <c r="I267" s="72">
        <f t="shared" si="43"/>
        <v>-111637033.03462443</v>
      </c>
      <c r="J267" s="70">
        <f t="shared" si="42"/>
        <v>-108093000.23987447</v>
      </c>
      <c r="K267" s="70">
        <f t="shared" si="39"/>
        <v>33668311.550125435</v>
      </c>
      <c r="L267" s="65">
        <f t="shared" si="36"/>
        <v>30124278.755375445</v>
      </c>
      <c r="M267" s="66">
        <f t="shared" si="48"/>
        <v>46166.147816249977</v>
      </c>
      <c r="N267" s="72">
        <f t="shared" si="47"/>
        <v>-7463335.0932937805</v>
      </c>
      <c r="O267" s="70">
        <f t="shared" si="44"/>
        <v>-7740331.9801912801</v>
      </c>
      <c r="P267" s="67">
        <f t="shared" si="40"/>
        <v>25927979.569934156</v>
      </c>
    </row>
    <row r="268" spans="2:16" outlineLevel="1">
      <c r="B268" s="69">
        <v>46630</v>
      </c>
      <c r="D268" s="95"/>
      <c r="E268" s="63">
        <f t="shared" si="37"/>
        <v>52761311.789999977</v>
      </c>
      <c r="F268" s="96">
        <f t="shared" si="38"/>
        <v>141761311.78999987</v>
      </c>
      <c r="G268" s="70">
        <f t="shared" si="46"/>
        <v>141761311.7899999</v>
      </c>
      <c r="H268" s="74">
        <f t="shared" si="41"/>
        <v>590672.13245833281</v>
      </c>
      <c r="I268" s="72">
        <f t="shared" si="43"/>
        <v>-112227705.16708276</v>
      </c>
      <c r="J268" s="70">
        <f t="shared" si="42"/>
        <v>-108683672.3723328</v>
      </c>
      <c r="K268" s="70">
        <f t="shared" si="39"/>
        <v>33077639.417667106</v>
      </c>
      <c r="L268" s="65">
        <f t="shared" si="36"/>
        <v>29533606.622917116</v>
      </c>
      <c r="M268" s="66">
        <f t="shared" si="48"/>
        <v>46166.147816249977</v>
      </c>
      <c r="N268" s="72">
        <f t="shared" si="47"/>
        <v>-7417168.9454775304</v>
      </c>
      <c r="O268" s="70">
        <f t="shared" si="44"/>
        <v>-7694165.832375031</v>
      </c>
      <c r="P268" s="67">
        <f t="shared" si="40"/>
        <v>25383473.585292075</v>
      </c>
    </row>
    <row r="269" spans="2:16" outlineLevel="1">
      <c r="B269" s="69">
        <v>46660</v>
      </c>
      <c r="D269" s="95"/>
      <c r="E269" s="63">
        <f t="shared" si="37"/>
        <v>52761311.789999977</v>
      </c>
      <c r="F269" s="96">
        <f t="shared" si="38"/>
        <v>141761311.78999987</v>
      </c>
      <c r="G269" s="70">
        <f t="shared" si="46"/>
        <v>141761311.7899999</v>
      </c>
      <c r="H269" s="74">
        <f t="shared" si="41"/>
        <v>590672.13245833281</v>
      </c>
      <c r="I269" s="72">
        <f t="shared" si="43"/>
        <v>-112818377.29954109</v>
      </c>
      <c r="J269" s="70">
        <f t="shared" si="42"/>
        <v>-109274344.50479113</v>
      </c>
      <c r="K269" s="70">
        <f t="shared" si="39"/>
        <v>32486967.285208777</v>
      </c>
      <c r="L269" s="65">
        <f t="shared" ref="L269:L316" si="49">F269+I269</f>
        <v>28942934.490458786</v>
      </c>
      <c r="M269" s="66">
        <f t="shared" si="48"/>
        <v>46166.147816249977</v>
      </c>
      <c r="N269" s="72">
        <f t="shared" si="47"/>
        <v>-7371002.7976612803</v>
      </c>
      <c r="O269" s="70">
        <f>(N257+N269+SUM(N258:N268)*2)/24</f>
        <v>-7647999.6845587818</v>
      </c>
      <c r="P269" s="67">
        <f>O269+K269</f>
        <v>24838967.600649994</v>
      </c>
    </row>
    <row r="270" spans="2:16" outlineLevel="1">
      <c r="B270" s="69">
        <v>46691</v>
      </c>
      <c r="D270" s="95"/>
      <c r="E270" s="63">
        <f t="shared" ref="E270:E330" si="50">D270+E269</f>
        <v>52761311.789999977</v>
      </c>
      <c r="F270" s="96">
        <f t="shared" si="38"/>
        <v>141761311.78999987</v>
      </c>
      <c r="G270" s="70">
        <f t="shared" si="46"/>
        <v>141761311.7899999</v>
      </c>
      <c r="H270" s="74">
        <f t="shared" si="41"/>
        <v>590672.13245833281</v>
      </c>
      <c r="I270" s="72">
        <f t="shared" si="43"/>
        <v>-113409049.43199942</v>
      </c>
      <c r="J270" s="70">
        <f t="shared" si="42"/>
        <v>-109865016.63724945</v>
      </c>
      <c r="K270" s="70">
        <f t="shared" si="39"/>
        <v>31896295.152750447</v>
      </c>
      <c r="L270" s="65">
        <f t="shared" si="49"/>
        <v>28352262.358000457</v>
      </c>
      <c r="M270" s="66">
        <f t="shared" si="48"/>
        <v>46166.147816249977</v>
      </c>
      <c r="N270" s="72">
        <f t="shared" si="47"/>
        <v>-7324836.6498450302</v>
      </c>
      <c r="O270" s="70">
        <f t="shared" ref="O270:O318" si="51">(N258+N270+SUM(N259:N269)*2)/24</f>
        <v>-7601833.5367425308</v>
      </c>
      <c r="P270" s="67">
        <f t="shared" ref="P270:P317" si="52">O270+K270</f>
        <v>24294461.616007917</v>
      </c>
    </row>
    <row r="271" spans="2:16" outlineLevel="1">
      <c r="B271" s="69">
        <v>46721</v>
      </c>
      <c r="D271" s="95"/>
      <c r="E271" s="63">
        <f t="shared" si="50"/>
        <v>52761311.789999977</v>
      </c>
      <c r="F271" s="96">
        <f t="shared" ref="F271:F330" si="53">F270+D271</f>
        <v>141761311.78999987</v>
      </c>
      <c r="G271" s="70">
        <f t="shared" si="46"/>
        <v>141761311.7899999</v>
      </c>
      <c r="H271" s="74">
        <f t="shared" si="41"/>
        <v>590672.13245833281</v>
      </c>
      <c r="I271" s="72">
        <f t="shared" si="43"/>
        <v>-113999721.56445774</v>
      </c>
      <c r="J271" s="70">
        <f t="shared" si="42"/>
        <v>-110455688.76970778</v>
      </c>
      <c r="K271" s="70">
        <f t="shared" ref="K271:K318" si="54">G271+J271</f>
        <v>31305623.020292118</v>
      </c>
      <c r="L271" s="65">
        <f t="shared" si="49"/>
        <v>27761590.225542128</v>
      </c>
      <c r="M271" s="66">
        <f t="shared" si="48"/>
        <v>46166.147816249977</v>
      </c>
      <c r="N271" s="72">
        <f t="shared" si="47"/>
        <v>-7278670.5020287801</v>
      </c>
      <c r="O271" s="70">
        <f t="shared" si="51"/>
        <v>-7555667.3889262816</v>
      </c>
      <c r="P271" s="67">
        <f t="shared" si="52"/>
        <v>23749955.631365836</v>
      </c>
    </row>
    <row r="272" spans="2:16" outlineLevel="1">
      <c r="B272" s="69">
        <v>46752</v>
      </c>
      <c r="D272" s="95"/>
      <c r="E272" s="63">
        <f t="shared" si="50"/>
        <v>52761311.789999977</v>
      </c>
      <c r="F272" s="96">
        <f t="shared" si="53"/>
        <v>141761311.78999987</v>
      </c>
      <c r="G272" s="70">
        <f t="shared" si="46"/>
        <v>141761311.7899999</v>
      </c>
      <c r="H272" s="74">
        <f t="shared" ref="H272:H318" si="55">F271/240</f>
        <v>590672.13245833281</v>
      </c>
      <c r="I272" s="72">
        <f t="shared" si="43"/>
        <v>-114590393.69691607</v>
      </c>
      <c r="J272" s="70">
        <f t="shared" si="42"/>
        <v>-111046360.90216611</v>
      </c>
      <c r="K272" s="70">
        <f t="shared" si="54"/>
        <v>30714950.887833789</v>
      </c>
      <c r="L272" s="65">
        <f t="shared" si="49"/>
        <v>27170918.093083799</v>
      </c>
      <c r="M272" s="66">
        <f t="shared" si="48"/>
        <v>46166.147816249977</v>
      </c>
      <c r="N272" s="72">
        <f t="shared" si="47"/>
        <v>-7232504.35421253</v>
      </c>
      <c r="O272" s="70">
        <f t="shared" si="51"/>
        <v>-7509501.2411100306</v>
      </c>
      <c r="P272" s="67">
        <f t="shared" si="52"/>
        <v>23205449.646723758</v>
      </c>
    </row>
    <row r="273" spans="2:16" outlineLevel="1">
      <c r="B273" s="69">
        <v>46783</v>
      </c>
      <c r="D273" s="95"/>
      <c r="E273" s="63">
        <f t="shared" si="50"/>
        <v>52761311.789999977</v>
      </c>
      <c r="F273" s="96">
        <f t="shared" si="53"/>
        <v>141761311.78999987</v>
      </c>
      <c r="G273" s="70">
        <f t="shared" si="46"/>
        <v>141761311.7899999</v>
      </c>
      <c r="H273" s="74">
        <f t="shared" si="55"/>
        <v>590672.13245833281</v>
      </c>
      <c r="I273" s="72">
        <f t="shared" si="43"/>
        <v>-115181065.8293744</v>
      </c>
      <c r="J273" s="70">
        <f t="shared" ref="J273:J317" si="56">(I261+I273+SUM(I262:I272)*2)/24</f>
        <v>-111637033.03462444</v>
      </c>
      <c r="K273" s="70">
        <f t="shared" si="54"/>
        <v>30124278.75537546</v>
      </c>
      <c r="L273" s="65">
        <f t="shared" si="49"/>
        <v>26580245.96062547</v>
      </c>
      <c r="M273" s="66">
        <f t="shared" si="48"/>
        <v>46166.147816249977</v>
      </c>
      <c r="N273" s="72">
        <f t="shared" si="47"/>
        <v>-7186338.2063962799</v>
      </c>
      <c r="O273" s="70">
        <f t="shared" si="51"/>
        <v>-7463335.0932937814</v>
      </c>
      <c r="P273" s="67">
        <f t="shared" si="52"/>
        <v>22660943.662081677</v>
      </c>
    </row>
    <row r="274" spans="2:16" outlineLevel="1">
      <c r="B274" s="69">
        <v>46811</v>
      </c>
      <c r="D274" s="95"/>
      <c r="E274" s="63">
        <f t="shared" si="50"/>
        <v>52761311.789999977</v>
      </c>
      <c r="F274" s="96">
        <f t="shared" si="53"/>
        <v>141761311.78999987</v>
      </c>
      <c r="G274" s="70">
        <f t="shared" si="46"/>
        <v>141761311.7899999</v>
      </c>
      <c r="H274" s="74">
        <f t="shared" si="55"/>
        <v>590672.13245833281</v>
      </c>
      <c r="I274" s="72">
        <f t="shared" ref="I274:I331" si="57">I273-H274</f>
        <v>-115771737.96183273</v>
      </c>
      <c r="J274" s="70">
        <f t="shared" si="56"/>
        <v>-112227705.16708277</v>
      </c>
      <c r="K274" s="70">
        <f t="shared" si="54"/>
        <v>29533606.622917131</v>
      </c>
      <c r="L274" s="65">
        <f t="shared" si="49"/>
        <v>25989573.82816714</v>
      </c>
      <c r="M274" s="66">
        <f t="shared" si="48"/>
        <v>46166.147816249977</v>
      </c>
      <c r="N274" s="72">
        <f t="shared" si="47"/>
        <v>-7140172.0585800298</v>
      </c>
      <c r="O274" s="70">
        <f t="shared" si="51"/>
        <v>-7417168.9454775313</v>
      </c>
      <c r="P274" s="67">
        <f t="shared" si="52"/>
        <v>22116437.6774396</v>
      </c>
    </row>
    <row r="275" spans="2:16" outlineLevel="1">
      <c r="B275" s="69">
        <v>46843</v>
      </c>
      <c r="D275" s="95"/>
      <c r="E275" s="63">
        <f t="shared" si="50"/>
        <v>52761311.789999977</v>
      </c>
      <c r="F275" s="96">
        <f t="shared" si="53"/>
        <v>141761311.78999987</v>
      </c>
      <c r="G275" s="70">
        <f t="shared" si="46"/>
        <v>141761311.7899999</v>
      </c>
      <c r="H275" s="74">
        <f t="shared" si="55"/>
        <v>590672.13245833281</v>
      </c>
      <c r="I275" s="72">
        <f t="shared" si="57"/>
        <v>-116362410.09429106</v>
      </c>
      <c r="J275" s="70">
        <f t="shared" si="56"/>
        <v>-112818377.2995411</v>
      </c>
      <c r="K275" s="70">
        <f t="shared" si="54"/>
        <v>28942934.490458801</v>
      </c>
      <c r="L275" s="65">
        <f t="shared" si="49"/>
        <v>25398901.695708811</v>
      </c>
      <c r="M275" s="66">
        <f t="shared" si="48"/>
        <v>46166.147816249977</v>
      </c>
      <c r="N275" s="72">
        <f t="shared" si="47"/>
        <v>-7094005.9107637797</v>
      </c>
      <c r="O275" s="70">
        <f t="shared" si="51"/>
        <v>-7371002.7976612784</v>
      </c>
      <c r="P275" s="67">
        <f t="shared" si="52"/>
        <v>21571931.692797523</v>
      </c>
    </row>
    <row r="276" spans="2:16" outlineLevel="1">
      <c r="B276" s="69">
        <v>46873</v>
      </c>
      <c r="D276" s="95"/>
      <c r="E276" s="63">
        <f t="shared" si="50"/>
        <v>52761311.789999977</v>
      </c>
      <c r="F276" s="96">
        <f t="shared" si="53"/>
        <v>141761311.78999987</v>
      </c>
      <c r="G276" s="70">
        <f t="shared" si="46"/>
        <v>141761311.7899999</v>
      </c>
      <c r="H276" s="74">
        <f t="shared" si="55"/>
        <v>590672.13245833281</v>
      </c>
      <c r="I276" s="72">
        <f t="shared" si="57"/>
        <v>-116953082.22674939</v>
      </c>
      <c r="J276" s="70">
        <f t="shared" si="56"/>
        <v>-113409049.43199943</v>
      </c>
      <c r="K276" s="70">
        <f t="shared" si="54"/>
        <v>28352262.358000472</v>
      </c>
      <c r="L276" s="65">
        <f t="shared" si="49"/>
        <v>24808229.563250482</v>
      </c>
      <c r="M276" s="66">
        <f t="shared" si="48"/>
        <v>46166.147816249977</v>
      </c>
      <c r="N276" s="72">
        <f t="shared" si="47"/>
        <v>-7047839.7629475296</v>
      </c>
      <c r="O276" s="70">
        <f t="shared" si="51"/>
        <v>-7324836.6498450311</v>
      </c>
      <c r="P276" s="67">
        <f t="shared" si="52"/>
        <v>21027425.708155442</v>
      </c>
    </row>
    <row r="277" spans="2:16" outlineLevel="1">
      <c r="B277" s="69">
        <v>46904</v>
      </c>
      <c r="D277" s="95"/>
      <c r="E277" s="63">
        <f t="shared" si="50"/>
        <v>52761311.789999977</v>
      </c>
      <c r="F277" s="96">
        <f t="shared" si="53"/>
        <v>141761311.78999987</v>
      </c>
      <c r="G277" s="70">
        <f t="shared" si="46"/>
        <v>141761311.7899999</v>
      </c>
      <c r="H277" s="74">
        <f t="shared" si="55"/>
        <v>590672.13245833281</v>
      </c>
      <c r="I277" s="72">
        <f t="shared" si="57"/>
        <v>-117543754.35920772</v>
      </c>
      <c r="J277" s="70">
        <f t="shared" si="56"/>
        <v>-113999721.56445776</v>
      </c>
      <c r="K277" s="70">
        <f t="shared" si="54"/>
        <v>27761590.225542143</v>
      </c>
      <c r="L277" s="65">
        <f t="shared" si="49"/>
        <v>24217557.430792153</v>
      </c>
      <c r="M277" s="66">
        <f t="shared" si="48"/>
        <v>46166.147816249977</v>
      </c>
      <c r="N277" s="72">
        <f t="shared" si="47"/>
        <v>-7001673.6151312795</v>
      </c>
      <c r="O277" s="70">
        <f t="shared" si="51"/>
        <v>-7278670.502028781</v>
      </c>
      <c r="P277" s="67">
        <f t="shared" si="52"/>
        <v>20482919.723513361</v>
      </c>
    </row>
    <row r="278" spans="2:16" outlineLevel="1">
      <c r="B278" s="69">
        <v>46934</v>
      </c>
      <c r="D278" s="95"/>
      <c r="E278" s="63">
        <f t="shared" si="50"/>
        <v>52761311.789999977</v>
      </c>
      <c r="F278" s="96">
        <f t="shared" si="53"/>
        <v>141761311.78999987</v>
      </c>
      <c r="G278" s="70">
        <f t="shared" si="46"/>
        <v>141761311.7899999</v>
      </c>
      <c r="H278" s="74">
        <f t="shared" si="55"/>
        <v>590672.13245833281</v>
      </c>
      <c r="I278" s="72">
        <f t="shared" si="57"/>
        <v>-118134426.49166605</v>
      </c>
      <c r="J278" s="70">
        <f t="shared" si="56"/>
        <v>-114590393.69691609</v>
      </c>
      <c r="K278" s="70">
        <f t="shared" si="54"/>
        <v>27170918.093083814</v>
      </c>
      <c r="L278" s="65">
        <f t="shared" si="49"/>
        <v>23626885.298333824</v>
      </c>
      <c r="M278" s="66">
        <f t="shared" si="48"/>
        <v>46166.147816249977</v>
      </c>
      <c r="N278" s="72">
        <f t="shared" si="47"/>
        <v>-6955507.4673150294</v>
      </c>
      <c r="O278" s="70">
        <f t="shared" si="51"/>
        <v>-7232504.35421253</v>
      </c>
      <c r="P278" s="67">
        <f t="shared" si="52"/>
        <v>19938413.738871284</v>
      </c>
    </row>
    <row r="279" spans="2:16" outlineLevel="1">
      <c r="B279" s="69">
        <v>46965</v>
      </c>
      <c r="D279" s="92"/>
      <c r="E279" s="63">
        <f t="shared" si="50"/>
        <v>52761311.789999977</v>
      </c>
      <c r="F279" s="96">
        <f t="shared" si="53"/>
        <v>141761311.78999987</v>
      </c>
      <c r="G279" s="70">
        <f t="shared" si="46"/>
        <v>141761311.7899999</v>
      </c>
      <c r="H279" s="74">
        <f t="shared" si="55"/>
        <v>590672.13245833281</v>
      </c>
      <c r="I279" s="72">
        <f t="shared" si="57"/>
        <v>-118725098.62412438</v>
      </c>
      <c r="J279" s="70">
        <f t="shared" si="56"/>
        <v>-115181065.82937442</v>
      </c>
      <c r="K279" s="70">
        <f t="shared" si="54"/>
        <v>26580245.960625485</v>
      </c>
      <c r="L279" s="65">
        <f t="shared" si="49"/>
        <v>23036213.165875494</v>
      </c>
      <c r="M279" s="66">
        <f t="shared" si="48"/>
        <v>46166.147816249977</v>
      </c>
      <c r="N279" s="72">
        <f t="shared" si="47"/>
        <v>-6909341.3194987793</v>
      </c>
      <c r="O279" s="70">
        <f t="shared" si="51"/>
        <v>-7186338.2063962808</v>
      </c>
      <c r="P279" s="67">
        <f t="shared" si="52"/>
        <v>19393907.754229203</v>
      </c>
    </row>
    <row r="280" spans="2:16" outlineLevel="1">
      <c r="B280" s="69">
        <v>46996</v>
      </c>
      <c r="D280" s="92"/>
      <c r="E280" s="63">
        <f t="shared" si="50"/>
        <v>52761311.789999977</v>
      </c>
      <c r="F280" s="96">
        <f t="shared" si="53"/>
        <v>141761311.78999987</v>
      </c>
      <c r="G280" s="70">
        <f t="shared" si="46"/>
        <v>141761311.7899999</v>
      </c>
      <c r="H280" s="74">
        <f t="shared" si="55"/>
        <v>590672.13245833281</v>
      </c>
      <c r="I280" s="72">
        <f t="shared" si="57"/>
        <v>-119315770.75658271</v>
      </c>
      <c r="J280" s="70">
        <f t="shared" si="56"/>
        <v>-115771737.96183275</v>
      </c>
      <c r="K280" s="70">
        <f t="shared" si="54"/>
        <v>25989573.828167155</v>
      </c>
      <c r="L280" s="65">
        <f t="shared" si="49"/>
        <v>22445541.033417165</v>
      </c>
      <c r="M280" s="66">
        <f t="shared" si="48"/>
        <v>46166.147816249977</v>
      </c>
      <c r="N280" s="72">
        <f t="shared" si="47"/>
        <v>-6863175.1716825292</v>
      </c>
      <c r="O280" s="70">
        <f t="shared" si="51"/>
        <v>-7140172.0585800298</v>
      </c>
      <c r="P280" s="67">
        <f t="shared" si="52"/>
        <v>18849401.769587126</v>
      </c>
    </row>
    <row r="281" spans="2:16" outlineLevel="1">
      <c r="B281" s="69">
        <v>47026</v>
      </c>
      <c r="D281" s="92"/>
      <c r="E281" s="63">
        <f t="shared" si="50"/>
        <v>52761311.789999977</v>
      </c>
      <c r="F281" s="96">
        <f t="shared" si="53"/>
        <v>141761311.78999987</v>
      </c>
      <c r="G281" s="70">
        <f t="shared" si="46"/>
        <v>141761311.7899999</v>
      </c>
      <c r="H281" s="74">
        <f t="shared" si="55"/>
        <v>590672.13245833281</v>
      </c>
      <c r="I281" s="72">
        <f t="shared" si="57"/>
        <v>-119906442.88904104</v>
      </c>
      <c r="J281" s="70">
        <f t="shared" si="56"/>
        <v>-116362410.09429108</v>
      </c>
      <c r="K281" s="70">
        <f t="shared" si="54"/>
        <v>25398901.695708826</v>
      </c>
      <c r="L281" s="65">
        <f t="shared" si="49"/>
        <v>21854868.900958836</v>
      </c>
      <c r="M281" s="66">
        <f t="shared" ref="M281:M317" si="58">(E281/240*0.21)</f>
        <v>46166.147816249977</v>
      </c>
      <c r="N281" s="72">
        <f t="shared" si="47"/>
        <v>-6817009.0238662791</v>
      </c>
      <c r="O281" s="70">
        <f t="shared" si="51"/>
        <v>-7094005.9107637815</v>
      </c>
      <c r="P281" s="67">
        <f t="shared" si="52"/>
        <v>18304895.784945045</v>
      </c>
    </row>
    <row r="282" spans="2:16" outlineLevel="1">
      <c r="B282" s="69">
        <v>47057</v>
      </c>
      <c r="D282" s="92"/>
      <c r="E282" s="63">
        <f t="shared" si="50"/>
        <v>52761311.789999977</v>
      </c>
      <c r="F282" s="96">
        <f t="shared" si="53"/>
        <v>141761311.78999987</v>
      </c>
      <c r="G282" s="70">
        <f t="shared" ref="G282:G330" si="59">(F270+F282+SUM(F271:F281)*2)/24</f>
        <v>141761311.7899999</v>
      </c>
      <c r="H282" s="74">
        <f t="shared" si="55"/>
        <v>590672.13245833281</v>
      </c>
      <c r="I282" s="72">
        <f t="shared" si="57"/>
        <v>-120497115.02149937</v>
      </c>
      <c r="J282" s="70">
        <f t="shared" si="56"/>
        <v>-116953082.22674941</v>
      </c>
      <c r="K282" s="70">
        <f t="shared" si="54"/>
        <v>24808229.563250497</v>
      </c>
      <c r="L282" s="65">
        <f t="shared" si="49"/>
        <v>21264196.768500507</v>
      </c>
      <c r="M282" s="66">
        <f t="shared" si="58"/>
        <v>46166.147816249977</v>
      </c>
      <c r="N282" s="72">
        <f t="shared" si="47"/>
        <v>-6770842.8760500289</v>
      </c>
      <c r="O282" s="70">
        <f t="shared" si="51"/>
        <v>-7047839.7629475305</v>
      </c>
      <c r="P282" s="67">
        <f t="shared" si="52"/>
        <v>17760389.800302967</v>
      </c>
    </row>
    <row r="283" spans="2:16" outlineLevel="1">
      <c r="B283" s="69">
        <v>47087</v>
      </c>
      <c r="D283" s="92"/>
      <c r="E283" s="63">
        <f t="shared" si="50"/>
        <v>52761311.789999977</v>
      </c>
      <c r="F283" s="96">
        <f t="shared" si="53"/>
        <v>141761311.78999987</v>
      </c>
      <c r="G283" s="70">
        <f t="shared" si="59"/>
        <v>141761311.7899999</v>
      </c>
      <c r="H283" s="74">
        <f t="shared" si="55"/>
        <v>590672.13245833281</v>
      </c>
      <c r="I283" s="72">
        <f t="shared" si="57"/>
        <v>-121087787.15395769</v>
      </c>
      <c r="J283" s="70">
        <f t="shared" si="56"/>
        <v>-117543754.35920773</v>
      </c>
      <c r="K283" s="70">
        <f t="shared" si="54"/>
        <v>24217557.430792168</v>
      </c>
      <c r="L283" s="65">
        <f t="shared" si="49"/>
        <v>20673524.636042178</v>
      </c>
      <c r="M283" s="66">
        <f t="shared" si="58"/>
        <v>46166.147816249977</v>
      </c>
      <c r="N283" s="72">
        <f t="shared" si="47"/>
        <v>-6724676.7282337788</v>
      </c>
      <c r="O283" s="70">
        <f t="shared" si="51"/>
        <v>-7001673.6151312776</v>
      </c>
      <c r="P283" s="67">
        <f t="shared" si="52"/>
        <v>17215883.81566089</v>
      </c>
    </row>
    <row r="284" spans="2:16" outlineLevel="1">
      <c r="B284" s="69">
        <v>47118</v>
      </c>
      <c r="D284" s="92"/>
      <c r="E284" s="63">
        <f t="shared" si="50"/>
        <v>52761311.789999977</v>
      </c>
      <c r="F284" s="96">
        <f t="shared" si="53"/>
        <v>141761311.78999987</v>
      </c>
      <c r="G284" s="70">
        <f t="shared" si="59"/>
        <v>141761311.7899999</v>
      </c>
      <c r="H284" s="74">
        <f t="shared" si="55"/>
        <v>590672.13245833281</v>
      </c>
      <c r="I284" s="72">
        <f t="shared" si="57"/>
        <v>-121678459.28641602</v>
      </c>
      <c r="J284" s="70">
        <f t="shared" si="56"/>
        <v>-118134426.49166606</v>
      </c>
      <c r="K284" s="70">
        <f t="shared" si="54"/>
        <v>23626885.298333839</v>
      </c>
      <c r="L284" s="65">
        <f t="shared" si="49"/>
        <v>20082852.503583848</v>
      </c>
      <c r="M284" s="66">
        <f t="shared" si="58"/>
        <v>46166.147816249977</v>
      </c>
      <c r="N284" s="72">
        <f t="shared" si="47"/>
        <v>-6678510.5804175287</v>
      </c>
      <c r="O284" s="70">
        <f t="shared" si="51"/>
        <v>-6955507.4673150303</v>
      </c>
      <c r="P284" s="67">
        <f t="shared" si="52"/>
        <v>16671377.831018809</v>
      </c>
    </row>
    <row r="285" spans="2:16" outlineLevel="1">
      <c r="B285" s="69">
        <v>47149</v>
      </c>
      <c r="D285" s="92"/>
      <c r="E285" s="63">
        <f t="shared" si="50"/>
        <v>52761311.789999977</v>
      </c>
      <c r="F285" s="96">
        <f t="shared" si="53"/>
        <v>141761311.78999987</v>
      </c>
      <c r="G285" s="70">
        <f t="shared" si="59"/>
        <v>141761311.7899999</v>
      </c>
      <c r="H285" s="74">
        <f t="shared" si="55"/>
        <v>590672.13245833281</v>
      </c>
      <c r="I285" s="72">
        <f t="shared" si="57"/>
        <v>-122269131.41887435</v>
      </c>
      <c r="J285" s="70">
        <f t="shared" si="56"/>
        <v>-118725098.62412439</v>
      </c>
      <c r="K285" s="70">
        <f t="shared" si="54"/>
        <v>23036213.165875509</v>
      </c>
      <c r="L285" s="65">
        <f t="shared" si="49"/>
        <v>19492180.371125519</v>
      </c>
      <c r="M285" s="66">
        <f t="shared" si="58"/>
        <v>46166.147816249977</v>
      </c>
      <c r="N285" s="72">
        <f t="shared" si="47"/>
        <v>-6632344.4326012786</v>
      </c>
      <c r="O285" s="70">
        <f t="shared" si="51"/>
        <v>-6909341.3194987802</v>
      </c>
      <c r="P285" s="67">
        <f t="shared" si="52"/>
        <v>16126871.846376728</v>
      </c>
    </row>
    <row r="286" spans="2:16" outlineLevel="1">
      <c r="B286" s="69">
        <v>47177</v>
      </c>
      <c r="D286" s="92"/>
      <c r="E286" s="63">
        <f t="shared" si="50"/>
        <v>52761311.789999977</v>
      </c>
      <c r="F286" s="96">
        <f t="shared" si="53"/>
        <v>141761311.78999987</v>
      </c>
      <c r="G286" s="70">
        <f t="shared" si="59"/>
        <v>141761311.7899999</v>
      </c>
      <c r="H286" s="74">
        <f t="shared" si="55"/>
        <v>590672.13245833281</v>
      </c>
      <c r="I286" s="72">
        <f t="shared" si="57"/>
        <v>-122859803.55133268</v>
      </c>
      <c r="J286" s="70">
        <f t="shared" si="56"/>
        <v>-119315770.75658272</v>
      </c>
      <c r="K286" s="70">
        <f t="shared" si="54"/>
        <v>22445541.03341718</v>
      </c>
      <c r="L286" s="65">
        <f t="shared" si="49"/>
        <v>18901508.23866719</v>
      </c>
      <c r="M286" s="66">
        <f t="shared" si="58"/>
        <v>46166.147816249977</v>
      </c>
      <c r="N286" s="72">
        <f t="shared" si="47"/>
        <v>-6586178.2847850285</v>
      </c>
      <c r="O286" s="70">
        <f t="shared" si="51"/>
        <v>-6863175.1716825292</v>
      </c>
      <c r="P286" s="67">
        <f t="shared" si="52"/>
        <v>15582365.861734651</v>
      </c>
    </row>
    <row r="287" spans="2:16" outlineLevel="1">
      <c r="B287" s="69">
        <v>47208</v>
      </c>
      <c r="D287" s="92"/>
      <c r="E287" s="63">
        <f t="shared" si="50"/>
        <v>52761311.789999977</v>
      </c>
      <c r="F287" s="96">
        <f t="shared" si="53"/>
        <v>141761311.78999987</v>
      </c>
      <c r="G287" s="70">
        <f t="shared" si="59"/>
        <v>141761311.7899999</v>
      </c>
      <c r="H287" s="74">
        <f t="shared" si="55"/>
        <v>590672.13245833281</v>
      </c>
      <c r="I287" s="72">
        <f t="shared" si="57"/>
        <v>-123450475.68379101</v>
      </c>
      <c r="J287" s="70">
        <f t="shared" si="56"/>
        <v>-119906442.88904102</v>
      </c>
      <c r="K287" s="70">
        <f t="shared" si="54"/>
        <v>21854868.900958881</v>
      </c>
      <c r="L287" s="65">
        <f t="shared" si="49"/>
        <v>18310836.106208861</v>
      </c>
      <c r="M287" s="66">
        <f t="shared" si="58"/>
        <v>46166.147816249977</v>
      </c>
      <c r="N287" s="72">
        <f t="shared" si="47"/>
        <v>-6540012.1369687784</v>
      </c>
      <c r="O287" s="70">
        <f t="shared" si="51"/>
        <v>-6817009.02386628</v>
      </c>
      <c r="P287" s="67">
        <f t="shared" si="52"/>
        <v>15037859.8770926</v>
      </c>
    </row>
    <row r="288" spans="2:16" outlineLevel="1">
      <c r="B288" s="69">
        <v>47238</v>
      </c>
      <c r="D288" s="92"/>
      <c r="E288" s="63">
        <f t="shared" si="50"/>
        <v>52761311.789999977</v>
      </c>
      <c r="F288" s="96">
        <f t="shared" si="53"/>
        <v>141761311.78999987</v>
      </c>
      <c r="G288" s="70">
        <f t="shared" si="59"/>
        <v>141761311.7899999</v>
      </c>
      <c r="H288" s="74">
        <f t="shared" si="55"/>
        <v>590672.13245833281</v>
      </c>
      <c r="I288" s="72">
        <f t="shared" si="57"/>
        <v>-124041147.81624934</v>
      </c>
      <c r="J288" s="70">
        <f t="shared" si="56"/>
        <v>-120497115.02149938</v>
      </c>
      <c r="K288" s="70">
        <f t="shared" si="54"/>
        <v>21264196.768500522</v>
      </c>
      <c r="L288" s="65">
        <f t="shared" si="49"/>
        <v>17720163.973750532</v>
      </c>
      <c r="M288" s="66">
        <f t="shared" si="58"/>
        <v>46166.147816249977</v>
      </c>
      <c r="N288" s="72">
        <f t="shared" si="47"/>
        <v>-6493845.9891525283</v>
      </c>
      <c r="O288" s="70">
        <f t="shared" si="51"/>
        <v>-6770842.8760500289</v>
      </c>
      <c r="P288" s="67">
        <f t="shared" si="52"/>
        <v>14493353.892450493</v>
      </c>
    </row>
    <row r="289" spans="2:16" outlineLevel="1">
      <c r="B289" s="69">
        <v>47269</v>
      </c>
      <c r="D289" s="92"/>
      <c r="E289" s="63">
        <f t="shared" si="50"/>
        <v>52761311.789999977</v>
      </c>
      <c r="F289" s="96">
        <f t="shared" si="53"/>
        <v>141761311.78999987</v>
      </c>
      <c r="G289" s="70">
        <f t="shared" si="59"/>
        <v>141761311.7899999</v>
      </c>
      <c r="H289" s="74">
        <f t="shared" si="55"/>
        <v>590672.13245833281</v>
      </c>
      <c r="I289" s="72">
        <f t="shared" si="57"/>
        <v>-124631819.94870767</v>
      </c>
      <c r="J289" s="70">
        <f t="shared" si="56"/>
        <v>-121087787.15395768</v>
      </c>
      <c r="K289" s="70">
        <f t="shared" si="54"/>
        <v>20673524.636042222</v>
      </c>
      <c r="L289" s="65">
        <f t="shared" si="49"/>
        <v>17129491.841292202</v>
      </c>
      <c r="M289" s="66">
        <f t="shared" si="58"/>
        <v>46166.147816249977</v>
      </c>
      <c r="N289" s="72">
        <f t="shared" si="47"/>
        <v>-6447679.8413362782</v>
      </c>
      <c r="O289" s="70">
        <f t="shared" si="51"/>
        <v>-6724676.7282337798</v>
      </c>
      <c r="P289" s="67">
        <f t="shared" si="52"/>
        <v>13948847.907808442</v>
      </c>
    </row>
    <row r="290" spans="2:16" outlineLevel="1">
      <c r="B290" s="69">
        <v>47299</v>
      </c>
      <c r="D290" s="92"/>
      <c r="E290" s="63">
        <f t="shared" si="50"/>
        <v>52761311.789999977</v>
      </c>
      <c r="F290" s="96">
        <f t="shared" si="53"/>
        <v>141761311.78999987</v>
      </c>
      <c r="G290" s="70">
        <f t="shared" si="59"/>
        <v>141761311.7899999</v>
      </c>
      <c r="H290" s="74">
        <f t="shared" si="55"/>
        <v>590672.13245833281</v>
      </c>
      <c r="I290" s="72">
        <f t="shared" si="57"/>
        <v>-125222492.081166</v>
      </c>
      <c r="J290" s="70">
        <f t="shared" si="56"/>
        <v>-121678459.28641604</v>
      </c>
      <c r="K290" s="70">
        <f t="shared" si="54"/>
        <v>20082852.503583863</v>
      </c>
      <c r="L290" s="65">
        <f t="shared" si="49"/>
        <v>16538819.708833873</v>
      </c>
      <c r="M290" s="66">
        <f t="shared" si="58"/>
        <v>46166.147816249977</v>
      </c>
      <c r="N290" s="72">
        <f t="shared" si="47"/>
        <v>-6401513.6935200281</v>
      </c>
      <c r="O290" s="70">
        <f t="shared" si="51"/>
        <v>-6678510.5804175287</v>
      </c>
      <c r="P290" s="67">
        <f t="shared" si="52"/>
        <v>13404341.923166335</v>
      </c>
    </row>
    <row r="291" spans="2:16" outlineLevel="1">
      <c r="B291" s="69">
        <v>47330</v>
      </c>
      <c r="D291" s="92"/>
      <c r="E291" s="63">
        <f t="shared" si="50"/>
        <v>52761311.789999977</v>
      </c>
      <c r="F291" s="96">
        <f t="shared" si="53"/>
        <v>141761311.78999987</v>
      </c>
      <c r="G291" s="70">
        <f t="shared" si="59"/>
        <v>141761311.7899999</v>
      </c>
      <c r="H291" s="74">
        <f t="shared" si="55"/>
        <v>590672.13245833281</v>
      </c>
      <c r="I291" s="72">
        <f t="shared" si="57"/>
        <v>-125813164.21362433</v>
      </c>
      <c r="J291" s="70">
        <f t="shared" si="56"/>
        <v>-122269131.41887434</v>
      </c>
      <c r="K291" s="70">
        <f t="shared" si="54"/>
        <v>19492180.371125564</v>
      </c>
      <c r="L291" s="65">
        <f t="shared" si="49"/>
        <v>15948147.576375544</v>
      </c>
      <c r="M291" s="66">
        <f t="shared" si="58"/>
        <v>46166.147816249977</v>
      </c>
      <c r="N291" s="72">
        <f t="shared" si="47"/>
        <v>-6355347.545703778</v>
      </c>
      <c r="O291" s="70">
        <f t="shared" si="51"/>
        <v>-6632344.4326012777</v>
      </c>
      <c r="P291" s="67">
        <f t="shared" si="52"/>
        <v>12859835.938524287</v>
      </c>
    </row>
    <row r="292" spans="2:16" outlineLevel="1">
      <c r="B292" s="69">
        <v>47361</v>
      </c>
      <c r="D292" s="92"/>
      <c r="E292" s="63">
        <f t="shared" si="50"/>
        <v>52761311.789999977</v>
      </c>
      <c r="F292" s="96">
        <f t="shared" si="53"/>
        <v>141761311.78999987</v>
      </c>
      <c r="G292" s="70">
        <f t="shared" si="59"/>
        <v>141761311.7899999</v>
      </c>
      <c r="H292" s="74">
        <f t="shared" si="55"/>
        <v>590672.13245833281</v>
      </c>
      <c r="I292" s="72">
        <f t="shared" si="57"/>
        <v>-126403836.34608266</v>
      </c>
      <c r="J292" s="70">
        <f t="shared" si="56"/>
        <v>-122859803.5513327</v>
      </c>
      <c r="K292" s="70">
        <f t="shared" si="54"/>
        <v>18901508.238667205</v>
      </c>
      <c r="L292" s="65">
        <f t="shared" si="49"/>
        <v>15357475.443917215</v>
      </c>
      <c r="M292" s="66">
        <f t="shared" si="58"/>
        <v>46166.147816249977</v>
      </c>
      <c r="N292" s="72">
        <f t="shared" si="47"/>
        <v>-6309181.3978875279</v>
      </c>
      <c r="O292" s="70">
        <f t="shared" si="51"/>
        <v>-6586178.2847850295</v>
      </c>
      <c r="P292" s="67">
        <f t="shared" si="52"/>
        <v>12315329.953882176</v>
      </c>
    </row>
    <row r="293" spans="2:16" outlineLevel="1">
      <c r="B293" s="69">
        <v>47391</v>
      </c>
      <c r="D293" s="92"/>
      <c r="E293" s="63">
        <f t="shared" si="50"/>
        <v>52761311.789999977</v>
      </c>
      <c r="F293" s="96">
        <f t="shared" si="53"/>
        <v>141761311.78999987</v>
      </c>
      <c r="G293" s="70">
        <f t="shared" si="59"/>
        <v>141761311.7899999</v>
      </c>
      <c r="H293" s="74">
        <f t="shared" si="55"/>
        <v>590672.13245833281</v>
      </c>
      <c r="I293" s="72">
        <f t="shared" si="57"/>
        <v>-126994508.47854099</v>
      </c>
      <c r="J293" s="70">
        <f t="shared" si="56"/>
        <v>-123450475.683791</v>
      </c>
      <c r="K293" s="70">
        <f t="shared" si="54"/>
        <v>18310836.106208906</v>
      </c>
      <c r="L293" s="65">
        <f t="shared" si="49"/>
        <v>14766803.311458886</v>
      </c>
      <c r="M293" s="66">
        <f t="shared" si="58"/>
        <v>46166.147816249977</v>
      </c>
      <c r="N293" s="72">
        <f t="shared" si="47"/>
        <v>-6263015.2500712778</v>
      </c>
      <c r="O293" s="70">
        <f t="shared" si="51"/>
        <v>-6540012.1369687775</v>
      </c>
      <c r="P293" s="67">
        <f t="shared" si="52"/>
        <v>11770823.969240129</v>
      </c>
    </row>
    <row r="294" spans="2:16" outlineLevel="1">
      <c r="B294" s="69">
        <v>47422</v>
      </c>
      <c r="D294" s="92"/>
      <c r="E294" s="63">
        <f t="shared" si="50"/>
        <v>52761311.789999977</v>
      </c>
      <c r="F294" s="96">
        <f t="shared" si="53"/>
        <v>141761311.78999987</v>
      </c>
      <c r="G294" s="70">
        <f t="shared" si="59"/>
        <v>141761311.7899999</v>
      </c>
      <c r="H294" s="74">
        <f t="shared" si="55"/>
        <v>590672.13245833281</v>
      </c>
      <c r="I294" s="72">
        <f t="shared" si="57"/>
        <v>-127585180.61099932</v>
      </c>
      <c r="J294" s="70">
        <f t="shared" si="56"/>
        <v>-124041147.81624936</v>
      </c>
      <c r="K294" s="70">
        <f t="shared" si="54"/>
        <v>17720163.973750547</v>
      </c>
      <c r="L294" s="65">
        <f t="shared" si="49"/>
        <v>14176131.179000556</v>
      </c>
      <c r="M294" s="66">
        <f t="shared" si="58"/>
        <v>46166.147816249977</v>
      </c>
      <c r="N294" s="72">
        <f t="shared" si="47"/>
        <v>-6216849.1022550277</v>
      </c>
      <c r="O294" s="70">
        <f t="shared" si="51"/>
        <v>-6493845.9891525283</v>
      </c>
      <c r="P294" s="67">
        <f t="shared" si="52"/>
        <v>11226317.984598018</v>
      </c>
    </row>
    <row r="295" spans="2:16" outlineLevel="1">
      <c r="B295" s="69">
        <v>47452</v>
      </c>
      <c r="D295" s="92"/>
      <c r="E295" s="63">
        <f t="shared" si="50"/>
        <v>52761311.789999977</v>
      </c>
      <c r="F295" s="96">
        <f t="shared" si="53"/>
        <v>141761311.78999987</v>
      </c>
      <c r="G295" s="70">
        <f t="shared" si="59"/>
        <v>141761311.7899999</v>
      </c>
      <c r="H295" s="74">
        <f t="shared" si="55"/>
        <v>590672.13245833281</v>
      </c>
      <c r="I295" s="72">
        <f t="shared" si="57"/>
        <v>-128175852.74345765</v>
      </c>
      <c r="J295" s="70">
        <f t="shared" si="56"/>
        <v>-124631819.94870766</v>
      </c>
      <c r="K295" s="70">
        <f t="shared" si="54"/>
        <v>17129491.841292247</v>
      </c>
      <c r="L295" s="65">
        <f t="shared" si="49"/>
        <v>13585459.046542227</v>
      </c>
      <c r="M295" s="66">
        <f t="shared" si="58"/>
        <v>46166.147816249977</v>
      </c>
      <c r="N295" s="72">
        <f t="shared" si="47"/>
        <v>-6170682.9544387776</v>
      </c>
      <c r="O295" s="70">
        <f t="shared" si="51"/>
        <v>-6447679.8413362792</v>
      </c>
      <c r="P295" s="67">
        <f t="shared" si="52"/>
        <v>10681811.999955967</v>
      </c>
    </row>
    <row r="296" spans="2:16" outlineLevel="1">
      <c r="B296" s="69">
        <v>47483</v>
      </c>
      <c r="D296" s="92"/>
      <c r="E296" s="63">
        <f t="shared" si="50"/>
        <v>52761311.789999977</v>
      </c>
      <c r="F296" s="96">
        <f t="shared" si="53"/>
        <v>141761311.78999987</v>
      </c>
      <c r="G296" s="70">
        <f t="shared" si="59"/>
        <v>141761311.7899999</v>
      </c>
      <c r="H296" s="74">
        <f t="shared" si="55"/>
        <v>590672.13245833281</v>
      </c>
      <c r="I296" s="72">
        <f t="shared" si="57"/>
        <v>-128766524.87591597</v>
      </c>
      <c r="J296" s="70">
        <f t="shared" si="56"/>
        <v>-125222492.08116601</v>
      </c>
      <c r="K296" s="70">
        <f t="shared" si="54"/>
        <v>16538819.708833888</v>
      </c>
      <c r="L296" s="65">
        <f t="shared" si="49"/>
        <v>12994786.914083898</v>
      </c>
      <c r="M296" s="66">
        <f t="shared" si="58"/>
        <v>46166.147816249977</v>
      </c>
      <c r="N296" s="72">
        <f t="shared" si="47"/>
        <v>-6124516.8066225275</v>
      </c>
      <c r="O296" s="70">
        <f t="shared" si="51"/>
        <v>-6401513.6935200281</v>
      </c>
      <c r="P296" s="67">
        <f t="shared" si="52"/>
        <v>10137306.01531386</v>
      </c>
    </row>
    <row r="297" spans="2:16" outlineLevel="1">
      <c r="B297" s="69">
        <v>47514</v>
      </c>
      <c r="D297" s="92"/>
      <c r="E297" s="63">
        <f t="shared" si="50"/>
        <v>52761311.789999977</v>
      </c>
      <c r="F297" s="96">
        <f t="shared" si="53"/>
        <v>141761311.78999987</v>
      </c>
      <c r="G297" s="70">
        <f t="shared" si="59"/>
        <v>141761311.7899999</v>
      </c>
      <c r="H297" s="74">
        <f t="shared" si="55"/>
        <v>590672.13245833281</v>
      </c>
      <c r="I297" s="72">
        <f t="shared" si="57"/>
        <v>-129357197.0083743</v>
      </c>
      <c r="J297" s="70">
        <f t="shared" si="56"/>
        <v>-125813164.21362431</v>
      </c>
      <c r="K297" s="70">
        <f t="shared" si="54"/>
        <v>15948147.576375589</v>
      </c>
      <c r="L297" s="65">
        <f t="shared" si="49"/>
        <v>12404114.781625569</v>
      </c>
      <c r="M297" s="66">
        <f t="shared" si="58"/>
        <v>46166.147816249977</v>
      </c>
      <c r="N297" s="72">
        <f t="shared" si="47"/>
        <v>-6078350.6588062774</v>
      </c>
      <c r="O297" s="70">
        <f t="shared" si="51"/>
        <v>-6355347.5457037799</v>
      </c>
      <c r="P297" s="67">
        <f t="shared" si="52"/>
        <v>9592800.0306718089</v>
      </c>
    </row>
    <row r="298" spans="2:16" outlineLevel="1">
      <c r="B298" s="69">
        <v>47542</v>
      </c>
      <c r="D298" s="92"/>
      <c r="E298" s="63">
        <f t="shared" si="50"/>
        <v>52761311.789999977</v>
      </c>
      <c r="F298" s="96">
        <f t="shared" si="53"/>
        <v>141761311.78999987</v>
      </c>
      <c r="G298" s="70">
        <f t="shared" si="59"/>
        <v>141761311.7899999</v>
      </c>
      <c r="H298" s="74">
        <f t="shared" si="55"/>
        <v>590672.13245833281</v>
      </c>
      <c r="I298" s="72">
        <f t="shared" si="57"/>
        <v>-129947869.14083263</v>
      </c>
      <c r="J298" s="70">
        <f t="shared" si="56"/>
        <v>-126403836.34608267</v>
      </c>
      <c r="K298" s="70">
        <f t="shared" si="54"/>
        <v>15357475.44391723</v>
      </c>
      <c r="L298" s="65">
        <f t="shared" si="49"/>
        <v>11813442.64916724</v>
      </c>
      <c r="M298" s="66">
        <f t="shared" si="58"/>
        <v>46166.147816249977</v>
      </c>
      <c r="N298" s="72">
        <f t="shared" ref="N298:N316" si="60">N297+M298</f>
        <v>-6032184.5109900273</v>
      </c>
      <c r="O298" s="70">
        <f t="shared" si="51"/>
        <v>-6309181.3978875279</v>
      </c>
      <c r="P298" s="67">
        <f t="shared" si="52"/>
        <v>9048294.0460297018</v>
      </c>
    </row>
    <row r="299" spans="2:16" outlineLevel="1">
      <c r="B299" s="69">
        <v>47573</v>
      </c>
      <c r="D299" s="92"/>
      <c r="E299" s="63">
        <f t="shared" si="50"/>
        <v>52761311.789999977</v>
      </c>
      <c r="F299" s="96">
        <f t="shared" si="53"/>
        <v>141761311.78999987</v>
      </c>
      <c r="G299" s="70">
        <f t="shared" si="59"/>
        <v>141761311.7899999</v>
      </c>
      <c r="H299" s="74">
        <f t="shared" si="55"/>
        <v>590672.13245833281</v>
      </c>
      <c r="I299" s="72">
        <f t="shared" si="57"/>
        <v>-130538541.27329096</v>
      </c>
      <c r="J299" s="70">
        <f t="shared" si="56"/>
        <v>-126994508.47854097</v>
      </c>
      <c r="K299" s="70">
        <f t="shared" si="54"/>
        <v>14766803.31145893</v>
      </c>
      <c r="L299" s="65">
        <f t="shared" si="49"/>
        <v>11222770.51670891</v>
      </c>
      <c r="M299" s="66">
        <f t="shared" si="58"/>
        <v>46166.147816249977</v>
      </c>
      <c r="N299" s="72">
        <f t="shared" si="60"/>
        <v>-5986018.3631737772</v>
      </c>
      <c r="O299" s="70">
        <f t="shared" si="51"/>
        <v>-6263015.2500712769</v>
      </c>
      <c r="P299" s="67">
        <f t="shared" si="52"/>
        <v>8503788.0613876544</v>
      </c>
    </row>
    <row r="300" spans="2:16" outlineLevel="1">
      <c r="B300" s="69">
        <v>47603</v>
      </c>
      <c r="D300" s="92"/>
      <c r="E300" s="63">
        <f t="shared" si="50"/>
        <v>52761311.789999977</v>
      </c>
      <c r="F300" s="96">
        <f t="shared" si="53"/>
        <v>141761311.78999987</v>
      </c>
      <c r="G300" s="70">
        <f t="shared" si="59"/>
        <v>141761311.7899999</v>
      </c>
      <c r="H300" s="74">
        <f t="shared" si="55"/>
        <v>590672.13245833281</v>
      </c>
      <c r="I300" s="72">
        <f t="shared" si="57"/>
        <v>-131129213.40574929</v>
      </c>
      <c r="J300" s="70">
        <f t="shared" si="56"/>
        <v>-127585180.61099933</v>
      </c>
      <c r="K300" s="70">
        <f t="shared" si="54"/>
        <v>14176131.179000571</v>
      </c>
      <c r="L300" s="65">
        <f t="shared" si="49"/>
        <v>10632098.384250581</v>
      </c>
      <c r="M300" s="66">
        <f t="shared" si="58"/>
        <v>46166.147816249977</v>
      </c>
      <c r="N300" s="72">
        <f t="shared" si="60"/>
        <v>-5939852.2153575271</v>
      </c>
      <c r="O300" s="70">
        <f t="shared" si="51"/>
        <v>-6216849.1022550287</v>
      </c>
      <c r="P300" s="67">
        <f t="shared" si="52"/>
        <v>7959282.0767455427</v>
      </c>
    </row>
    <row r="301" spans="2:16" outlineLevel="1">
      <c r="B301" s="69">
        <v>47634</v>
      </c>
      <c r="D301" s="92"/>
      <c r="E301" s="63">
        <f t="shared" si="50"/>
        <v>52761311.789999977</v>
      </c>
      <c r="F301" s="96">
        <f t="shared" si="53"/>
        <v>141761311.78999987</v>
      </c>
      <c r="G301" s="70">
        <f t="shared" si="59"/>
        <v>141761311.7899999</v>
      </c>
      <c r="H301" s="74">
        <f t="shared" si="55"/>
        <v>590672.13245833281</v>
      </c>
      <c r="I301" s="72">
        <f t="shared" si="57"/>
        <v>-131719885.53820762</v>
      </c>
      <c r="J301" s="70">
        <f t="shared" si="56"/>
        <v>-128175852.74345763</v>
      </c>
      <c r="K301" s="70">
        <f t="shared" si="54"/>
        <v>13585459.046542272</v>
      </c>
      <c r="L301" s="65">
        <f t="shared" si="49"/>
        <v>10041426.251792252</v>
      </c>
      <c r="M301" s="66">
        <f t="shared" si="58"/>
        <v>46166.147816249977</v>
      </c>
      <c r="N301" s="72">
        <f t="shared" si="60"/>
        <v>-5893686.067541277</v>
      </c>
      <c r="O301" s="70">
        <f t="shared" si="51"/>
        <v>-6170682.9544387786</v>
      </c>
      <c r="P301" s="67">
        <f t="shared" si="52"/>
        <v>7414776.0921034934</v>
      </c>
    </row>
    <row r="302" spans="2:16" outlineLevel="1">
      <c r="B302" s="69">
        <v>47664</v>
      </c>
      <c r="D302" s="92"/>
      <c r="E302" s="63">
        <f t="shared" si="50"/>
        <v>52761311.789999977</v>
      </c>
      <c r="F302" s="96">
        <f t="shared" si="53"/>
        <v>141761311.78999987</v>
      </c>
      <c r="G302" s="70">
        <f t="shared" si="59"/>
        <v>141761311.7899999</v>
      </c>
      <c r="H302" s="74">
        <f t="shared" si="55"/>
        <v>590672.13245833281</v>
      </c>
      <c r="I302" s="72">
        <f t="shared" si="57"/>
        <v>-132310557.67066595</v>
      </c>
      <c r="J302" s="70">
        <f t="shared" si="56"/>
        <v>-128766524.87591599</v>
      </c>
      <c r="K302" s="70">
        <f t="shared" si="54"/>
        <v>12994786.914083913</v>
      </c>
      <c r="L302" s="65">
        <f t="shared" si="49"/>
        <v>9450754.1193339229</v>
      </c>
      <c r="M302" s="66">
        <f t="shared" si="58"/>
        <v>46166.147816249977</v>
      </c>
      <c r="N302" s="72">
        <f t="shared" si="60"/>
        <v>-5847519.9197250269</v>
      </c>
      <c r="O302" s="70">
        <f t="shared" si="51"/>
        <v>-6124516.8066225275</v>
      </c>
      <c r="P302" s="67">
        <f t="shared" si="52"/>
        <v>6870270.1074613854</v>
      </c>
    </row>
    <row r="303" spans="2:16" outlineLevel="1">
      <c r="B303" s="69">
        <v>47695</v>
      </c>
      <c r="D303" s="92"/>
      <c r="E303" s="63">
        <f t="shared" si="50"/>
        <v>52761311.789999977</v>
      </c>
      <c r="F303" s="96">
        <f t="shared" si="53"/>
        <v>141761311.78999987</v>
      </c>
      <c r="G303" s="70">
        <f t="shared" si="59"/>
        <v>141761311.7899999</v>
      </c>
      <c r="H303" s="74">
        <f t="shared" si="55"/>
        <v>590672.13245833281</v>
      </c>
      <c r="I303" s="72">
        <f t="shared" si="57"/>
        <v>-132901229.80312428</v>
      </c>
      <c r="J303" s="70">
        <f t="shared" si="56"/>
        <v>-129357197.00837429</v>
      </c>
      <c r="K303" s="70">
        <f t="shared" si="54"/>
        <v>12404114.781625614</v>
      </c>
      <c r="L303" s="65">
        <f t="shared" si="49"/>
        <v>8860081.9868755937</v>
      </c>
      <c r="M303" s="66">
        <f t="shared" si="58"/>
        <v>46166.147816249977</v>
      </c>
      <c r="N303" s="72">
        <f t="shared" si="60"/>
        <v>-5801353.7719087768</v>
      </c>
      <c r="O303" s="70">
        <f t="shared" si="51"/>
        <v>-6078350.6588062784</v>
      </c>
      <c r="P303" s="67">
        <f t="shared" si="52"/>
        <v>6325764.1228193352</v>
      </c>
    </row>
    <row r="304" spans="2:16" outlineLevel="1">
      <c r="B304" s="69">
        <v>47726</v>
      </c>
      <c r="D304" s="92"/>
      <c r="E304" s="63">
        <f t="shared" si="50"/>
        <v>52761311.789999977</v>
      </c>
      <c r="F304" s="96">
        <f t="shared" si="53"/>
        <v>141761311.78999987</v>
      </c>
      <c r="G304" s="70">
        <f t="shared" si="59"/>
        <v>141761311.7899999</v>
      </c>
      <c r="H304" s="74">
        <f t="shared" si="55"/>
        <v>590672.13245833281</v>
      </c>
      <c r="I304" s="72">
        <f t="shared" si="57"/>
        <v>-133491901.93558261</v>
      </c>
      <c r="J304" s="70">
        <f t="shared" si="56"/>
        <v>-129947869.14083265</v>
      </c>
      <c r="K304" s="70">
        <f t="shared" si="54"/>
        <v>11813442.649167255</v>
      </c>
      <c r="L304" s="65">
        <f t="shared" si="49"/>
        <v>8269409.8544172645</v>
      </c>
      <c r="M304" s="66">
        <f t="shared" si="58"/>
        <v>46166.147816249977</v>
      </c>
      <c r="N304" s="72">
        <f t="shared" si="60"/>
        <v>-5755187.6240925267</v>
      </c>
      <c r="O304" s="70">
        <f t="shared" si="51"/>
        <v>-6032184.5109900273</v>
      </c>
      <c r="P304" s="67">
        <f t="shared" si="52"/>
        <v>5781258.1381772272</v>
      </c>
    </row>
    <row r="305" spans="2:16" outlineLevel="1">
      <c r="B305" s="69">
        <v>47756</v>
      </c>
      <c r="D305" s="92"/>
      <c r="E305" s="63">
        <f t="shared" si="50"/>
        <v>52761311.789999977</v>
      </c>
      <c r="F305" s="96">
        <f t="shared" si="53"/>
        <v>141761311.78999987</v>
      </c>
      <c r="G305" s="70">
        <f t="shared" si="59"/>
        <v>141761311.7899999</v>
      </c>
      <c r="H305" s="74">
        <f t="shared" si="55"/>
        <v>590672.13245833281</v>
      </c>
      <c r="I305" s="72">
        <f t="shared" si="57"/>
        <v>-134082574.06804094</v>
      </c>
      <c r="J305" s="70">
        <f t="shared" si="56"/>
        <v>-130538541.27329095</v>
      </c>
      <c r="K305" s="70">
        <f t="shared" si="54"/>
        <v>11222770.516708955</v>
      </c>
      <c r="L305" s="65">
        <f t="shared" si="49"/>
        <v>7678737.7219589353</v>
      </c>
      <c r="M305" s="66">
        <f t="shared" si="58"/>
        <v>46166.147816249977</v>
      </c>
      <c r="N305" s="72">
        <f t="shared" si="60"/>
        <v>-5709021.4762762766</v>
      </c>
      <c r="O305" s="70">
        <f t="shared" si="51"/>
        <v>-5986018.3631737782</v>
      </c>
      <c r="P305" s="67">
        <f t="shared" si="52"/>
        <v>5236752.153535177</v>
      </c>
    </row>
    <row r="306" spans="2:16" outlineLevel="1">
      <c r="B306" s="69">
        <v>47787</v>
      </c>
      <c r="D306" s="92"/>
      <c r="E306" s="63">
        <f t="shared" si="50"/>
        <v>52761311.789999977</v>
      </c>
      <c r="F306" s="96">
        <f t="shared" si="53"/>
        <v>141761311.78999987</v>
      </c>
      <c r="G306" s="70">
        <f t="shared" si="59"/>
        <v>141761311.7899999</v>
      </c>
      <c r="H306" s="74">
        <f t="shared" si="55"/>
        <v>590672.13245833281</v>
      </c>
      <c r="I306" s="72">
        <f t="shared" si="57"/>
        <v>-134673246.20049927</v>
      </c>
      <c r="J306" s="70">
        <f t="shared" si="56"/>
        <v>-131129213.40574931</v>
      </c>
      <c r="K306" s="70">
        <f t="shared" si="54"/>
        <v>10632098.384250596</v>
      </c>
      <c r="L306" s="65">
        <f t="shared" si="49"/>
        <v>7088065.5895006061</v>
      </c>
      <c r="M306" s="66">
        <f t="shared" si="58"/>
        <v>46166.147816249977</v>
      </c>
      <c r="N306" s="72">
        <f t="shared" si="60"/>
        <v>-5662855.3284600265</v>
      </c>
      <c r="O306" s="70">
        <f t="shared" si="51"/>
        <v>-5939852.2153575271</v>
      </c>
      <c r="P306" s="67">
        <f t="shared" si="52"/>
        <v>4692246.168893069</v>
      </c>
    </row>
    <row r="307" spans="2:16" outlineLevel="1">
      <c r="B307" s="69">
        <v>47817</v>
      </c>
      <c r="D307" s="92"/>
      <c r="E307" s="63">
        <f t="shared" si="50"/>
        <v>52761311.789999977</v>
      </c>
      <c r="F307" s="96">
        <f t="shared" si="53"/>
        <v>141761311.78999987</v>
      </c>
      <c r="G307" s="70">
        <f t="shared" si="59"/>
        <v>141761311.7899999</v>
      </c>
      <c r="H307" s="74">
        <f t="shared" si="55"/>
        <v>590672.13245833281</v>
      </c>
      <c r="I307" s="72">
        <f t="shared" si="57"/>
        <v>-135263918.3329576</v>
      </c>
      <c r="J307" s="70">
        <f t="shared" si="56"/>
        <v>-131719885.53820761</v>
      </c>
      <c r="K307" s="70">
        <f t="shared" si="54"/>
        <v>10041426.251792297</v>
      </c>
      <c r="L307" s="65">
        <f t="shared" si="49"/>
        <v>6497393.4570422769</v>
      </c>
      <c r="M307" s="66">
        <f t="shared" si="58"/>
        <v>46166.147816249977</v>
      </c>
      <c r="N307" s="72">
        <f t="shared" si="60"/>
        <v>-5616689.1806437764</v>
      </c>
      <c r="O307" s="70">
        <f t="shared" si="51"/>
        <v>-5893686.0675412761</v>
      </c>
      <c r="P307" s="67">
        <f t="shared" si="52"/>
        <v>4147740.1842510207</v>
      </c>
    </row>
    <row r="308" spans="2:16" outlineLevel="1">
      <c r="B308" s="69">
        <v>47848</v>
      </c>
      <c r="D308" s="92"/>
      <c r="E308" s="63">
        <f t="shared" si="50"/>
        <v>52761311.789999977</v>
      </c>
      <c r="F308" s="96">
        <f t="shared" si="53"/>
        <v>141761311.78999987</v>
      </c>
      <c r="G308" s="70">
        <f t="shared" si="59"/>
        <v>141761311.7899999</v>
      </c>
      <c r="H308" s="74">
        <f t="shared" si="55"/>
        <v>590672.13245833281</v>
      </c>
      <c r="I308" s="72">
        <f t="shared" si="57"/>
        <v>-135854590.46541592</v>
      </c>
      <c r="J308" s="70">
        <f t="shared" si="56"/>
        <v>-132310557.67066596</v>
      </c>
      <c r="K308" s="70">
        <f t="shared" si="54"/>
        <v>9450754.1193339378</v>
      </c>
      <c r="L308" s="65">
        <f t="shared" si="49"/>
        <v>5906721.3245839477</v>
      </c>
      <c r="M308" s="66">
        <f t="shared" si="58"/>
        <v>46166.147816249977</v>
      </c>
      <c r="N308" s="72">
        <f t="shared" si="60"/>
        <v>-5570523.0328275263</v>
      </c>
      <c r="O308" s="70">
        <f t="shared" si="51"/>
        <v>-5847519.9197250269</v>
      </c>
      <c r="P308" s="67">
        <f t="shared" si="52"/>
        <v>3603234.1996089108</v>
      </c>
    </row>
    <row r="309" spans="2:16" outlineLevel="1">
      <c r="B309" s="69">
        <v>47879</v>
      </c>
      <c r="D309" s="92"/>
      <c r="E309" s="63">
        <f t="shared" si="50"/>
        <v>52761311.789999977</v>
      </c>
      <c r="F309" s="96">
        <f t="shared" si="53"/>
        <v>141761311.78999987</v>
      </c>
      <c r="G309" s="70">
        <f t="shared" si="59"/>
        <v>141761311.7899999</v>
      </c>
      <c r="H309" s="74">
        <f t="shared" si="55"/>
        <v>590672.13245833281</v>
      </c>
      <c r="I309" s="72">
        <f t="shared" si="57"/>
        <v>-136445262.59787425</v>
      </c>
      <c r="J309" s="70">
        <f t="shared" si="56"/>
        <v>-132901229.80312426</v>
      </c>
      <c r="K309" s="70">
        <f t="shared" si="54"/>
        <v>8860081.9868756384</v>
      </c>
      <c r="L309" s="65">
        <f t="shared" si="49"/>
        <v>5316049.1921256185</v>
      </c>
      <c r="M309" s="66">
        <f t="shared" si="58"/>
        <v>46166.147816249977</v>
      </c>
      <c r="N309" s="72">
        <f t="shared" si="60"/>
        <v>-5524356.8850112762</v>
      </c>
      <c r="O309" s="70">
        <f t="shared" si="51"/>
        <v>-5801353.7719087778</v>
      </c>
      <c r="P309" s="67">
        <f t="shared" si="52"/>
        <v>3058728.2149668606</v>
      </c>
    </row>
    <row r="310" spans="2:16" outlineLevel="1">
      <c r="B310" s="69">
        <v>47907</v>
      </c>
      <c r="D310" s="92"/>
      <c r="E310" s="63">
        <f t="shared" si="50"/>
        <v>52761311.789999977</v>
      </c>
      <c r="F310" s="96">
        <f t="shared" si="53"/>
        <v>141761311.78999987</v>
      </c>
      <c r="G310" s="70">
        <f t="shared" si="59"/>
        <v>141761311.7899999</v>
      </c>
      <c r="H310" s="74">
        <f t="shared" si="55"/>
        <v>590672.13245833281</v>
      </c>
      <c r="I310" s="72">
        <f>I309-H310</f>
        <v>-137035934.73033258</v>
      </c>
      <c r="J310" s="70">
        <f t="shared" si="56"/>
        <v>-133491901.93558262</v>
      </c>
      <c r="K310" s="70">
        <f t="shared" si="54"/>
        <v>8269409.8544172794</v>
      </c>
      <c r="L310" s="65">
        <f t="shared" si="49"/>
        <v>4725377.0596672893</v>
      </c>
      <c r="M310" s="66">
        <f t="shared" si="58"/>
        <v>46166.147816249977</v>
      </c>
      <c r="N310" s="72">
        <f t="shared" si="60"/>
        <v>-5478190.7371950261</v>
      </c>
      <c r="O310" s="70">
        <f t="shared" si="51"/>
        <v>-5755187.6240925267</v>
      </c>
      <c r="P310" s="67">
        <f t="shared" si="52"/>
        <v>2514222.2303247526</v>
      </c>
    </row>
    <row r="311" spans="2:16" outlineLevel="1">
      <c r="B311" s="69">
        <v>47938</v>
      </c>
      <c r="D311" s="92"/>
      <c r="E311" s="63">
        <f t="shared" si="50"/>
        <v>52761311.789999977</v>
      </c>
      <c r="F311" s="96">
        <f t="shared" si="53"/>
        <v>141761311.78999987</v>
      </c>
      <c r="G311" s="70">
        <f t="shared" si="59"/>
        <v>141761311.7899999</v>
      </c>
      <c r="H311" s="74">
        <f t="shared" si="55"/>
        <v>590672.13245833281</v>
      </c>
      <c r="I311" s="72">
        <f t="shared" si="57"/>
        <v>-137626606.86279091</v>
      </c>
      <c r="J311" s="70">
        <f t="shared" si="56"/>
        <v>-134082574.06804092</v>
      </c>
      <c r="K311" s="70">
        <f>G311+J311</f>
        <v>7678737.72195898</v>
      </c>
      <c r="L311" s="65">
        <f>F311+I311</f>
        <v>4134704.9272089601</v>
      </c>
      <c r="M311" s="66">
        <f t="shared" si="58"/>
        <v>46166.147816249977</v>
      </c>
      <c r="N311" s="72">
        <f t="shared" si="60"/>
        <v>-5432024.589378776</v>
      </c>
      <c r="O311" s="70">
        <f t="shared" si="51"/>
        <v>-5709021.4762762776</v>
      </c>
      <c r="P311" s="67">
        <f t="shared" si="52"/>
        <v>1969716.2456827024</v>
      </c>
    </row>
    <row r="312" spans="2:16" outlineLevel="1">
      <c r="B312" s="69">
        <v>47968</v>
      </c>
      <c r="D312" s="92"/>
      <c r="E312" s="63">
        <f t="shared" si="50"/>
        <v>52761311.789999977</v>
      </c>
      <c r="F312" s="96">
        <f t="shared" si="53"/>
        <v>141761311.78999987</v>
      </c>
      <c r="G312" s="70">
        <f t="shared" si="59"/>
        <v>141761311.7899999</v>
      </c>
      <c r="H312" s="74">
        <f t="shared" si="55"/>
        <v>590672.13245833281</v>
      </c>
      <c r="I312" s="72">
        <f t="shared" si="57"/>
        <v>-138217278.99524924</v>
      </c>
      <c r="J312" s="70">
        <f t="shared" si="56"/>
        <v>-134673246.20049927</v>
      </c>
      <c r="K312" s="70">
        <f t="shared" si="54"/>
        <v>7088065.5895006359</v>
      </c>
      <c r="L312" s="65">
        <f t="shared" si="49"/>
        <v>3544032.7947506309</v>
      </c>
      <c r="M312" s="66">
        <f t="shared" si="58"/>
        <v>46166.147816249977</v>
      </c>
      <c r="N312" s="72">
        <f t="shared" si="60"/>
        <v>-5385858.4415625259</v>
      </c>
      <c r="O312" s="70">
        <f t="shared" si="51"/>
        <v>-5662855.3284600265</v>
      </c>
      <c r="P312" s="67">
        <f t="shared" si="52"/>
        <v>1425210.2610406093</v>
      </c>
    </row>
    <row r="313" spans="2:16" outlineLevel="1">
      <c r="B313" s="69">
        <v>47999</v>
      </c>
      <c r="D313" s="92"/>
      <c r="E313" s="63">
        <f t="shared" si="50"/>
        <v>52761311.789999977</v>
      </c>
      <c r="F313" s="96">
        <f t="shared" si="53"/>
        <v>141761311.78999987</v>
      </c>
      <c r="G313" s="70">
        <f t="shared" si="59"/>
        <v>141761311.7899999</v>
      </c>
      <c r="H313" s="74">
        <f t="shared" si="55"/>
        <v>590672.13245833281</v>
      </c>
      <c r="I313" s="72">
        <f t="shared" si="57"/>
        <v>-138807951.12770757</v>
      </c>
      <c r="J313" s="70">
        <f t="shared" si="56"/>
        <v>-135263918.3329576</v>
      </c>
      <c r="K313" s="70">
        <f t="shared" si="54"/>
        <v>6497393.4570423067</v>
      </c>
      <c r="L313" s="65">
        <f t="shared" si="49"/>
        <v>2953360.6622923017</v>
      </c>
      <c r="M313" s="66">
        <f t="shared" si="58"/>
        <v>46166.147816249977</v>
      </c>
      <c r="N313" s="72">
        <f t="shared" si="60"/>
        <v>-5339692.2937462758</v>
      </c>
      <c r="O313" s="70">
        <f t="shared" si="51"/>
        <v>-5616689.1806437774</v>
      </c>
      <c r="P313" s="67">
        <f>O313+K313</f>
        <v>880704.2763985293</v>
      </c>
    </row>
    <row r="314" spans="2:16" outlineLevel="1">
      <c r="B314" s="69">
        <v>48029</v>
      </c>
      <c r="D314" s="92"/>
      <c r="E314" s="63">
        <f t="shared" si="50"/>
        <v>52761311.789999977</v>
      </c>
      <c r="F314" s="96">
        <f t="shared" si="53"/>
        <v>141761311.78999987</v>
      </c>
      <c r="G314" s="70">
        <f t="shared" si="59"/>
        <v>141761311.7899999</v>
      </c>
      <c r="H314" s="74">
        <f t="shared" si="55"/>
        <v>590672.13245833281</v>
      </c>
      <c r="I314" s="72">
        <f t="shared" si="57"/>
        <v>-139398623.2601659</v>
      </c>
      <c r="J314" s="70">
        <f>(I302+I314+SUM(I303:I313)*2)/24</f>
        <v>-135854590.46541592</v>
      </c>
      <c r="K314" s="70">
        <f t="shared" si="54"/>
        <v>5906721.3245839775</v>
      </c>
      <c r="L314" s="65">
        <f>F314+I314</f>
        <v>2362688.5298339725</v>
      </c>
      <c r="M314" s="66">
        <f t="shared" si="58"/>
        <v>46166.147816249977</v>
      </c>
      <c r="N314" s="72">
        <f t="shared" si="60"/>
        <v>-5293526.1459300257</v>
      </c>
      <c r="O314" s="70">
        <f t="shared" si="51"/>
        <v>-5570523.0328275273</v>
      </c>
      <c r="P314" s="67">
        <f t="shared" si="52"/>
        <v>336198.2917564502</v>
      </c>
    </row>
    <row r="315" spans="2:16" outlineLevel="1">
      <c r="B315" s="69">
        <v>48060</v>
      </c>
      <c r="D315" s="92"/>
      <c r="E315" s="63">
        <f t="shared" si="50"/>
        <v>52761311.789999977</v>
      </c>
      <c r="F315" s="96">
        <f t="shared" si="53"/>
        <v>141761311.78999987</v>
      </c>
      <c r="G315" s="70">
        <f t="shared" si="59"/>
        <v>141761311.7899999</v>
      </c>
      <c r="H315" s="74">
        <f t="shared" si="55"/>
        <v>590672.13245833281</v>
      </c>
      <c r="I315" s="72">
        <f t="shared" si="57"/>
        <v>-139989295.39262423</v>
      </c>
      <c r="J315" s="70">
        <f t="shared" si="56"/>
        <v>-136445262.59787425</v>
      </c>
      <c r="K315" s="70">
        <f t="shared" si="54"/>
        <v>5316049.1921256483</v>
      </c>
      <c r="L315" s="65">
        <f t="shared" si="49"/>
        <v>1772016.3973756433</v>
      </c>
      <c r="M315" s="66">
        <f t="shared" si="58"/>
        <v>46166.147816249977</v>
      </c>
      <c r="N315" s="72">
        <f t="shared" si="60"/>
        <v>-5247359.9981137756</v>
      </c>
      <c r="O315" s="70">
        <f t="shared" si="51"/>
        <v>-5524356.8850112762</v>
      </c>
      <c r="P315" s="67">
        <f t="shared" si="52"/>
        <v>-208307.69288562797</v>
      </c>
    </row>
    <row r="316" spans="2:16" outlineLevel="1">
      <c r="B316" s="69">
        <v>48091</v>
      </c>
      <c r="D316" s="92"/>
      <c r="E316" s="63">
        <f t="shared" si="50"/>
        <v>52761311.789999977</v>
      </c>
      <c r="F316" s="96">
        <f t="shared" si="53"/>
        <v>141761311.78999987</v>
      </c>
      <c r="G316" s="70">
        <f t="shared" si="59"/>
        <v>141761311.7899999</v>
      </c>
      <c r="H316" s="74">
        <f t="shared" si="55"/>
        <v>590672.13245833281</v>
      </c>
      <c r="I316" s="72">
        <f>I315-H316</f>
        <v>-140579967.52508256</v>
      </c>
      <c r="J316" s="70">
        <f t="shared" si="56"/>
        <v>-137035934.73033258</v>
      </c>
      <c r="K316" s="70">
        <f t="shared" si="54"/>
        <v>4725377.0596673191</v>
      </c>
      <c r="L316" s="65">
        <f t="shared" si="49"/>
        <v>1181344.2649173141</v>
      </c>
      <c r="M316" s="66">
        <f t="shared" si="58"/>
        <v>46166.147816249977</v>
      </c>
      <c r="N316" s="72">
        <f t="shared" si="60"/>
        <v>-5201193.8502975255</v>
      </c>
      <c r="O316" s="70">
        <f t="shared" si="51"/>
        <v>-5478190.7371950261</v>
      </c>
      <c r="P316" s="67">
        <f t="shared" si="52"/>
        <v>-752813.67752770707</v>
      </c>
    </row>
    <row r="317" spans="2:16" outlineLevel="1">
      <c r="B317" s="69">
        <v>48121</v>
      </c>
      <c r="D317" s="92"/>
      <c r="E317" s="63">
        <f t="shared" si="50"/>
        <v>52761311.789999977</v>
      </c>
      <c r="F317" s="96">
        <f t="shared" si="53"/>
        <v>141761311.78999987</v>
      </c>
      <c r="G317" s="70">
        <f t="shared" si="59"/>
        <v>141761311.7899999</v>
      </c>
      <c r="H317" s="74">
        <f t="shared" si="55"/>
        <v>590672.13245833281</v>
      </c>
      <c r="I317" s="72">
        <f t="shared" si="57"/>
        <v>-141170639.65754089</v>
      </c>
      <c r="J317" s="70">
        <f t="shared" si="56"/>
        <v>-137626606.86279091</v>
      </c>
      <c r="K317" s="70">
        <f t="shared" si="54"/>
        <v>4134704.9272089899</v>
      </c>
      <c r="L317" s="65">
        <f>F317+I317</f>
        <v>590672.13245898485</v>
      </c>
      <c r="M317" s="66">
        <f t="shared" si="58"/>
        <v>46166.147816249977</v>
      </c>
      <c r="N317" s="72">
        <f>N316+M317</f>
        <v>-5155027.7024812754</v>
      </c>
      <c r="O317" s="70">
        <f t="shared" si="51"/>
        <v>-5432024.589378776</v>
      </c>
      <c r="P317" s="67">
        <f t="shared" si="52"/>
        <v>-1297319.6621697862</v>
      </c>
    </row>
    <row r="318" spans="2:16" outlineLevel="1">
      <c r="B318" s="69">
        <v>48152</v>
      </c>
      <c r="D318" s="92"/>
      <c r="E318" s="63">
        <f t="shared" si="50"/>
        <v>52761311.789999977</v>
      </c>
      <c r="F318" s="96">
        <f t="shared" si="53"/>
        <v>141761311.78999987</v>
      </c>
      <c r="G318" s="70">
        <f t="shared" si="59"/>
        <v>141761311.7899999</v>
      </c>
      <c r="H318" s="74">
        <f t="shared" si="55"/>
        <v>590672.13245833281</v>
      </c>
      <c r="I318" s="72">
        <f>I317-H318</f>
        <v>-141761311.78999922</v>
      </c>
      <c r="J318" s="70">
        <f>(I306+I318+SUM(I307:I317)*2)/24</f>
        <v>-138217278.99524924</v>
      </c>
      <c r="K318" s="70">
        <f t="shared" si="54"/>
        <v>3544032.7947506607</v>
      </c>
      <c r="L318" s="65">
        <f>F318+I318</f>
        <v>6.5565109252929688E-7</v>
      </c>
      <c r="M318" s="66">
        <f t="shared" ref="M318:M327" si="61">(E318/240*0.21)</f>
        <v>46166.147816249977</v>
      </c>
      <c r="N318" s="72">
        <f>N317+M318</f>
        <v>-5108861.5546650253</v>
      </c>
      <c r="O318" s="70">
        <f t="shared" si="51"/>
        <v>-5385858.4415625269</v>
      </c>
      <c r="P318" s="67">
        <f>O318+K318</f>
        <v>-1841825.6468118662</v>
      </c>
    </row>
    <row r="319" spans="2:16" outlineLevel="1">
      <c r="B319" s="69">
        <v>48182</v>
      </c>
      <c r="D319" s="92"/>
      <c r="E319" s="63">
        <f t="shared" si="50"/>
        <v>52761311.789999977</v>
      </c>
      <c r="F319" s="96">
        <f t="shared" si="53"/>
        <v>141761311.78999987</v>
      </c>
      <c r="G319" s="70">
        <f t="shared" si="59"/>
        <v>141761311.7899999</v>
      </c>
      <c r="H319" s="98">
        <f>L318</f>
        <v>6.5565109252929688E-7</v>
      </c>
      <c r="I319" s="72">
        <f t="shared" si="57"/>
        <v>-141761311.78999987</v>
      </c>
      <c r="J319" s="70">
        <f>(I307+I319+SUM(I308:I318)*2)/24</f>
        <v>-138783339.78885517</v>
      </c>
      <c r="K319" s="70">
        <f>G319+J319</f>
        <v>2977972.001144737</v>
      </c>
      <c r="L319" s="65">
        <f t="shared" ref="L319:L331" si="62">F319+I319</f>
        <v>0</v>
      </c>
      <c r="M319" s="66">
        <f t="shared" si="61"/>
        <v>46166.147816249977</v>
      </c>
      <c r="N319" s="99">
        <f>N318+M319</f>
        <v>-5062695.4068487752</v>
      </c>
      <c r="O319" s="70">
        <f>(N307+N319+SUM(N308:N318)*2)/24</f>
        <v>-5339692.2937462768</v>
      </c>
      <c r="P319" s="67">
        <f>O319+K319</f>
        <v>-2361720.2926015398</v>
      </c>
    </row>
    <row r="320" spans="2:16" outlineLevel="1">
      <c r="B320" s="69">
        <v>48213</v>
      </c>
      <c r="D320" s="92"/>
      <c r="E320" s="63">
        <f t="shared" si="50"/>
        <v>52761311.789999977</v>
      </c>
      <c r="F320" s="96">
        <f t="shared" si="53"/>
        <v>141761311.78999987</v>
      </c>
      <c r="G320" s="70">
        <f t="shared" si="59"/>
        <v>141761311.7899999</v>
      </c>
      <c r="H320" s="98">
        <f>H319</f>
        <v>6.5565109252929688E-7</v>
      </c>
      <c r="I320" s="72">
        <f t="shared" si="57"/>
        <v>-141761311.79000053</v>
      </c>
      <c r="J320" s="70">
        <f t="shared" ref="J320:J331" si="63">(I308+I320+SUM(I309:I319)*2)/24</f>
        <v>-139300177.90475628</v>
      </c>
      <c r="K320" s="70">
        <f t="shared" ref="K320:K330" si="64">G320+J320</f>
        <v>2461133.8852436244</v>
      </c>
      <c r="L320" s="630">
        <f t="shared" si="62"/>
        <v>-6.5565109252929688E-7</v>
      </c>
      <c r="M320" s="66">
        <f t="shared" si="61"/>
        <v>46166.147816249977</v>
      </c>
      <c r="N320" s="99">
        <f t="shared" ref="N320:N331" si="65">N319+M320</f>
        <v>-5016529.2590325251</v>
      </c>
      <c r="O320" s="70">
        <f t="shared" ref="O320:O331" si="66">(N308+N320+SUM(N309:N319)*2)/24</f>
        <v>-5293526.1459300257</v>
      </c>
      <c r="P320" s="67">
        <f t="shared" ref="P320:P330" si="67">O320+K320</f>
        <v>-2832392.2606864013</v>
      </c>
    </row>
    <row r="321" spans="2:16" outlineLevel="1">
      <c r="B321" s="69">
        <v>48244</v>
      </c>
      <c r="D321" s="92"/>
      <c r="E321" s="63">
        <f t="shared" si="50"/>
        <v>52761311.789999977</v>
      </c>
      <c r="F321" s="96">
        <f t="shared" si="53"/>
        <v>141761311.78999987</v>
      </c>
      <c r="G321" s="70">
        <f t="shared" si="59"/>
        <v>141761311.7899999</v>
      </c>
      <c r="H321" s="98">
        <f t="shared" ref="H321:H331" si="68">H320</f>
        <v>6.5565109252929688E-7</v>
      </c>
      <c r="I321" s="72">
        <f t="shared" si="57"/>
        <v>-141761311.79000118</v>
      </c>
      <c r="J321" s="70">
        <f t="shared" si="63"/>
        <v>-139767793.34295261</v>
      </c>
      <c r="K321" s="70">
        <f t="shared" si="64"/>
        <v>1993518.4470472932</v>
      </c>
      <c r="L321" s="630">
        <f t="shared" si="62"/>
        <v>-1.3113021850585938E-6</v>
      </c>
      <c r="M321" s="66">
        <f t="shared" si="61"/>
        <v>46166.147816249977</v>
      </c>
      <c r="N321" s="99">
        <f t="shared" si="65"/>
        <v>-4970363.111216275</v>
      </c>
      <c r="O321" s="70">
        <f t="shared" si="66"/>
        <v>-5247359.9981137747</v>
      </c>
      <c r="P321" s="67">
        <f t="shared" si="67"/>
        <v>-3253841.5510664815</v>
      </c>
    </row>
    <row r="322" spans="2:16" outlineLevel="1">
      <c r="B322" s="69">
        <v>48272</v>
      </c>
      <c r="E322" s="63">
        <f t="shared" si="50"/>
        <v>52761311.789999977</v>
      </c>
      <c r="F322" s="96">
        <f t="shared" si="53"/>
        <v>141761311.78999987</v>
      </c>
      <c r="G322" s="70">
        <f t="shared" si="59"/>
        <v>141761311.7899999</v>
      </c>
      <c r="H322" s="98">
        <f t="shared" si="68"/>
        <v>6.5565109252929688E-7</v>
      </c>
      <c r="I322" s="72">
        <f t="shared" si="57"/>
        <v>-141761311.79000184</v>
      </c>
      <c r="J322" s="70">
        <f t="shared" si="63"/>
        <v>-140186186.1034441</v>
      </c>
      <c r="K322" s="70">
        <f t="shared" si="64"/>
        <v>1575125.6865558028</v>
      </c>
      <c r="L322" s="630">
        <f t="shared" si="62"/>
        <v>-1.9669532775878906E-6</v>
      </c>
      <c r="M322" s="66">
        <f t="shared" si="61"/>
        <v>46166.147816249977</v>
      </c>
      <c r="N322" s="99">
        <f t="shared" si="65"/>
        <v>-4924196.9634000249</v>
      </c>
      <c r="O322" s="70">
        <f t="shared" si="66"/>
        <v>-5201193.8502975265</v>
      </c>
      <c r="P322" s="67">
        <f t="shared" si="67"/>
        <v>-3626068.1637417236</v>
      </c>
    </row>
    <row r="323" spans="2:16" outlineLevel="1">
      <c r="B323" s="69">
        <v>48304</v>
      </c>
      <c r="E323" s="63">
        <f t="shared" si="50"/>
        <v>52761311.789999977</v>
      </c>
      <c r="F323" s="96">
        <f t="shared" si="53"/>
        <v>141761311.78999987</v>
      </c>
      <c r="G323" s="70">
        <f t="shared" si="59"/>
        <v>141761311.7899999</v>
      </c>
      <c r="H323" s="98">
        <f t="shared" si="68"/>
        <v>6.5565109252929688E-7</v>
      </c>
      <c r="I323" s="72">
        <f t="shared" si="57"/>
        <v>-141761311.7900025</v>
      </c>
      <c r="J323" s="70">
        <f t="shared" si="63"/>
        <v>-140555356.18623081</v>
      </c>
      <c r="K323" s="70">
        <f t="shared" si="64"/>
        <v>1205955.6037690938</v>
      </c>
      <c r="L323" s="630">
        <f t="shared" si="62"/>
        <v>-2.6226043701171875E-6</v>
      </c>
      <c r="M323" s="66">
        <f>(E323/240*0.21)</f>
        <v>46166.147816249977</v>
      </c>
      <c r="N323" s="99">
        <f t="shared" si="65"/>
        <v>-4878030.8155837748</v>
      </c>
      <c r="O323" s="70">
        <f t="shared" si="66"/>
        <v>-5155027.7024812754</v>
      </c>
      <c r="P323" s="67">
        <f t="shared" si="67"/>
        <v>-3949072.0987121817</v>
      </c>
    </row>
    <row r="324" spans="2:16" outlineLevel="1">
      <c r="B324" s="69">
        <v>48334</v>
      </c>
      <c r="D324" s="92"/>
      <c r="E324" s="63">
        <f t="shared" si="50"/>
        <v>52761311.789999977</v>
      </c>
      <c r="F324" s="96">
        <f t="shared" si="53"/>
        <v>141761311.78999987</v>
      </c>
      <c r="G324" s="70">
        <f t="shared" si="59"/>
        <v>141761311.7899999</v>
      </c>
      <c r="H324" s="98">
        <f t="shared" si="68"/>
        <v>6.5565109252929688E-7</v>
      </c>
      <c r="I324" s="72">
        <f t="shared" si="57"/>
        <v>-141761311.79000315</v>
      </c>
      <c r="J324" s="70">
        <f t="shared" si="63"/>
        <v>-140875303.59131274</v>
      </c>
      <c r="K324" s="70">
        <f t="shared" si="64"/>
        <v>886008.19868716598</v>
      </c>
      <c r="L324" s="630">
        <f t="shared" si="62"/>
        <v>-3.2782554626464844E-6</v>
      </c>
      <c r="M324" s="66">
        <f t="shared" si="61"/>
        <v>46166.147816249977</v>
      </c>
      <c r="N324" s="99">
        <f t="shared" si="65"/>
        <v>-4831864.6677675247</v>
      </c>
      <c r="O324" s="70">
        <f t="shared" si="66"/>
        <v>-5108861.5546650253</v>
      </c>
      <c r="P324" s="67">
        <f t="shared" si="67"/>
        <v>-4222853.3559778593</v>
      </c>
    </row>
    <row r="325" spans="2:16" outlineLevel="1">
      <c r="B325" s="69">
        <v>48365</v>
      </c>
      <c r="D325" s="92"/>
      <c r="E325" s="63">
        <f t="shared" si="50"/>
        <v>52761311.789999977</v>
      </c>
      <c r="F325" s="96">
        <f t="shared" si="53"/>
        <v>141761311.78999987</v>
      </c>
      <c r="G325" s="70">
        <f t="shared" si="59"/>
        <v>141761311.7899999</v>
      </c>
      <c r="H325" s="98">
        <f t="shared" si="68"/>
        <v>6.5565109252929688E-7</v>
      </c>
      <c r="I325" s="72">
        <f t="shared" si="57"/>
        <v>-141761311.79000381</v>
      </c>
      <c r="J325" s="70">
        <f t="shared" si="63"/>
        <v>-141146028.31868979</v>
      </c>
      <c r="K325" s="70">
        <f t="shared" si="64"/>
        <v>615283.4713101089</v>
      </c>
      <c r="L325" s="630">
        <f t="shared" si="62"/>
        <v>-3.9339065551757813E-6</v>
      </c>
      <c r="M325" s="66">
        <f t="shared" si="61"/>
        <v>46166.147816249977</v>
      </c>
      <c r="N325" s="99">
        <f t="shared" si="65"/>
        <v>-4785698.5199512746</v>
      </c>
      <c r="O325" s="70">
        <f t="shared" si="66"/>
        <v>-5062695.4068487752</v>
      </c>
      <c r="P325" s="67">
        <f t="shared" si="67"/>
        <v>-4447411.9355386663</v>
      </c>
    </row>
    <row r="326" spans="2:16" outlineLevel="1">
      <c r="B326" s="69">
        <v>48395</v>
      </c>
      <c r="D326" s="92"/>
      <c r="E326" s="63">
        <f t="shared" si="50"/>
        <v>52761311.789999977</v>
      </c>
      <c r="F326" s="96">
        <f t="shared" si="53"/>
        <v>141761311.78999987</v>
      </c>
      <c r="G326" s="70">
        <f t="shared" si="59"/>
        <v>141761311.7899999</v>
      </c>
      <c r="H326" s="98">
        <f t="shared" si="68"/>
        <v>6.5565109252929688E-7</v>
      </c>
      <c r="I326" s="72">
        <f t="shared" si="57"/>
        <v>-141761311.79000446</v>
      </c>
      <c r="J326" s="70">
        <f t="shared" si="63"/>
        <v>-141367530.36836207</v>
      </c>
      <c r="K326" s="70">
        <f t="shared" si="64"/>
        <v>393781.42163783312</v>
      </c>
      <c r="L326" s="630">
        <f t="shared" si="62"/>
        <v>-4.5895576477050781E-6</v>
      </c>
      <c r="M326" s="66">
        <f t="shared" si="61"/>
        <v>46166.147816249977</v>
      </c>
      <c r="N326" s="99">
        <f t="shared" si="65"/>
        <v>-4739532.3721350245</v>
      </c>
      <c r="O326" s="70">
        <f t="shared" si="66"/>
        <v>-5016529.2590325261</v>
      </c>
      <c r="P326" s="67">
        <f t="shared" si="67"/>
        <v>-4622747.8373946929</v>
      </c>
    </row>
    <row r="327" spans="2:16" outlineLevel="1">
      <c r="B327" s="69">
        <v>48426</v>
      </c>
      <c r="D327" s="92"/>
      <c r="E327" s="63">
        <f t="shared" si="50"/>
        <v>52761311.789999977</v>
      </c>
      <c r="F327" s="96">
        <f t="shared" si="53"/>
        <v>141761311.78999987</v>
      </c>
      <c r="G327" s="70">
        <f t="shared" si="59"/>
        <v>141761311.7899999</v>
      </c>
      <c r="H327" s="98">
        <f t="shared" si="68"/>
        <v>6.5565109252929688E-7</v>
      </c>
      <c r="I327" s="72">
        <f t="shared" si="57"/>
        <v>-141761311.79000512</v>
      </c>
      <c r="J327" s="70">
        <f t="shared" si="63"/>
        <v>-141539809.74032953</v>
      </c>
      <c r="K327" s="70">
        <f t="shared" si="64"/>
        <v>221502.04967036843</v>
      </c>
      <c r="L327" s="630">
        <f t="shared" si="62"/>
        <v>-5.245208740234375E-6</v>
      </c>
      <c r="M327" s="66">
        <f t="shared" si="61"/>
        <v>46166.147816249977</v>
      </c>
      <c r="N327" s="99">
        <f t="shared" si="65"/>
        <v>-4693366.2243187744</v>
      </c>
      <c r="O327" s="70">
        <f t="shared" si="66"/>
        <v>-4970363.111216276</v>
      </c>
      <c r="P327" s="67">
        <f t="shared" si="67"/>
        <v>-4748861.0615459075</v>
      </c>
    </row>
    <row r="328" spans="2:16" outlineLevel="1">
      <c r="B328" s="69">
        <v>48457</v>
      </c>
      <c r="D328" s="92"/>
      <c r="E328" s="63">
        <f t="shared" si="50"/>
        <v>52761311.789999977</v>
      </c>
      <c r="F328" s="96">
        <f t="shared" si="53"/>
        <v>141761311.78999987</v>
      </c>
      <c r="G328" s="70">
        <f t="shared" si="59"/>
        <v>141761311.7899999</v>
      </c>
      <c r="H328" s="98">
        <f t="shared" si="68"/>
        <v>6.5565109252929688E-7</v>
      </c>
      <c r="I328" s="72">
        <f t="shared" si="57"/>
        <v>-141761311.79000577</v>
      </c>
      <c r="J328" s="70">
        <f t="shared" si="63"/>
        <v>-141662866.43459222</v>
      </c>
      <c r="K328" s="70">
        <f t="shared" si="64"/>
        <v>98445.355407685041</v>
      </c>
      <c r="L328" s="630">
        <f t="shared" si="62"/>
        <v>-5.9008598327636719E-6</v>
      </c>
      <c r="M328" s="67">
        <v>0</v>
      </c>
      <c r="N328" s="99">
        <f t="shared" si="65"/>
        <v>-4693366.2243187744</v>
      </c>
      <c r="O328" s="70">
        <f t="shared" si="66"/>
        <v>-4926120.5528923692</v>
      </c>
      <c r="P328" s="67">
        <f t="shared" si="67"/>
        <v>-4827675.1974846842</v>
      </c>
    </row>
    <row r="329" spans="2:16" outlineLevel="1">
      <c r="B329" s="69">
        <v>48487</v>
      </c>
      <c r="D329" s="92"/>
      <c r="E329" s="63">
        <f t="shared" si="50"/>
        <v>52761311.789999977</v>
      </c>
      <c r="F329" s="96">
        <f t="shared" si="53"/>
        <v>141761311.78999987</v>
      </c>
      <c r="G329" s="70">
        <f t="shared" si="59"/>
        <v>141761311.7899999</v>
      </c>
      <c r="H329" s="98">
        <f t="shared" si="68"/>
        <v>6.5565109252929688E-7</v>
      </c>
      <c r="I329" s="72">
        <f t="shared" si="57"/>
        <v>-141761311.79000643</v>
      </c>
      <c r="J329" s="70">
        <f t="shared" si="63"/>
        <v>-141736700.45115009</v>
      </c>
      <c r="K329" s="70">
        <f t="shared" si="64"/>
        <v>24611.338849812746</v>
      </c>
      <c r="L329" s="630">
        <f t="shared" si="62"/>
        <v>-6.5565109252929688E-6</v>
      </c>
      <c r="M329" s="67">
        <v>0</v>
      </c>
      <c r="N329" s="99">
        <f t="shared" si="65"/>
        <v>-4693366.2243187744</v>
      </c>
      <c r="O329" s="70">
        <f t="shared" si="66"/>
        <v>-4885725.1735531492</v>
      </c>
      <c r="P329" s="67">
        <f>O329+K329</f>
        <v>-4861113.8347033365</v>
      </c>
    </row>
    <row r="330" spans="2:16" outlineLevel="1">
      <c r="B330" s="69">
        <v>48518</v>
      </c>
      <c r="D330" s="92"/>
      <c r="E330" s="63">
        <f t="shared" si="50"/>
        <v>52761311.789999977</v>
      </c>
      <c r="F330" s="96">
        <f t="shared" si="53"/>
        <v>141761311.78999987</v>
      </c>
      <c r="G330" s="70">
        <f t="shared" si="59"/>
        <v>141761311.7899999</v>
      </c>
      <c r="H330" s="98">
        <f t="shared" si="68"/>
        <v>6.5565109252929688E-7</v>
      </c>
      <c r="I330" s="72">
        <f t="shared" si="57"/>
        <v>-141761311.79000708</v>
      </c>
      <c r="J330" s="70">
        <f t="shared" si="63"/>
        <v>-141761311.79000315</v>
      </c>
      <c r="K330" s="70">
        <f t="shared" si="64"/>
        <v>-3.2484531402587891E-6</v>
      </c>
      <c r="L330" s="630">
        <f t="shared" si="62"/>
        <v>-7.2121620178222656E-6</v>
      </c>
      <c r="M330" s="67">
        <v>0</v>
      </c>
      <c r="N330" s="99">
        <f t="shared" si="65"/>
        <v>-4693366.2243187744</v>
      </c>
      <c r="O330" s="70">
        <f t="shared" si="66"/>
        <v>-4849176.9731986187</v>
      </c>
      <c r="P330" s="67">
        <f t="shared" si="67"/>
        <v>-4849176.9732018672</v>
      </c>
    </row>
    <row r="331" spans="2:16">
      <c r="D331" s="92"/>
      <c r="E331" s="63">
        <f>D331+E330</f>
        <v>52761311.789999977</v>
      </c>
      <c r="F331" s="96">
        <f>F330+D331</f>
        <v>141761311.78999987</v>
      </c>
      <c r="G331" s="70">
        <f>(F319+F331+SUM(F320:F330)*2)/24</f>
        <v>141761311.7899999</v>
      </c>
      <c r="H331" s="98">
        <f t="shared" si="68"/>
        <v>6.5565109252929688E-7</v>
      </c>
      <c r="I331" s="72">
        <f t="shared" si="57"/>
        <v>-141761311.79000774</v>
      </c>
      <c r="J331" s="70">
        <f t="shared" si="63"/>
        <v>-141761311.79000381</v>
      </c>
      <c r="K331" s="70">
        <f>G331+J331</f>
        <v>-3.9041042327880859E-6</v>
      </c>
      <c r="L331" s="630">
        <f t="shared" si="62"/>
        <v>-7.8678131103515625E-6</v>
      </c>
      <c r="M331" s="67">
        <v>0</v>
      </c>
      <c r="N331" s="99">
        <f t="shared" si="65"/>
        <v>-4693366.2243187744</v>
      </c>
      <c r="O331" s="70">
        <f t="shared" si="66"/>
        <v>-4816475.9518287731</v>
      </c>
      <c r="P331" s="67">
        <f>O331+K331</f>
        <v>-4816475.9518326772</v>
      </c>
    </row>
    <row r="332" spans="2:16">
      <c r="D332" s="92"/>
      <c r="E332" s="63"/>
      <c r="F332" s="63"/>
      <c r="G332" s="70"/>
      <c r="H332" s="74"/>
      <c r="I332" s="72"/>
      <c r="J332" s="70"/>
      <c r="K332" s="70"/>
      <c r="L332" s="65"/>
      <c r="M332" s="66"/>
    </row>
    <row r="333" spans="2:16">
      <c r="B333" s="34" t="s">
        <v>159</v>
      </c>
      <c r="D333" s="92"/>
      <c r="E333" s="63"/>
      <c r="F333" s="63"/>
      <c r="G333" s="70"/>
      <c r="H333" s="74"/>
      <c r="I333" s="72"/>
      <c r="J333" s="70"/>
      <c r="K333" s="70"/>
      <c r="L333" s="65"/>
      <c r="M333" s="66"/>
      <c r="N333" s="72"/>
    </row>
    <row r="334" spans="2:16">
      <c r="B334" s="34" t="s">
        <v>158</v>
      </c>
      <c r="D334" s="92"/>
      <c r="E334" s="63"/>
      <c r="F334" s="63"/>
      <c r="G334" s="70"/>
      <c r="H334" s="74"/>
      <c r="I334" s="72"/>
      <c r="J334" s="70"/>
      <c r="K334" s="70"/>
      <c r="L334" s="65"/>
      <c r="M334" s="66"/>
    </row>
    <row r="335" spans="2:16">
      <c r="D335" s="92"/>
      <c r="E335" s="63"/>
      <c r="F335" s="63"/>
      <c r="G335" s="70"/>
      <c r="H335" s="74"/>
      <c r="I335" s="72"/>
      <c r="J335" s="70"/>
      <c r="K335" s="70"/>
      <c r="L335" s="65"/>
      <c r="M335" s="66"/>
    </row>
    <row r="336" spans="2:16">
      <c r="D336" s="92"/>
      <c r="E336" s="63"/>
      <c r="F336" s="63"/>
      <c r="G336" s="70"/>
      <c r="H336" s="74"/>
      <c r="I336" s="72"/>
      <c r="J336" s="70"/>
      <c r="K336" s="70"/>
      <c r="L336" s="65"/>
      <c r="M336" s="66"/>
    </row>
    <row r="337" spans="4:13">
      <c r="D337" s="92"/>
      <c r="E337" s="63"/>
      <c r="F337" s="63"/>
      <c r="G337" s="70"/>
      <c r="H337" s="74"/>
      <c r="I337" s="72"/>
      <c r="L337" s="65"/>
      <c r="M337" s="66"/>
    </row>
    <row r="338" spans="4:13">
      <c r="D338" s="92"/>
      <c r="E338" s="63"/>
      <c r="F338" s="63"/>
      <c r="G338" s="70"/>
      <c r="H338" s="74"/>
      <c r="I338" s="72"/>
      <c r="L338" s="65"/>
      <c r="M338" s="66"/>
    </row>
    <row r="339" spans="4:13">
      <c r="D339" s="92"/>
      <c r="E339" s="63"/>
      <c r="F339" s="63"/>
      <c r="G339" s="70"/>
      <c r="H339" s="74"/>
      <c r="I339" s="72"/>
      <c r="L339" s="65"/>
      <c r="M339" s="66"/>
    </row>
    <row r="340" spans="4:13">
      <c r="D340" s="92"/>
      <c r="E340" s="63"/>
      <c r="F340" s="63"/>
      <c r="G340" s="70"/>
      <c r="H340" s="74"/>
      <c r="I340" s="72"/>
      <c r="M340" s="66"/>
    </row>
    <row r="341" spans="4:13">
      <c r="D341" s="92"/>
      <c r="E341" s="63"/>
      <c r="F341" s="63"/>
      <c r="G341" s="70"/>
      <c r="H341" s="74"/>
      <c r="I341" s="72"/>
      <c r="M341" s="66"/>
    </row>
    <row r="342" spans="4:13">
      <c r="D342" s="92"/>
      <c r="E342" s="63"/>
      <c r="F342" s="63"/>
      <c r="G342" s="70"/>
      <c r="H342" s="74"/>
      <c r="I342" s="72"/>
      <c r="M342" s="66"/>
    </row>
    <row r="343" spans="4:13">
      <c r="D343" s="92"/>
      <c r="E343" s="63"/>
      <c r="F343" s="63"/>
      <c r="G343" s="70"/>
      <c r="H343" s="74"/>
      <c r="I343" s="72"/>
    </row>
    <row r="344" spans="4:13">
      <c r="D344" s="92"/>
      <c r="E344" s="63"/>
      <c r="F344" s="63"/>
      <c r="G344" s="70"/>
      <c r="H344" s="74"/>
      <c r="I344" s="72"/>
    </row>
    <row r="345" spans="4:13">
      <c r="D345" s="92"/>
      <c r="E345" s="63"/>
      <c r="F345" s="63"/>
      <c r="G345" s="70"/>
      <c r="H345" s="74"/>
      <c r="I345" s="72"/>
    </row>
    <row r="346" spans="4:13">
      <c r="D346" s="92"/>
      <c r="E346" s="63"/>
      <c r="F346" s="63"/>
      <c r="G346" s="70"/>
      <c r="H346" s="74"/>
      <c r="I346" s="72"/>
    </row>
    <row r="347" spans="4:13">
      <c r="D347" s="92"/>
      <c r="E347" s="63"/>
      <c r="F347" s="63"/>
      <c r="G347" s="70"/>
      <c r="H347" s="74"/>
      <c r="I347" s="72"/>
    </row>
    <row r="348" spans="4:13">
      <c r="D348" s="92"/>
      <c r="E348" s="63"/>
      <c r="F348" s="63"/>
      <c r="G348" s="70"/>
      <c r="H348" s="74"/>
      <c r="I348" s="72"/>
    </row>
    <row r="349" spans="4:13">
      <c r="D349" s="92"/>
      <c r="E349" s="63"/>
      <c r="F349" s="63"/>
      <c r="G349" s="70"/>
      <c r="H349" s="74"/>
      <c r="I349" s="72"/>
    </row>
    <row r="350" spans="4:13">
      <c r="D350" s="92"/>
      <c r="E350" s="63"/>
      <c r="F350" s="63"/>
      <c r="G350" s="70"/>
      <c r="H350" s="74"/>
      <c r="I350" s="72"/>
    </row>
    <row r="351" spans="4:13">
      <c r="D351" s="92"/>
      <c r="E351" s="63"/>
      <c r="F351" s="63"/>
      <c r="G351" s="70"/>
      <c r="H351" s="74"/>
      <c r="I351" s="72"/>
    </row>
    <row r="352" spans="4:13">
      <c r="D352" s="92"/>
      <c r="E352" s="63"/>
      <c r="F352" s="63"/>
      <c r="G352" s="70"/>
      <c r="H352" s="74"/>
      <c r="I352" s="72"/>
    </row>
    <row r="353" spans="4:9">
      <c r="D353" s="92"/>
      <c r="E353" s="63"/>
      <c r="F353" s="63"/>
      <c r="G353" s="70"/>
      <c r="H353" s="74"/>
      <c r="I353" s="72"/>
    </row>
    <row r="354" spans="4:9">
      <c r="D354" s="92"/>
      <c r="E354" s="63"/>
      <c r="F354" s="63"/>
      <c r="G354" s="70"/>
      <c r="H354" s="74"/>
      <c r="I354" s="72"/>
    </row>
    <row r="355" spans="4:9">
      <c r="D355" s="92"/>
      <c r="E355" s="63"/>
      <c r="F355" s="63"/>
      <c r="G355" s="70"/>
      <c r="H355" s="74"/>
      <c r="I355" s="72"/>
    </row>
    <row r="356" spans="4:9">
      <c r="D356" s="92"/>
      <c r="E356" s="63"/>
      <c r="F356" s="63"/>
      <c r="G356" s="70"/>
      <c r="H356" s="74"/>
      <c r="I356" s="72"/>
    </row>
    <row r="357" spans="4:9">
      <c r="D357" s="92"/>
      <c r="E357" s="63"/>
      <c r="F357" s="63"/>
      <c r="G357" s="70"/>
      <c r="H357" s="74"/>
      <c r="I357" s="72"/>
    </row>
    <row r="358" spans="4:9">
      <c r="D358" s="92"/>
      <c r="E358" s="63"/>
      <c r="F358" s="63"/>
      <c r="G358" s="70"/>
      <c r="H358" s="74"/>
      <c r="I358" s="72"/>
    </row>
    <row r="359" spans="4:9">
      <c r="D359" s="92"/>
      <c r="E359" s="63"/>
      <c r="F359" s="63"/>
      <c r="G359" s="70"/>
      <c r="H359" s="74"/>
      <c r="I359" s="72"/>
    </row>
    <row r="360" spans="4:9">
      <c r="D360" s="92"/>
      <c r="E360" s="63"/>
      <c r="F360" s="63"/>
      <c r="G360" s="70"/>
      <c r="H360" s="74"/>
      <c r="I360" s="72"/>
    </row>
    <row r="361" spans="4:9">
      <c r="D361" s="92"/>
      <c r="E361" s="63"/>
      <c r="F361" s="63"/>
      <c r="G361" s="70"/>
      <c r="H361" s="74"/>
      <c r="I361" s="72"/>
    </row>
    <row r="362" spans="4:9">
      <c r="D362" s="92"/>
      <c r="E362" s="63"/>
      <c r="F362" s="63"/>
      <c r="G362" s="70"/>
      <c r="H362" s="74"/>
      <c r="I362" s="72"/>
    </row>
  </sheetData>
  <mergeCells count="1">
    <mergeCell ref="D11:F11"/>
  </mergeCells>
  <printOptions horizontalCentered="1"/>
  <pageMargins left="0" right="0" top="0.75" bottom="0.5" header="0.11" footer="0"/>
  <pageSetup scale="50" orientation="landscape" r:id="rId1"/>
  <headerFooter alignWithMargins="0"/>
  <rowBreaks count="2" manualBreakCount="2">
    <brk id="61" max="18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I268"/>
  <sheetViews>
    <sheetView zoomScaleNormal="100" workbookViewId="0">
      <pane xSplit="2" ySplit="20" topLeftCell="C245" activePane="bottomRight" state="frozen"/>
      <selection activeCell="E87" sqref="E87:E98"/>
      <selection pane="topRight" activeCell="E87" sqref="E87:E98"/>
      <selection pane="bottomLeft" activeCell="E87" sqref="E87:E98"/>
      <selection pane="bottomRight" activeCell="E120" sqref="E120"/>
    </sheetView>
  </sheetViews>
  <sheetFormatPr defaultRowHeight="10.5" outlineLevelRow="1"/>
  <cols>
    <col min="1" max="1" width="23.83203125" customWidth="1"/>
    <col min="2" max="2" width="17.33203125" bestFit="1" customWidth="1"/>
    <col min="3" max="3" width="12.6640625" customWidth="1"/>
    <col min="4" max="4" width="13.1640625" bestFit="1" customWidth="1"/>
    <col min="5" max="5" width="15.6640625" customWidth="1"/>
  </cols>
  <sheetData>
    <row r="1" spans="1:6" ht="12.75">
      <c r="A1" s="35" t="s">
        <v>8</v>
      </c>
    </row>
    <row r="2" spans="1:6" ht="12.75">
      <c r="A2" s="35" t="s">
        <v>182</v>
      </c>
    </row>
    <row r="3" spans="1:6" ht="12.75">
      <c r="A3" s="94" t="s">
        <v>183</v>
      </c>
    </row>
    <row r="5" spans="1:6" ht="12.75">
      <c r="A5" s="34"/>
      <c r="B5" s="34"/>
      <c r="C5" s="43" t="s">
        <v>79</v>
      </c>
      <c r="D5" s="55" t="s">
        <v>2</v>
      </c>
      <c r="E5" s="44" t="s">
        <v>134</v>
      </c>
    </row>
    <row r="6" spans="1:6" ht="12.75">
      <c r="A6" s="37"/>
      <c r="B6" s="58" t="s">
        <v>10</v>
      </c>
      <c r="C6" s="55" t="s">
        <v>20</v>
      </c>
      <c r="D6" s="55"/>
      <c r="E6" s="59" t="s">
        <v>26</v>
      </c>
    </row>
    <row r="7" spans="1:6" ht="12.75">
      <c r="A7" s="37"/>
      <c r="B7" s="58"/>
      <c r="C7" s="59" t="s">
        <v>105</v>
      </c>
      <c r="D7" s="59" t="s">
        <v>23</v>
      </c>
      <c r="E7" s="59" t="s">
        <v>94</v>
      </c>
      <c r="F7" s="102"/>
    </row>
    <row r="8" spans="1:6" ht="12.75">
      <c r="A8" s="47"/>
      <c r="B8" s="60"/>
      <c r="C8" s="662" t="s">
        <v>181</v>
      </c>
      <c r="D8" s="49"/>
      <c r="E8" s="51"/>
      <c r="F8" s="102"/>
    </row>
    <row r="9" spans="1:6" ht="12.75" hidden="1">
      <c r="A9" s="37"/>
      <c r="B9" s="58"/>
      <c r="C9" s="59"/>
      <c r="D9" s="59"/>
      <c r="E9" s="59"/>
      <c r="F9" s="102"/>
    </row>
    <row r="10" spans="1:6" ht="12.75" hidden="1">
      <c r="A10" s="37"/>
      <c r="B10" s="58"/>
      <c r="C10" s="59"/>
      <c r="D10" s="59"/>
      <c r="E10" s="59"/>
      <c r="F10" s="102"/>
    </row>
    <row r="11" spans="1:6" ht="12.75" hidden="1">
      <c r="A11" s="37"/>
      <c r="B11" s="58"/>
      <c r="C11" s="59"/>
      <c r="D11" s="59"/>
      <c r="E11" s="59"/>
      <c r="F11" s="102"/>
    </row>
    <row r="12" spans="1:6" ht="12.75" hidden="1">
      <c r="A12" s="37"/>
      <c r="B12" s="58"/>
      <c r="C12" s="59"/>
      <c r="D12" s="59"/>
      <c r="E12" s="59"/>
    </row>
    <row r="13" spans="1:6" ht="12.75" hidden="1">
      <c r="A13" s="37"/>
      <c r="B13" s="58"/>
      <c r="C13" s="59"/>
      <c r="D13" s="59"/>
      <c r="E13" s="59"/>
    </row>
    <row r="14" spans="1:6" ht="12.75" hidden="1">
      <c r="A14" s="37"/>
      <c r="B14" s="58"/>
      <c r="C14" s="59"/>
      <c r="D14" s="59"/>
      <c r="E14" s="59"/>
    </row>
    <row r="15" spans="1:6" ht="12.75" hidden="1">
      <c r="A15" s="37"/>
      <c r="B15" s="58"/>
      <c r="C15" s="59"/>
      <c r="D15" s="59"/>
      <c r="E15" s="59"/>
    </row>
    <row r="16" spans="1:6" ht="12.75" hidden="1">
      <c r="A16" s="37"/>
      <c r="B16" s="58"/>
      <c r="C16" s="59"/>
      <c r="D16" s="59"/>
      <c r="E16" s="59"/>
    </row>
    <row r="17" spans="1:5" ht="12.75" hidden="1">
      <c r="A17" s="37"/>
      <c r="B17" s="58"/>
      <c r="C17" s="59"/>
      <c r="D17" s="59"/>
      <c r="E17" s="59"/>
    </row>
    <row r="18" spans="1:5" ht="12.75" hidden="1">
      <c r="A18" s="37"/>
      <c r="B18" s="58"/>
      <c r="C18" s="59"/>
      <c r="D18" s="59"/>
      <c r="E18" s="59"/>
    </row>
    <row r="19" spans="1:5" ht="12.75" hidden="1">
      <c r="A19" s="37"/>
      <c r="B19" s="58"/>
      <c r="C19" s="59"/>
      <c r="D19" s="59"/>
      <c r="E19" s="59"/>
    </row>
    <row r="20" spans="1:5" ht="12.75" hidden="1">
      <c r="A20" s="37"/>
      <c r="B20" s="58"/>
      <c r="C20" s="59"/>
      <c r="D20" s="59"/>
      <c r="E20" s="59"/>
    </row>
    <row r="21" spans="1:5" ht="12.75" hidden="1" outlineLevel="1">
      <c r="A21" s="37"/>
      <c r="B21" s="58" t="s">
        <v>166</v>
      </c>
      <c r="C21" s="103"/>
      <c r="D21" s="115">
        <v>0</v>
      </c>
      <c r="E21" s="59"/>
    </row>
    <row r="22" spans="1:5" ht="12.75" hidden="1" outlineLevel="1">
      <c r="A22" s="37"/>
      <c r="B22" s="69">
        <v>40724</v>
      </c>
      <c r="C22" s="103"/>
      <c r="D22" s="115">
        <v>0</v>
      </c>
      <c r="E22" s="59"/>
    </row>
    <row r="23" spans="1:5" ht="12.75" hidden="1" outlineLevel="1">
      <c r="A23" s="37"/>
      <c r="B23" s="69">
        <v>40755</v>
      </c>
      <c r="C23" s="104"/>
      <c r="D23" s="115">
        <v>0</v>
      </c>
      <c r="E23" s="59"/>
    </row>
    <row r="24" spans="1:5" ht="12.75" hidden="1" outlineLevel="1">
      <c r="A24" s="37"/>
      <c r="B24" s="69">
        <v>40786</v>
      </c>
      <c r="C24" s="104"/>
      <c r="D24" s="115">
        <v>0</v>
      </c>
      <c r="E24" s="59"/>
    </row>
    <row r="25" spans="1:5" ht="12.75" hidden="1" outlineLevel="1">
      <c r="A25" s="37"/>
      <c r="B25" s="69">
        <v>40816</v>
      </c>
      <c r="C25" s="104"/>
      <c r="D25" s="115">
        <v>0</v>
      </c>
      <c r="E25" s="59"/>
    </row>
    <row r="26" spans="1:5" ht="12.75" hidden="1" outlineLevel="1">
      <c r="A26" s="37"/>
      <c r="B26" s="69">
        <v>40847</v>
      </c>
      <c r="C26" s="104"/>
      <c r="D26" s="115">
        <v>0</v>
      </c>
      <c r="E26" s="59"/>
    </row>
    <row r="27" spans="1:5" ht="12.75" hidden="1" outlineLevel="1">
      <c r="A27" s="37"/>
      <c r="B27" s="69">
        <v>40877</v>
      </c>
      <c r="C27" s="104">
        <v>18500000</v>
      </c>
      <c r="D27" s="104">
        <f>C27</f>
        <v>18500000</v>
      </c>
      <c r="E27" s="59"/>
    </row>
    <row r="28" spans="1:5" ht="12.75" hidden="1" outlineLevel="1">
      <c r="A28" s="37"/>
      <c r="B28" s="77">
        <v>40908</v>
      </c>
      <c r="C28" s="104"/>
      <c r="D28" s="104">
        <f t="shared" ref="D28:D91" si="0">D27</f>
        <v>18500000</v>
      </c>
      <c r="E28" s="59"/>
    </row>
    <row r="29" spans="1:5" ht="12.75" hidden="1" outlineLevel="1">
      <c r="A29" s="37"/>
      <c r="B29" s="69">
        <v>40939</v>
      </c>
      <c r="C29" s="104"/>
      <c r="D29" s="104">
        <f t="shared" si="0"/>
        <v>18500000</v>
      </c>
      <c r="E29" s="59"/>
    </row>
    <row r="30" spans="1:5" ht="12.75" hidden="1" outlineLevel="1">
      <c r="A30" s="37"/>
      <c r="B30" s="69">
        <v>40968</v>
      </c>
      <c r="C30" s="104"/>
      <c r="D30" s="104">
        <f t="shared" si="0"/>
        <v>18500000</v>
      </c>
      <c r="E30" s="59"/>
    </row>
    <row r="31" spans="1:5" ht="12.75" hidden="1" outlineLevel="1">
      <c r="A31" s="37"/>
      <c r="B31" s="69">
        <v>40999</v>
      </c>
      <c r="C31" s="104"/>
      <c r="D31" s="104">
        <f t="shared" si="0"/>
        <v>18500000</v>
      </c>
      <c r="E31" s="59"/>
    </row>
    <row r="32" spans="1:5" ht="12.75" hidden="1" outlineLevel="1">
      <c r="A32" s="34"/>
      <c r="B32" s="69">
        <v>41029</v>
      </c>
      <c r="C32" s="105"/>
      <c r="D32" s="104">
        <f t="shared" si="0"/>
        <v>18500000</v>
      </c>
      <c r="E32" s="70"/>
    </row>
    <row r="33" spans="1:9" s="100" customFormat="1" ht="12.75" hidden="1" outlineLevel="1">
      <c r="A33" s="36"/>
      <c r="B33" s="77">
        <v>41060</v>
      </c>
      <c r="C33" s="106"/>
      <c r="D33" s="104">
        <f t="shared" si="0"/>
        <v>18500000</v>
      </c>
      <c r="E33" s="70">
        <f>(D21+D33+SUM(D22:D32)*2)/24</f>
        <v>10020833.333333334</v>
      </c>
    </row>
    <row r="34" spans="1:9" ht="12.75" hidden="1" outlineLevel="1">
      <c r="A34" s="34"/>
      <c r="B34" s="69">
        <v>41090</v>
      </c>
      <c r="C34" s="107"/>
      <c r="D34" s="104">
        <f t="shared" si="0"/>
        <v>18500000</v>
      </c>
      <c r="E34" s="70">
        <f t="shared" ref="E34:E40" si="1">(D22+D34+SUM(D23:D33)*2)/24</f>
        <v>11562500</v>
      </c>
    </row>
    <row r="35" spans="1:9" ht="12.75" hidden="1" outlineLevel="1">
      <c r="A35" s="34"/>
      <c r="B35" s="69">
        <v>41121</v>
      </c>
      <c r="C35" s="107"/>
      <c r="D35" s="104">
        <f t="shared" si="0"/>
        <v>18500000</v>
      </c>
      <c r="E35" s="70">
        <f t="shared" si="1"/>
        <v>13104166.666666666</v>
      </c>
    </row>
    <row r="36" spans="1:9" ht="12.75" hidden="1" outlineLevel="1">
      <c r="A36" s="34"/>
      <c r="B36" s="69">
        <v>41152</v>
      </c>
      <c r="C36" s="107"/>
      <c r="D36" s="104">
        <f t="shared" si="0"/>
        <v>18500000</v>
      </c>
      <c r="E36" s="70">
        <f t="shared" si="1"/>
        <v>14645833.333333334</v>
      </c>
    </row>
    <row r="37" spans="1:9" ht="12.75" hidden="1" outlineLevel="1">
      <c r="A37" s="34"/>
      <c r="B37" s="69">
        <v>41182</v>
      </c>
      <c r="C37" s="107"/>
      <c r="D37" s="104">
        <f t="shared" si="0"/>
        <v>18500000</v>
      </c>
      <c r="E37" s="70">
        <f t="shared" si="1"/>
        <v>16187500</v>
      </c>
    </row>
    <row r="38" spans="1:9" ht="12.75" hidden="1" outlineLevel="1">
      <c r="A38" s="34"/>
      <c r="B38" s="69">
        <v>41213</v>
      </c>
      <c r="C38" s="107"/>
      <c r="D38" s="104">
        <f t="shared" si="0"/>
        <v>18500000</v>
      </c>
      <c r="E38" s="70">
        <f t="shared" si="1"/>
        <v>17729166.666666668</v>
      </c>
    </row>
    <row r="39" spans="1:9" ht="12.75" hidden="1" outlineLevel="1">
      <c r="A39" s="34"/>
      <c r="B39" s="69">
        <v>41243</v>
      </c>
      <c r="C39" s="107"/>
      <c r="D39" s="104">
        <f t="shared" si="0"/>
        <v>18500000</v>
      </c>
      <c r="E39" s="70">
        <f t="shared" si="1"/>
        <v>18500000</v>
      </c>
    </row>
    <row r="40" spans="1:9" ht="12.75" hidden="1" outlineLevel="1">
      <c r="A40" s="34"/>
      <c r="B40" s="77">
        <v>41274</v>
      </c>
      <c r="C40" s="107"/>
      <c r="D40" s="104">
        <f t="shared" si="0"/>
        <v>18500000</v>
      </c>
      <c r="E40" s="70">
        <f t="shared" si="1"/>
        <v>18500000</v>
      </c>
      <c r="F40" s="81"/>
      <c r="G40" s="81"/>
    </row>
    <row r="41" spans="1:9" ht="12.75" hidden="1" outlineLevel="1">
      <c r="A41" s="34"/>
      <c r="B41" s="69">
        <v>41305</v>
      </c>
      <c r="C41" s="74"/>
      <c r="D41" s="104">
        <f t="shared" si="0"/>
        <v>18500000</v>
      </c>
      <c r="E41" s="70">
        <f>(D29+D41+SUM(D30:D40)*2)/24</f>
        <v>18500000</v>
      </c>
    </row>
    <row r="42" spans="1:9" ht="12.75" hidden="1" outlineLevel="1">
      <c r="A42" s="34"/>
      <c r="B42" s="69">
        <v>41333</v>
      </c>
      <c r="C42" s="74"/>
      <c r="D42" s="104">
        <f t="shared" si="0"/>
        <v>18500000</v>
      </c>
      <c r="E42" s="70">
        <f>(D30+D42+SUM(D31:D41)*2)/24</f>
        <v>18500000</v>
      </c>
      <c r="F42" s="81"/>
      <c r="I42" t="s">
        <v>160</v>
      </c>
    </row>
    <row r="43" spans="1:9" ht="12.75" hidden="1" outlineLevel="1">
      <c r="A43" s="34"/>
      <c r="B43" s="69">
        <v>41364</v>
      </c>
      <c r="C43" s="74"/>
      <c r="D43" s="104">
        <f t="shared" si="0"/>
        <v>18500000</v>
      </c>
      <c r="E43" s="70">
        <f>(D31+D43+SUM(D32:D42)*2)/24</f>
        <v>18500000</v>
      </c>
    </row>
    <row r="44" spans="1:9" ht="12.75" hidden="1" outlineLevel="1">
      <c r="B44" s="69">
        <v>41394</v>
      </c>
      <c r="D44" s="104">
        <f t="shared" si="0"/>
        <v>18500000</v>
      </c>
      <c r="E44" s="70">
        <f>(D32+D44+SUM(D33:D43)*2)/24</f>
        <v>18500000</v>
      </c>
    </row>
    <row r="45" spans="1:9" ht="12.75" hidden="1" outlineLevel="1">
      <c r="B45" s="77">
        <v>41425</v>
      </c>
      <c r="D45" s="104">
        <f t="shared" si="0"/>
        <v>18500000</v>
      </c>
      <c r="E45" s="70">
        <f t="shared" ref="E45:E52" si="2">(D33+D45+SUM(D34:D44)*2)/24</f>
        <v>18500000</v>
      </c>
    </row>
    <row r="46" spans="1:9" ht="12.75" hidden="1" outlineLevel="1">
      <c r="B46" s="69">
        <v>41455</v>
      </c>
      <c r="D46" s="104">
        <f t="shared" si="0"/>
        <v>18500000</v>
      </c>
      <c r="E46" s="70">
        <f t="shared" si="2"/>
        <v>18500000</v>
      </c>
    </row>
    <row r="47" spans="1:9" ht="12.75" hidden="1" outlineLevel="1">
      <c r="B47" s="69">
        <v>41486</v>
      </c>
      <c r="C47" s="81"/>
      <c r="D47" s="104">
        <f t="shared" si="0"/>
        <v>18500000</v>
      </c>
      <c r="E47" s="70">
        <f t="shared" si="2"/>
        <v>18500000</v>
      </c>
    </row>
    <row r="48" spans="1:9" ht="12.75" hidden="1" outlineLevel="1">
      <c r="B48" s="69">
        <v>41517</v>
      </c>
      <c r="D48" s="104">
        <f t="shared" si="0"/>
        <v>18500000</v>
      </c>
      <c r="E48" s="70">
        <f t="shared" si="2"/>
        <v>18500000</v>
      </c>
    </row>
    <row r="49" spans="2:8" ht="12.75" hidden="1" outlineLevel="1">
      <c r="B49" s="69">
        <v>41547</v>
      </c>
      <c r="C49" s="81"/>
      <c r="D49" s="104">
        <f t="shared" si="0"/>
        <v>18500000</v>
      </c>
      <c r="E49" s="70">
        <f t="shared" si="2"/>
        <v>18500000</v>
      </c>
    </row>
    <row r="50" spans="2:8" ht="12.75" hidden="1" outlineLevel="1">
      <c r="B50" s="69">
        <v>41578</v>
      </c>
      <c r="C50" s="81"/>
      <c r="D50" s="104">
        <f t="shared" si="0"/>
        <v>18500000</v>
      </c>
      <c r="E50" s="70">
        <f t="shared" si="2"/>
        <v>18500000</v>
      </c>
    </row>
    <row r="51" spans="2:8" ht="12.75" hidden="1" outlineLevel="1">
      <c r="B51" s="69">
        <v>41608</v>
      </c>
      <c r="D51" s="104">
        <f t="shared" si="0"/>
        <v>18500000</v>
      </c>
      <c r="E51" s="70">
        <f t="shared" si="2"/>
        <v>18500000</v>
      </c>
    </row>
    <row r="52" spans="2:8" ht="12.75" hidden="1" outlineLevel="1">
      <c r="B52" s="77">
        <v>41639</v>
      </c>
      <c r="C52" s="81"/>
      <c r="D52" s="104">
        <f t="shared" si="0"/>
        <v>18500000</v>
      </c>
      <c r="E52" s="70">
        <f t="shared" si="2"/>
        <v>18500000</v>
      </c>
      <c r="F52" s="81"/>
      <c r="G52" s="81"/>
      <c r="H52" s="81"/>
    </row>
    <row r="53" spans="2:8" ht="12.75" hidden="1" outlineLevel="1">
      <c r="B53" s="69">
        <v>41670</v>
      </c>
      <c r="C53" s="81"/>
      <c r="D53" s="104">
        <f t="shared" si="0"/>
        <v>18500000</v>
      </c>
      <c r="E53" s="70">
        <f t="shared" ref="E53:E64" si="3">(D41+D53+SUM(D42:D52)*2)/24</f>
        <v>18500000</v>
      </c>
      <c r="F53" s="81"/>
      <c r="G53" s="81"/>
      <c r="H53" s="81"/>
    </row>
    <row r="54" spans="2:8" ht="12.75" hidden="1" outlineLevel="1">
      <c r="B54" s="69">
        <v>41698</v>
      </c>
      <c r="C54" s="81"/>
      <c r="D54" s="104">
        <f t="shared" si="0"/>
        <v>18500000</v>
      </c>
      <c r="E54" s="70">
        <f t="shared" si="3"/>
        <v>18500000</v>
      </c>
      <c r="F54" s="81"/>
    </row>
    <row r="55" spans="2:8" ht="12.75" hidden="1" outlineLevel="1">
      <c r="B55" s="69">
        <v>41729</v>
      </c>
      <c r="C55" s="81"/>
      <c r="D55" s="104">
        <f t="shared" si="0"/>
        <v>18500000</v>
      </c>
      <c r="E55" s="70">
        <f t="shared" si="3"/>
        <v>18500000</v>
      </c>
      <c r="F55" s="81"/>
    </row>
    <row r="56" spans="2:8" ht="12.75" hidden="1" outlineLevel="1">
      <c r="B56" s="69">
        <v>41759</v>
      </c>
      <c r="C56" s="81"/>
      <c r="D56" s="104">
        <f t="shared" si="0"/>
        <v>18500000</v>
      </c>
      <c r="E56" s="70">
        <f t="shared" si="3"/>
        <v>18500000</v>
      </c>
    </row>
    <row r="57" spans="2:8" ht="12.75" hidden="1" outlineLevel="1">
      <c r="B57" s="77">
        <v>41790</v>
      </c>
      <c r="C57" s="81"/>
      <c r="D57" s="104">
        <f t="shared" si="0"/>
        <v>18500000</v>
      </c>
      <c r="E57" s="70">
        <f t="shared" si="3"/>
        <v>18500000</v>
      </c>
    </row>
    <row r="58" spans="2:8" ht="12.75" hidden="1" outlineLevel="1">
      <c r="B58" s="69">
        <v>41820</v>
      </c>
      <c r="D58" s="104">
        <f t="shared" si="0"/>
        <v>18500000</v>
      </c>
      <c r="E58" s="70">
        <f t="shared" si="3"/>
        <v>18500000</v>
      </c>
    </row>
    <row r="59" spans="2:8" ht="12.75" hidden="1" outlineLevel="1">
      <c r="B59" s="69">
        <v>41851</v>
      </c>
      <c r="C59" s="81"/>
      <c r="D59" s="104">
        <f t="shared" si="0"/>
        <v>18500000</v>
      </c>
      <c r="E59" s="70">
        <f t="shared" si="3"/>
        <v>18500000</v>
      </c>
    </row>
    <row r="60" spans="2:8" ht="12.75" hidden="1" outlineLevel="1">
      <c r="B60" s="69">
        <v>41882</v>
      </c>
      <c r="C60" s="81"/>
      <c r="D60" s="104">
        <f t="shared" si="0"/>
        <v>18500000</v>
      </c>
      <c r="E60" s="70">
        <f t="shared" si="3"/>
        <v>18500000</v>
      </c>
      <c r="F60" s="81"/>
    </row>
    <row r="61" spans="2:8" ht="12.75" hidden="1" outlineLevel="1">
      <c r="B61" s="69">
        <v>41912</v>
      </c>
      <c r="C61" s="81"/>
      <c r="D61" s="104">
        <f t="shared" si="0"/>
        <v>18500000</v>
      </c>
      <c r="E61" s="70">
        <f t="shared" si="3"/>
        <v>18500000</v>
      </c>
      <c r="F61" s="81"/>
    </row>
    <row r="62" spans="2:8" ht="12.75" hidden="1" outlineLevel="1">
      <c r="B62" s="69">
        <v>41943</v>
      </c>
      <c r="C62" s="81"/>
      <c r="D62" s="104">
        <f t="shared" si="0"/>
        <v>18500000</v>
      </c>
      <c r="E62" s="70">
        <f t="shared" si="3"/>
        <v>18500000</v>
      </c>
      <c r="F62" s="81"/>
      <c r="G62" s="81"/>
    </row>
    <row r="63" spans="2:8" ht="12.75" hidden="1" outlineLevel="1">
      <c r="B63" s="69">
        <v>41973</v>
      </c>
      <c r="D63" s="104">
        <f t="shared" si="0"/>
        <v>18500000</v>
      </c>
      <c r="E63" s="70">
        <f t="shared" si="3"/>
        <v>18500000</v>
      </c>
    </row>
    <row r="64" spans="2:8" ht="12.75" hidden="1" outlineLevel="1">
      <c r="B64" s="77">
        <v>42004</v>
      </c>
      <c r="C64" s="81"/>
      <c r="D64" s="104">
        <f t="shared" si="0"/>
        <v>18500000</v>
      </c>
      <c r="E64" s="70">
        <f t="shared" si="3"/>
        <v>18500000</v>
      </c>
      <c r="F64" s="81"/>
      <c r="G64" s="81"/>
      <c r="H64" s="81"/>
    </row>
    <row r="65" spans="2:8" ht="12.75" hidden="1" outlineLevel="1">
      <c r="B65" s="69">
        <v>42035</v>
      </c>
      <c r="C65" s="81"/>
      <c r="D65" s="104">
        <f t="shared" si="0"/>
        <v>18500000</v>
      </c>
      <c r="E65" s="70">
        <f>(D53+D65+SUM(D54:D64)*2)/24</f>
        <v>18500000</v>
      </c>
      <c r="F65" s="81"/>
      <c r="G65" s="81"/>
      <c r="H65" s="81"/>
    </row>
    <row r="66" spans="2:8" ht="12.75" hidden="1" outlineLevel="1">
      <c r="B66" s="69">
        <v>42063</v>
      </c>
      <c r="C66" s="81"/>
      <c r="D66" s="104">
        <f t="shared" si="0"/>
        <v>18500000</v>
      </c>
      <c r="E66" s="70">
        <f t="shared" ref="E66:E76" si="4">(D54+D66+SUM(D55:D65)*2)/24</f>
        <v>18500000</v>
      </c>
      <c r="F66" s="81"/>
    </row>
    <row r="67" spans="2:8" ht="12.75" hidden="1" outlineLevel="1">
      <c r="B67" s="69">
        <v>42094</v>
      </c>
      <c r="C67" s="81"/>
      <c r="D67" s="104">
        <f t="shared" si="0"/>
        <v>18500000</v>
      </c>
      <c r="E67" s="70">
        <f t="shared" si="4"/>
        <v>18500000</v>
      </c>
      <c r="F67" s="81"/>
    </row>
    <row r="68" spans="2:8" ht="12.75" hidden="1" outlineLevel="1">
      <c r="B68" s="69">
        <v>42124</v>
      </c>
      <c r="C68" s="81"/>
      <c r="D68" s="104">
        <f t="shared" si="0"/>
        <v>18500000</v>
      </c>
      <c r="E68" s="70">
        <f t="shared" si="4"/>
        <v>18500000</v>
      </c>
      <c r="F68" s="81"/>
    </row>
    <row r="69" spans="2:8" ht="12.75" hidden="1" outlineLevel="1">
      <c r="B69" s="77">
        <v>42155</v>
      </c>
      <c r="D69" s="104">
        <f t="shared" si="0"/>
        <v>18500000</v>
      </c>
      <c r="E69" s="70">
        <f t="shared" si="4"/>
        <v>18500000</v>
      </c>
    </row>
    <row r="70" spans="2:8" ht="12.75" hidden="1" outlineLevel="1">
      <c r="B70" s="77">
        <v>42185</v>
      </c>
      <c r="D70" s="104">
        <f t="shared" si="0"/>
        <v>18500000</v>
      </c>
      <c r="E70" s="70">
        <f t="shared" si="4"/>
        <v>18500000</v>
      </c>
    </row>
    <row r="71" spans="2:8" ht="12.75" hidden="1" outlineLevel="1">
      <c r="B71" s="69">
        <v>42216</v>
      </c>
      <c r="C71" s="81"/>
      <c r="D71" s="104">
        <f t="shared" si="0"/>
        <v>18500000</v>
      </c>
      <c r="E71" s="70">
        <f t="shared" si="4"/>
        <v>18500000</v>
      </c>
      <c r="F71" s="81"/>
      <c r="G71" s="81"/>
    </row>
    <row r="72" spans="2:8" ht="12.75" hidden="1" outlineLevel="1">
      <c r="B72" s="69">
        <v>42247</v>
      </c>
      <c r="C72" s="81"/>
      <c r="D72" s="104">
        <f t="shared" si="0"/>
        <v>18500000</v>
      </c>
      <c r="E72" s="70">
        <f t="shared" si="4"/>
        <v>18500000</v>
      </c>
      <c r="F72" s="81"/>
      <c r="G72" s="81"/>
    </row>
    <row r="73" spans="2:8" ht="12.75" hidden="1" outlineLevel="1">
      <c r="B73" s="69">
        <v>42277</v>
      </c>
      <c r="C73" s="81"/>
      <c r="D73" s="104">
        <f t="shared" si="0"/>
        <v>18500000</v>
      </c>
      <c r="E73" s="70">
        <f t="shared" si="4"/>
        <v>18500000</v>
      </c>
      <c r="F73" s="81"/>
      <c r="G73" s="81"/>
    </row>
    <row r="74" spans="2:8" ht="12.75" hidden="1" outlineLevel="1">
      <c r="B74" s="69">
        <v>42308</v>
      </c>
      <c r="C74" s="81"/>
      <c r="D74" s="104">
        <f t="shared" si="0"/>
        <v>18500000</v>
      </c>
      <c r="E74" s="70">
        <f t="shared" si="4"/>
        <v>18500000</v>
      </c>
    </row>
    <row r="75" spans="2:8" ht="12.75" hidden="1" outlineLevel="1">
      <c r="B75" s="69">
        <v>42338</v>
      </c>
      <c r="C75" s="81"/>
      <c r="D75" s="104">
        <f t="shared" si="0"/>
        <v>18500000</v>
      </c>
      <c r="E75" s="70">
        <f t="shared" si="4"/>
        <v>18500000</v>
      </c>
      <c r="F75" s="81"/>
    </row>
    <row r="76" spans="2:8" ht="12.75" hidden="1" outlineLevel="1">
      <c r="B76" s="77">
        <v>42369</v>
      </c>
      <c r="D76" s="104">
        <f t="shared" si="0"/>
        <v>18500000</v>
      </c>
      <c r="E76" s="70">
        <f t="shared" si="4"/>
        <v>18500000</v>
      </c>
    </row>
    <row r="77" spans="2:8" ht="12.75" hidden="1" outlineLevel="1">
      <c r="B77" s="69">
        <v>42400</v>
      </c>
      <c r="C77" s="81"/>
      <c r="D77" s="104">
        <f t="shared" si="0"/>
        <v>18500000</v>
      </c>
      <c r="E77" s="70">
        <f t="shared" ref="E77:E88" si="5">(D65+D77+SUM(D66:D76)*2)/24</f>
        <v>18500000</v>
      </c>
      <c r="F77" s="81"/>
    </row>
    <row r="78" spans="2:8" ht="12.75" hidden="1" outlineLevel="1">
      <c r="B78" s="69">
        <v>42428</v>
      </c>
      <c r="C78" s="81"/>
      <c r="D78" s="104">
        <f t="shared" si="0"/>
        <v>18500000</v>
      </c>
      <c r="E78" s="70">
        <f t="shared" si="5"/>
        <v>18500000</v>
      </c>
      <c r="F78" s="81"/>
    </row>
    <row r="79" spans="2:8" ht="12.75" hidden="1" outlineLevel="1">
      <c r="B79" s="69">
        <v>42460</v>
      </c>
      <c r="C79" s="81"/>
      <c r="D79" s="104">
        <f t="shared" si="0"/>
        <v>18500000</v>
      </c>
      <c r="E79" s="70">
        <f t="shared" si="5"/>
        <v>18500000</v>
      </c>
      <c r="F79" s="81"/>
      <c r="G79" s="81"/>
      <c r="H79" s="81"/>
    </row>
    <row r="80" spans="2:8" ht="12.75" hidden="1" outlineLevel="1">
      <c r="B80" s="69">
        <v>42490</v>
      </c>
      <c r="C80" s="81"/>
      <c r="D80" s="104">
        <f t="shared" si="0"/>
        <v>18500000</v>
      </c>
      <c r="E80" s="70">
        <f t="shared" si="5"/>
        <v>18500000</v>
      </c>
      <c r="F80" s="81"/>
    </row>
    <row r="81" spans="2:9" ht="12.75" hidden="1" outlineLevel="1">
      <c r="B81" s="77">
        <v>42521</v>
      </c>
      <c r="C81" s="81"/>
      <c r="D81" s="104">
        <f t="shared" si="0"/>
        <v>18500000</v>
      </c>
      <c r="E81" s="70">
        <f t="shared" si="5"/>
        <v>18500000</v>
      </c>
      <c r="F81" s="81"/>
      <c r="G81" s="81"/>
      <c r="H81" s="81"/>
      <c r="I81" s="81"/>
    </row>
    <row r="82" spans="2:9" ht="12.75" hidden="1" outlineLevel="1">
      <c r="B82" s="69">
        <v>42551</v>
      </c>
      <c r="C82" s="81"/>
      <c r="D82" s="104">
        <f t="shared" si="0"/>
        <v>18500000</v>
      </c>
      <c r="E82" s="70">
        <f t="shared" si="5"/>
        <v>18500000</v>
      </c>
      <c r="F82" s="81"/>
    </row>
    <row r="83" spans="2:9" ht="12.75" hidden="1" outlineLevel="1">
      <c r="B83" s="69">
        <v>42582</v>
      </c>
      <c r="C83" s="81"/>
      <c r="D83" s="104">
        <f t="shared" si="0"/>
        <v>18500000</v>
      </c>
      <c r="E83" s="70">
        <f t="shared" si="5"/>
        <v>18500000</v>
      </c>
      <c r="F83" s="81"/>
      <c r="G83" s="81"/>
    </row>
    <row r="84" spans="2:9" ht="12.75" hidden="1" outlineLevel="1">
      <c r="B84" s="69">
        <v>42613</v>
      </c>
      <c r="C84" s="81"/>
      <c r="D84" s="104">
        <f t="shared" si="0"/>
        <v>18500000</v>
      </c>
      <c r="E84" s="70">
        <f t="shared" si="5"/>
        <v>18500000</v>
      </c>
    </row>
    <row r="85" spans="2:9" ht="12.75" hidden="1" outlineLevel="1">
      <c r="B85" s="69">
        <v>42643</v>
      </c>
      <c r="C85" s="81"/>
      <c r="D85" s="104">
        <f t="shared" si="0"/>
        <v>18500000</v>
      </c>
      <c r="E85" s="70">
        <f t="shared" si="5"/>
        <v>18500000</v>
      </c>
    </row>
    <row r="86" spans="2:9" ht="12.75" hidden="1" outlineLevel="1">
      <c r="B86" s="69">
        <v>42674</v>
      </c>
      <c r="D86" s="104">
        <f t="shared" si="0"/>
        <v>18500000</v>
      </c>
      <c r="E86" s="70">
        <f t="shared" si="5"/>
        <v>18500000</v>
      </c>
    </row>
    <row r="87" spans="2:9" ht="12.75" hidden="1" outlineLevel="1">
      <c r="B87" s="69">
        <v>42704</v>
      </c>
      <c r="D87" s="104">
        <f t="shared" si="0"/>
        <v>18500000</v>
      </c>
      <c r="E87" s="70">
        <f t="shared" si="5"/>
        <v>18500000</v>
      </c>
    </row>
    <row r="88" spans="2:9" ht="12.75" hidden="1" outlineLevel="1">
      <c r="B88" s="77">
        <v>42735</v>
      </c>
      <c r="D88" s="104">
        <f t="shared" si="0"/>
        <v>18500000</v>
      </c>
      <c r="E88" s="70">
        <f t="shared" si="5"/>
        <v>18500000</v>
      </c>
    </row>
    <row r="89" spans="2:9" ht="12.75" hidden="1" outlineLevel="1">
      <c r="B89" s="69">
        <v>42766</v>
      </c>
      <c r="D89" s="104">
        <f t="shared" si="0"/>
        <v>18500000</v>
      </c>
      <c r="E89" s="70">
        <f t="shared" ref="E89:E100" si="6">(D77+D89+SUM(D78:D88)*2)/24</f>
        <v>18500000</v>
      </c>
    </row>
    <row r="90" spans="2:9" ht="12.75" hidden="1" outlineLevel="1">
      <c r="B90" s="69">
        <v>42794</v>
      </c>
      <c r="D90" s="104">
        <f t="shared" si="0"/>
        <v>18500000</v>
      </c>
      <c r="E90" s="70">
        <f t="shared" si="6"/>
        <v>18500000</v>
      </c>
    </row>
    <row r="91" spans="2:9" ht="12.75" hidden="1" outlineLevel="1">
      <c r="B91" s="69">
        <v>42825</v>
      </c>
      <c r="D91" s="104">
        <f t="shared" si="0"/>
        <v>18500000</v>
      </c>
      <c r="E91" s="70">
        <f t="shared" si="6"/>
        <v>18500000</v>
      </c>
    </row>
    <row r="92" spans="2:9" ht="12.75" hidden="1" outlineLevel="1">
      <c r="B92" s="69">
        <v>42855</v>
      </c>
      <c r="D92" s="104">
        <f t="shared" ref="D92:D155" si="7">D91</f>
        <v>18500000</v>
      </c>
      <c r="E92" s="70">
        <f t="shared" si="6"/>
        <v>18500000</v>
      </c>
    </row>
    <row r="93" spans="2:9" ht="12.75" hidden="1" outlineLevel="1">
      <c r="B93" s="77">
        <v>42886</v>
      </c>
      <c r="D93" s="104">
        <f t="shared" si="7"/>
        <v>18500000</v>
      </c>
      <c r="E93" s="70">
        <f t="shared" si="6"/>
        <v>18500000</v>
      </c>
    </row>
    <row r="94" spans="2:9" ht="12.75" hidden="1" outlineLevel="1">
      <c r="B94" s="69">
        <v>42916</v>
      </c>
      <c r="D94" s="104">
        <f t="shared" si="7"/>
        <v>18500000</v>
      </c>
      <c r="E94" s="70">
        <f t="shared" si="6"/>
        <v>18500000</v>
      </c>
    </row>
    <row r="95" spans="2:9" ht="12.75" hidden="1" outlineLevel="1">
      <c r="B95" s="69">
        <v>42947</v>
      </c>
      <c r="D95" s="104">
        <f t="shared" si="7"/>
        <v>18500000</v>
      </c>
      <c r="E95" s="70">
        <f t="shared" si="6"/>
        <v>18500000</v>
      </c>
    </row>
    <row r="96" spans="2:9" ht="12.75" hidden="1" outlineLevel="1">
      <c r="B96" s="69">
        <v>42978</v>
      </c>
      <c r="D96" s="104">
        <f t="shared" si="7"/>
        <v>18500000</v>
      </c>
      <c r="E96" s="70">
        <f t="shared" si="6"/>
        <v>18500000</v>
      </c>
    </row>
    <row r="97" spans="2:5" ht="12.75" hidden="1" outlineLevel="1">
      <c r="B97" s="69">
        <v>43008</v>
      </c>
      <c r="D97" s="104">
        <f t="shared" si="7"/>
        <v>18500000</v>
      </c>
      <c r="E97" s="70">
        <f t="shared" si="6"/>
        <v>18500000</v>
      </c>
    </row>
    <row r="98" spans="2:5" ht="12.75" hidden="1" outlineLevel="1">
      <c r="B98" s="69">
        <v>43039</v>
      </c>
      <c r="D98" s="104">
        <f t="shared" si="7"/>
        <v>18500000</v>
      </c>
      <c r="E98" s="70">
        <f t="shared" si="6"/>
        <v>18500000</v>
      </c>
    </row>
    <row r="99" spans="2:5" ht="12.75" hidden="1" outlineLevel="1">
      <c r="B99" s="69">
        <v>43069</v>
      </c>
      <c r="D99" s="104">
        <f t="shared" si="7"/>
        <v>18500000</v>
      </c>
      <c r="E99" s="70">
        <f t="shared" si="6"/>
        <v>18500000</v>
      </c>
    </row>
    <row r="100" spans="2:5" ht="12.75" hidden="1" outlineLevel="1">
      <c r="B100" s="77">
        <v>43100</v>
      </c>
      <c r="D100" s="104">
        <f t="shared" si="7"/>
        <v>18500000</v>
      </c>
      <c r="E100" s="70">
        <f t="shared" si="6"/>
        <v>18500000</v>
      </c>
    </row>
    <row r="101" spans="2:5" ht="12.75" collapsed="1">
      <c r="B101" s="69">
        <v>43131</v>
      </c>
      <c r="D101" s="104">
        <f t="shared" si="7"/>
        <v>18500000</v>
      </c>
      <c r="E101" s="70">
        <f t="shared" ref="E101:E112" si="8">(D89+D101+SUM(D90:D100)*2)/24</f>
        <v>18500000</v>
      </c>
    </row>
    <row r="102" spans="2:5" ht="12.75">
      <c r="B102" s="69">
        <v>43159</v>
      </c>
      <c r="D102" s="104">
        <f t="shared" si="7"/>
        <v>18500000</v>
      </c>
      <c r="E102" s="70">
        <f t="shared" si="8"/>
        <v>18500000</v>
      </c>
    </row>
    <row r="103" spans="2:5" ht="12.75">
      <c r="B103" s="69">
        <v>43190</v>
      </c>
      <c r="D103" s="104">
        <f t="shared" si="7"/>
        <v>18500000</v>
      </c>
      <c r="E103" s="70">
        <f t="shared" si="8"/>
        <v>18500000</v>
      </c>
    </row>
    <row r="104" spans="2:5" ht="12.75">
      <c r="B104" s="69">
        <v>43220</v>
      </c>
      <c r="D104" s="104">
        <f t="shared" si="7"/>
        <v>18500000</v>
      </c>
      <c r="E104" s="70">
        <f t="shared" si="8"/>
        <v>18500000</v>
      </c>
    </row>
    <row r="105" spans="2:5" ht="12.75">
      <c r="B105" s="77">
        <v>43251</v>
      </c>
      <c r="D105" s="104">
        <f t="shared" si="7"/>
        <v>18500000</v>
      </c>
      <c r="E105" s="70">
        <f t="shared" si="8"/>
        <v>18500000</v>
      </c>
    </row>
    <row r="106" spans="2:5" ht="12.75">
      <c r="B106" s="69">
        <v>43281</v>
      </c>
      <c r="D106" s="104">
        <f t="shared" si="7"/>
        <v>18500000</v>
      </c>
      <c r="E106" s="70">
        <f t="shared" si="8"/>
        <v>18500000</v>
      </c>
    </row>
    <row r="107" spans="2:5" ht="12.75">
      <c r="B107" s="69">
        <v>43312</v>
      </c>
      <c r="D107" s="104">
        <f t="shared" si="7"/>
        <v>18500000</v>
      </c>
      <c r="E107" s="70">
        <f t="shared" si="8"/>
        <v>18500000</v>
      </c>
    </row>
    <row r="108" spans="2:5" ht="12.75">
      <c r="B108" s="69">
        <v>43343</v>
      </c>
      <c r="D108" s="104">
        <f t="shared" si="7"/>
        <v>18500000</v>
      </c>
      <c r="E108" s="70">
        <f t="shared" si="8"/>
        <v>18500000</v>
      </c>
    </row>
    <row r="109" spans="2:5" ht="12.75">
      <c r="B109" s="69">
        <v>43373</v>
      </c>
      <c r="D109" s="104">
        <f t="shared" si="7"/>
        <v>18500000</v>
      </c>
      <c r="E109" s="70">
        <f t="shared" si="8"/>
        <v>18500000</v>
      </c>
    </row>
    <row r="110" spans="2:5" ht="12.75">
      <c r="B110" s="69">
        <v>43404</v>
      </c>
      <c r="D110" s="104">
        <f t="shared" si="7"/>
        <v>18500000</v>
      </c>
      <c r="E110" s="70">
        <f t="shared" si="8"/>
        <v>18500000</v>
      </c>
    </row>
    <row r="111" spans="2:5" ht="12.75">
      <c r="B111" s="69">
        <v>43434</v>
      </c>
      <c r="D111" s="104">
        <f t="shared" si="7"/>
        <v>18500000</v>
      </c>
      <c r="E111" s="70">
        <f t="shared" si="8"/>
        <v>18500000</v>
      </c>
    </row>
    <row r="112" spans="2:5" ht="12.75">
      <c r="B112" s="77">
        <v>43465</v>
      </c>
      <c r="D112" s="104">
        <f t="shared" si="7"/>
        <v>18500000</v>
      </c>
      <c r="E112" s="70">
        <f t="shared" si="8"/>
        <v>18500000</v>
      </c>
    </row>
    <row r="113" spans="2:5" ht="12.75">
      <c r="B113" s="69">
        <v>43496</v>
      </c>
      <c r="D113" s="104">
        <f t="shared" si="7"/>
        <v>18500000</v>
      </c>
      <c r="E113" s="70">
        <f t="shared" ref="E113:E124" si="9">(D101+D113+SUM(D102:D112)*2)/24</f>
        <v>18500000</v>
      </c>
    </row>
    <row r="114" spans="2:5" ht="12.75">
      <c r="B114" s="69">
        <v>43524</v>
      </c>
      <c r="D114" s="104">
        <f t="shared" si="7"/>
        <v>18500000</v>
      </c>
      <c r="E114" s="70">
        <f t="shared" si="9"/>
        <v>18500000</v>
      </c>
    </row>
    <row r="115" spans="2:5" ht="12.75">
      <c r="B115" s="69">
        <v>43555</v>
      </c>
      <c r="D115" s="104">
        <f t="shared" si="7"/>
        <v>18500000</v>
      </c>
      <c r="E115" s="70">
        <f t="shared" si="9"/>
        <v>18500000</v>
      </c>
    </row>
    <row r="116" spans="2:5" ht="12.75">
      <c r="B116" s="69">
        <v>43585</v>
      </c>
      <c r="D116" s="104">
        <f t="shared" si="7"/>
        <v>18500000</v>
      </c>
      <c r="E116" s="70">
        <f t="shared" si="9"/>
        <v>18500000</v>
      </c>
    </row>
    <row r="117" spans="2:5" ht="12.75">
      <c r="B117" s="77">
        <v>43616</v>
      </c>
      <c r="D117" s="104">
        <f t="shared" si="7"/>
        <v>18500000</v>
      </c>
      <c r="E117" s="70">
        <f t="shared" si="9"/>
        <v>18500000</v>
      </c>
    </row>
    <row r="118" spans="2:5" ht="12.75">
      <c r="B118" s="69">
        <v>43646</v>
      </c>
      <c r="D118" s="104">
        <f t="shared" si="7"/>
        <v>18500000</v>
      </c>
      <c r="E118" s="70">
        <f t="shared" si="9"/>
        <v>18500000</v>
      </c>
    </row>
    <row r="119" spans="2:5" ht="12.75">
      <c r="B119" s="69">
        <v>43677</v>
      </c>
      <c r="D119" s="104">
        <f t="shared" si="7"/>
        <v>18500000</v>
      </c>
      <c r="E119" s="70">
        <f t="shared" si="9"/>
        <v>18500000</v>
      </c>
    </row>
    <row r="120" spans="2:5" ht="12.75">
      <c r="B120" s="69">
        <v>43708</v>
      </c>
      <c r="D120" s="104">
        <f t="shared" si="7"/>
        <v>18500000</v>
      </c>
      <c r="E120" s="70">
        <f t="shared" si="9"/>
        <v>18500000</v>
      </c>
    </row>
    <row r="121" spans="2:5" ht="12.75">
      <c r="B121" s="69">
        <v>43738</v>
      </c>
      <c r="D121" s="104">
        <f t="shared" si="7"/>
        <v>18500000</v>
      </c>
      <c r="E121" s="70">
        <f t="shared" si="9"/>
        <v>18500000</v>
      </c>
    </row>
    <row r="122" spans="2:5" ht="12.75">
      <c r="B122" s="69">
        <v>43769</v>
      </c>
      <c r="D122" s="104">
        <f t="shared" si="7"/>
        <v>18500000</v>
      </c>
      <c r="E122" s="70">
        <f t="shared" si="9"/>
        <v>18500000</v>
      </c>
    </row>
    <row r="123" spans="2:5" ht="12.75">
      <c r="B123" s="69">
        <v>43799</v>
      </c>
      <c r="D123" s="104">
        <f t="shared" si="7"/>
        <v>18500000</v>
      </c>
      <c r="E123" s="70">
        <f t="shared" si="9"/>
        <v>18500000</v>
      </c>
    </row>
    <row r="124" spans="2:5" ht="12.75">
      <c r="B124" s="77">
        <v>43830</v>
      </c>
      <c r="D124" s="104">
        <f t="shared" si="7"/>
        <v>18500000</v>
      </c>
      <c r="E124" s="70">
        <f t="shared" si="9"/>
        <v>18500000</v>
      </c>
    </row>
    <row r="125" spans="2:5" ht="12.75" outlineLevel="1">
      <c r="B125" s="69">
        <v>43861</v>
      </c>
      <c r="D125" s="104">
        <f t="shared" si="7"/>
        <v>18500000</v>
      </c>
      <c r="E125" s="70">
        <f t="shared" ref="E125:E136" si="10">(D113+D125+SUM(D114:D124)*2)/24</f>
        <v>18500000</v>
      </c>
    </row>
    <row r="126" spans="2:5" ht="12.75" outlineLevel="1">
      <c r="B126" s="69">
        <v>43889</v>
      </c>
      <c r="D126" s="104">
        <f t="shared" si="7"/>
        <v>18500000</v>
      </c>
      <c r="E126" s="70">
        <f t="shared" si="10"/>
        <v>18500000</v>
      </c>
    </row>
    <row r="127" spans="2:5" ht="12.75" outlineLevel="1">
      <c r="B127" s="69">
        <v>43921</v>
      </c>
      <c r="D127" s="104">
        <f t="shared" si="7"/>
        <v>18500000</v>
      </c>
      <c r="E127" s="70">
        <f t="shared" si="10"/>
        <v>18500000</v>
      </c>
    </row>
    <row r="128" spans="2:5" ht="12.75" outlineLevel="1">
      <c r="B128" s="69">
        <v>43951</v>
      </c>
      <c r="D128" s="104">
        <f t="shared" si="7"/>
        <v>18500000</v>
      </c>
      <c r="E128" s="70">
        <f t="shared" si="10"/>
        <v>18500000</v>
      </c>
    </row>
    <row r="129" spans="2:5" ht="12.75" outlineLevel="1">
      <c r="B129" s="77">
        <v>43982</v>
      </c>
      <c r="D129" s="104">
        <f t="shared" si="7"/>
        <v>18500000</v>
      </c>
      <c r="E129" s="70">
        <f t="shared" si="10"/>
        <v>18500000</v>
      </c>
    </row>
    <row r="130" spans="2:5" ht="12.75" outlineLevel="1">
      <c r="B130" s="69">
        <v>44012</v>
      </c>
      <c r="D130" s="104">
        <f t="shared" si="7"/>
        <v>18500000</v>
      </c>
      <c r="E130" s="70">
        <f t="shared" si="10"/>
        <v>18500000</v>
      </c>
    </row>
    <row r="131" spans="2:5" ht="12.75" outlineLevel="1">
      <c r="B131" s="69">
        <v>44043</v>
      </c>
      <c r="D131" s="104">
        <f t="shared" si="7"/>
        <v>18500000</v>
      </c>
      <c r="E131" s="70">
        <f t="shared" si="10"/>
        <v>18500000</v>
      </c>
    </row>
    <row r="132" spans="2:5" ht="12.75" outlineLevel="1">
      <c r="B132" s="69">
        <v>44074</v>
      </c>
      <c r="D132" s="104">
        <f t="shared" si="7"/>
        <v>18500000</v>
      </c>
      <c r="E132" s="70">
        <f t="shared" si="10"/>
        <v>18500000</v>
      </c>
    </row>
    <row r="133" spans="2:5" ht="12.75" outlineLevel="1">
      <c r="B133" s="69">
        <v>44104</v>
      </c>
      <c r="D133" s="104">
        <f t="shared" si="7"/>
        <v>18500000</v>
      </c>
      <c r="E133" s="70">
        <f t="shared" si="10"/>
        <v>18500000</v>
      </c>
    </row>
    <row r="134" spans="2:5" ht="12.75" outlineLevel="1">
      <c r="B134" s="69">
        <v>44135</v>
      </c>
      <c r="D134" s="104">
        <f t="shared" si="7"/>
        <v>18500000</v>
      </c>
      <c r="E134" s="70">
        <f t="shared" si="10"/>
        <v>18500000</v>
      </c>
    </row>
    <row r="135" spans="2:5" ht="12.75" outlineLevel="1">
      <c r="B135" s="69">
        <v>44165</v>
      </c>
      <c r="D135" s="104">
        <f t="shared" si="7"/>
        <v>18500000</v>
      </c>
      <c r="E135" s="70">
        <f t="shared" si="10"/>
        <v>18500000</v>
      </c>
    </row>
    <row r="136" spans="2:5" ht="12.75" outlineLevel="1">
      <c r="B136" s="77">
        <v>44196</v>
      </c>
      <c r="D136" s="104">
        <f t="shared" si="7"/>
        <v>18500000</v>
      </c>
      <c r="E136" s="70">
        <f t="shared" si="10"/>
        <v>18500000</v>
      </c>
    </row>
    <row r="137" spans="2:5" ht="12.75" outlineLevel="1">
      <c r="B137" s="69">
        <v>44227</v>
      </c>
      <c r="D137" s="104">
        <f t="shared" si="7"/>
        <v>18500000</v>
      </c>
      <c r="E137" s="70">
        <f t="shared" ref="E137:E148" si="11">(D125+D137+SUM(D126:D136)*2)/24</f>
        <v>18500000</v>
      </c>
    </row>
    <row r="138" spans="2:5" ht="12.75" outlineLevel="1">
      <c r="B138" s="69">
        <v>44255</v>
      </c>
      <c r="D138" s="104">
        <f t="shared" si="7"/>
        <v>18500000</v>
      </c>
      <c r="E138" s="70">
        <f t="shared" si="11"/>
        <v>18500000</v>
      </c>
    </row>
    <row r="139" spans="2:5" ht="12.75" outlineLevel="1">
      <c r="B139" s="69">
        <v>44286</v>
      </c>
      <c r="D139" s="104">
        <f t="shared" si="7"/>
        <v>18500000</v>
      </c>
      <c r="E139" s="70">
        <f t="shared" si="11"/>
        <v>18500000</v>
      </c>
    </row>
    <row r="140" spans="2:5" ht="12.75" outlineLevel="1">
      <c r="B140" s="69">
        <v>44316</v>
      </c>
      <c r="D140" s="104">
        <f t="shared" si="7"/>
        <v>18500000</v>
      </c>
      <c r="E140" s="70">
        <f t="shared" si="11"/>
        <v>18500000</v>
      </c>
    </row>
    <row r="141" spans="2:5" ht="12.75" outlineLevel="1">
      <c r="B141" s="77">
        <v>44347</v>
      </c>
      <c r="D141" s="104">
        <f t="shared" si="7"/>
        <v>18500000</v>
      </c>
      <c r="E141" s="70">
        <f t="shared" si="11"/>
        <v>18500000</v>
      </c>
    </row>
    <row r="142" spans="2:5" ht="12.75" outlineLevel="1">
      <c r="B142" s="69">
        <v>44377</v>
      </c>
      <c r="D142" s="104">
        <f t="shared" si="7"/>
        <v>18500000</v>
      </c>
      <c r="E142" s="70">
        <f t="shared" si="11"/>
        <v>18500000</v>
      </c>
    </row>
    <row r="143" spans="2:5" ht="12.75" outlineLevel="1">
      <c r="B143" s="69">
        <v>44408</v>
      </c>
      <c r="D143" s="104">
        <f t="shared" si="7"/>
        <v>18500000</v>
      </c>
      <c r="E143" s="70">
        <f t="shared" si="11"/>
        <v>18500000</v>
      </c>
    </row>
    <row r="144" spans="2:5" ht="12.75" outlineLevel="1">
      <c r="B144" s="69">
        <v>44439</v>
      </c>
      <c r="D144" s="104">
        <f t="shared" si="7"/>
        <v>18500000</v>
      </c>
      <c r="E144" s="70">
        <f t="shared" si="11"/>
        <v>18500000</v>
      </c>
    </row>
    <row r="145" spans="2:5" ht="12.75" outlineLevel="1">
      <c r="B145" s="69">
        <v>44469</v>
      </c>
      <c r="D145" s="104">
        <f t="shared" si="7"/>
        <v>18500000</v>
      </c>
      <c r="E145" s="70">
        <f t="shared" si="11"/>
        <v>18500000</v>
      </c>
    </row>
    <row r="146" spans="2:5" ht="12.75" outlineLevel="1">
      <c r="B146" s="69">
        <v>44500</v>
      </c>
      <c r="D146" s="104">
        <f t="shared" si="7"/>
        <v>18500000</v>
      </c>
      <c r="E146" s="70">
        <f t="shared" si="11"/>
        <v>18500000</v>
      </c>
    </row>
    <row r="147" spans="2:5" ht="12.75" outlineLevel="1">
      <c r="B147" s="69">
        <v>44530</v>
      </c>
      <c r="D147" s="104">
        <f t="shared" si="7"/>
        <v>18500000</v>
      </c>
      <c r="E147" s="70">
        <f t="shared" si="11"/>
        <v>18500000</v>
      </c>
    </row>
    <row r="148" spans="2:5" ht="12.75" outlineLevel="1">
      <c r="B148" s="77">
        <v>44561</v>
      </c>
      <c r="D148" s="104">
        <f t="shared" si="7"/>
        <v>18500000</v>
      </c>
      <c r="E148" s="70">
        <f t="shared" si="11"/>
        <v>18500000</v>
      </c>
    </row>
    <row r="149" spans="2:5" ht="12.75" outlineLevel="1">
      <c r="B149" s="69">
        <v>44592</v>
      </c>
      <c r="D149" s="104">
        <f t="shared" si="7"/>
        <v>18500000</v>
      </c>
      <c r="E149" s="70">
        <f t="shared" ref="E149:E160" si="12">(D137+D149+SUM(D138:D148)*2)/24</f>
        <v>18500000</v>
      </c>
    </row>
    <row r="150" spans="2:5" ht="12.75" outlineLevel="1">
      <c r="B150" s="69">
        <v>44620</v>
      </c>
      <c r="D150" s="104">
        <f t="shared" si="7"/>
        <v>18500000</v>
      </c>
      <c r="E150" s="70">
        <f t="shared" si="12"/>
        <v>18500000</v>
      </c>
    </row>
    <row r="151" spans="2:5" ht="12.75" outlineLevel="1">
      <c r="B151" s="69">
        <v>44651</v>
      </c>
      <c r="D151" s="104">
        <f t="shared" si="7"/>
        <v>18500000</v>
      </c>
      <c r="E151" s="70">
        <f t="shared" si="12"/>
        <v>18500000</v>
      </c>
    </row>
    <row r="152" spans="2:5" ht="12.75" outlineLevel="1">
      <c r="B152" s="69">
        <v>44681</v>
      </c>
      <c r="D152" s="104">
        <f t="shared" si="7"/>
        <v>18500000</v>
      </c>
      <c r="E152" s="70">
        <f t="shared" si="12"/>
        <v>18500000</v>
      </c>
    </row>
    <row r="153" spans="2:5" ht="12.75" outlineLevel="1">
      <c r="B153" s="77">
        <v>44712</v>
      </c>
      <c r="D153" s="104">
        <f t="shared" si="7"/>
        <v>18500000</v>
      </c>
      <c r="E153" s="70">
        <f t="shared" si="12"/>
        <v>18500000</v>
      </c>
    </row>
    <row r="154" spans="2:5" ht="12.75" outlineLevel="1">
      <c r="B154" s="69">
        <v>44742</v>
      </c>
      <c r="D154" s="104">
        <f t="shared" si="7"/>
        <v>18500000</v>
      </c>
      <c r="E154" s="70">
        <f t="shared" si="12"/>
        <v>18500000</v>
      </c>
    </row>
    <row r="155" spans="2:5" ht="12.75" outlineLevel="1">
      <c r="B155" s="69">
        <v>44773</v>
      </c>
      <c r="D155" s="104">
        <f t="shared" si="7"/>
        <v>18500000</v>
      </c>
      <c r="E155" s="70">
        <f t="shared" si="12"/>
        <v>18500000</v>
      </c>
    </row>
    <row r="156" spans="2:5" ht="12.75" outlineLevel="1">
      <c r="B156" s="69">
        <v>44804</v>
      </c>
      <c r="D156" s="104">
        <f t="shared" ref="D156:D219" si="13">D155</f>
        <v>18500000</v>
      </c>
      <c r="E156" s="70">
        <f t="shared" si="12"/>
        <v>18500000</v>
      </c>
    </row>
    <row r="157" spans="2:5" ht="12.75" outlineLevel="1">
      <c r="B157" s="69">
        <v>44834</v>
      </c>
      <c r="D157" s="104">
        <f t="shared" si="13"/>
        <v>18500000</v>
      </c>
      <c r="E157" s="70">
        <f t="shared" si="12"/>
        <v>18500000</v>
      </c>
    </row>
    <row r="158" spans="2:5" ht="12.75" outlineLevel="1">
      <c r="B158" s="69">
        <v>44865</v>
      </c>
      <c r="D158" s="104">
        <f t="shared" si="13"/>
        <v>18500000</v>
      </c>
      <c r="E158" s="70">
        <f t="shared" si="12"/>
        <v>18500000</v>
      </c>
    </row>
    <row r="159" spans="2:5" ht="12.75" outlineLevel="1">
      <c r="B159" s="69">
        <v>44895</v>
      </c>
      <c r="D159" s="104">
        <f t="shared" si="13"/>
        <v>18500000</v>
      </c>
      <c r="E159" s="70">
        <f t="shared" si="12"/>
        <v>18500000</v>
      </c>
    </row>
    <row r="160" spans="2:5" ht="12.75" outlineLevel="1">
      <c r="B160" s="77">
        <v>44926</v>
      </c>
      <c r="D160" s="104">
        <f t="shared" si="13"/>
        <v>18500000</v>
      </c>
      <c r="E160" s="70">
        <f t="shared" si="12"/>
        <v>18500000</v>
      </c>
    </row>
    <row r="161" spans="2:5" ht="12.75" outlineLevel="1">
      <c r="B161" s="69">
        <v>44957</v>
      </c>
      <c r="D161" s="104">
        <f t="shared" si="13"/>
        <v>18500000</v>
      </c>
      <c r="E161" s="70">
        <f t="shared" ref="E161:E172" si="14">(D149+D161+SUM(D150:D160)*2)/24</f>
        <v>18500000</v>
      </c>
    </row>
    <row r="162" spans="2:5" ht="12.75" outlineLevel="1">
      <c r="B162" s="69">
        <v>44985</v>
      </c>
      <c r="D162" s="104">
        <f t="shared" si="13"/>
        <v>18500000</v>
      </c>
      <c r="E162" s="70">
        <f t="shared" si="14"/>
        <v>18500000</v>
      </c>
    </row>
    <row r="163" spans="2:5" ht="12.75" outlineLevel="1">
      <c r="B163" s="69">
        <v>45016</v>
      </c>
      <c r="D163" s="104">
        <f t="shared" si="13"/>
        <v>18500000</v>
      </c>
      <c r="E163" s="70">
        <f t="shared" si="14"/>
        <v>18500000</v>
      </c>
    </row>
    <row r="164" spans="2:5" ht="12.75" outlineLevel="1">
      <c r="B164" s="69">
        <v>45046</v>
      </c>
      <c r="D164" s="104">
        <f t="shared" si="13"/>
        <v>18500000</v>
      </c>
      <c r="E164" s="70">
        <f t="shared" si="14"/>
        <v>18500000</v>
      </c>
    </row>
    <row r="165" spans="2:5" ht="12.75" outlineLevel="1">
      <c r="B165" s="77">
        <v>45077</v>
      </c>
      <c r="D165" s="104">
        <f t="shared" si="13"/>
        <v>18500000</v>
      </c>
      <c r="E165" s="70">
        <f t="shared" si="14"/>
        <v>18500000</v>
      </c>
    </row>
    <row r="166" spans="2:5" ht="12.75" outlineLevel="1">
      <c r="B166" s="69">
        <v>45107</v>
      </c>
      <c r="D166" s="104">
        <f t="shared" si="13"/>
        <v>18500000</v>
      </c>
      <c r="E166" s="70">
        <f t="shared" si="14"/>
        <v>18500000</v>
      </c>
    </row>
    <row r="167" spans="2:5" ht="12.75" outlineLevel="1">
      <c r="B167" s="69">
        <v>45138</v>
      </c>
      <c r="D167" s="104">
        <f t="shared" si="13"/>
        <v>18500000</v>
      </c>
      <c r="E167" s="70">
        <f t="shared" si="14"/>
        <v>18500000</v>
      </c>
    </row>
    <row r="168" spans="2:5" ht="12.75" outlineLevel="1">
      <c r="B168" s="69">
        <v>45169</v>
      </c>
      <c r="D168" s="104">
        <f t="shared" si="13"/>
        <v>18500000</v>
      </c>
      <c r="E168" s="70">
        <f t="shared" si="14"/>
        <v>18500000</v>
      </c>
    </row>
    <row r="169" spans="2:5" ht="12.75" outlineLevel="1">
      <c r="B169" s="69">
        <v>45199</v>
      </c>
      <c r="D169" s="104">
        <f t="shared" si="13"/>
        <v>18500000</v>
      </c>
      <c r="E169" s="70">
        <f t="shared" si="14"/>
        <v>18500000</v>
      </c>
    </row>
    <row r="170" spans="2:5" ht="12.75" outlineLevel="1">
      <c r="B170" s="69">
        <v>45230</v>
      </c>
      <c r="D170" s="104">
        <f t="shared" si="13"/>
        <v>18500000</v>
      </c>
      <c r="E170" s="70">
        <f t="shared" si="14"/>
        <v>18500000</v>
      </c>
    </row>
    <row r="171" spans="2:5" ht="12.75" outlineLevel="1">
      <c r="B171" s="69">
        <v>45260</v>
      </c>
      <c r="D171" s="104">
        <f t="shared" si="13"/>
        <v>18500000</v>
      </c>
      <c r="E171" s="70">
        <f t="shared" si="14"/>
        <v>18500000</v>
      </c>
    </row>
    <row r="172" spans="2:5" ht="12.75" outlineLevel="1">
      <c r="B172" s="77">
        <v>45291</v>
      </c>
      <c r="D172" s="104">
        <f t="shared" si="13"/>
        <v>18500000</v>
      </c>
      <c r="E172" s="70">
        <f t="shared" si="14"/>
        <v>18500000</v>
      </c>
    </row>
    <row r="173" spans="2:5" ht="12.75" outlineLevel="1">
      <c r="B173" s="69">
        <v>45322</v>
      </c>
      <c r="D173" s="104">
        <f t="shared" si="13"/>
        <v>18500000</v>
      </c>
      <c r="E173" s="70">
        <f t="shared" ref="E173:E184" si="15">(D161+D173+SUM(D162:D172)*2)/24</f>
        <v>18500000</v>
      </c>
    </row>
    <row r="174" spans="2:5" ht="12.75" outlineLevel="1">
      <c r="B174" s="69">
        <v>45350</v>
      </c>
      <c r="D174" s="104">
        <f t="shared" si="13"/>
        <v>18500000</v>
      </c>
      <c r="E174" s="70">
        <f t="shared" si="15"/>
        <v>18500000</v>
      </c>
    </row>
    <row r="175" spans="2:5" ht="12.75" outlineLevel="1">
      <c r="B175" s="69">
        <v>45382</v>
      </c>
      <c r="D175" s="104">
        <f t="shared" si="13"/>
        <v>18500000</v>
      </c>
      <c r="E175" s="70">
        <f t="shared" si="15"/>
        <v>18500000</v>
      </c>
    </row>
    <row r="176" spans="2:5" ht="12.75" outlineLevel="1">
      <c r="B176" s="69">
        <v>45412</v>
      </c>
      <c r="D176" s="104">
        <f t="shared" si="13"/>
        <v>18500000</v>
      </c>
      <c r="E176" s="70">
        <f t="shared" si="15"/>
        <v>18500000</v>
      </c>
    </row>
    <row r="177" spans="2:5" ht="12.75" outlineLevel="1">
      <c r="B177" s="77">
        <v>45443</v>
      </c>
      <c r="D177" s="104">
        <f t="shared" si="13"/>
        <v>18500000</v>
      </c>
      <c r="E177" s="70">
        <f t="shared" si="15"/>
        <v>18500000</v>
      </c>
    </row>
    <row r="178" spans="2:5" ht="12.75" outlineLevel="1">
      <c r="B178" s="69">
        <v>45473</v>
      </c>
      <c r="D178" s="104">
        <f t="shared" si="13"/>
        <v>18500000</v>
      </c>
      <c r="E178" s="70">
        <f t="shared" si="15"/>
        <v>18500000</v>
      </c>
    </row>
    <row r="179" spans="2:5" ht="12.75" outlineLevel="1">
      <c r="B179" s="69">
        <v>45504</v>
      </c>
      <c r="D179" s="104">
        <f t="shared" si="13"/>
        <v>18500000</v>
      </c>
      <c r="E179" s="70">
        <f t="shared" si="15"/>
        <v>18500000</v>
      </c>
    </row>
    <row r="180" spans="2:5" ht="12.75" outlineLevel="1">
      <c r="B180" s="69">
        <v>45535</v>
      </c>
      <c r="D180" s="104">
        <f t="shared" si="13"/>
        <v>18500000</v>
      </c>
      <c r="E180" s="70">
        <f t="shared" si="15"/>
        <v>18500000</v>
      </c>
    </row>
    <row r="181" spans="2:5" ht="12.75" outlineLevel="1">
      <c r="B181" s="69">
        <v>45565</v>
      </c>
      <c r="D181" s="104">
        <f t="shared" si="13"/>
        <v>18500000</v>
      </c>
      <c r="E181" s="70">
        <f t="shared" si="15"/>
        <v>18500000</v>
      </c>
    </row>
    <row r="182" spans="2:5" ht="12.75" outlineLevel="1">
      <c r="B182" s="69">
        <v>45596</v>
      </c>
      <c r="D182" s="104">
        <f t="shared" si="13"/>
        <v>18500000</v>
      </c>
      <c r="E182" s="70">
        <f t="shared" si="15"/>
        <v>18500000</v>
      </c>
    </row>
    <row r="183" spans="2:5" ht="12.75" outlineLevel="1">
      <c r="B183" s="69">
        <v>45626</v>
      </c>
      <c r="D183" s="104">
        <f t="shared" si="13"/>
        <v>18500000</v>
      </c>
      <c r="E183" s="70">
        <f t="shared" si="15"/>
        <v>18500000</v>
      </c>
    </row>
    <row r="184" spans="2:5" ht="12.75" outlineLevel="1">
      <c r="B184" s="77">
        <v>45657</v>
      </c>
      <c r="D184" s="104">
        <f t="shared" si="13"/>
        <v>18500000</v>
      </c>
      <c r="E184" s="70">
        <f t="shared" si="15"/>
        <v>18500000</v>
      </c>
    </row>
    <row r="185" spans="2:5" ht="12.75" outlineLevel="1">
      <c r="B185" s="69">
        <v>45688</v>
      </c>
      <c r="D185" s="104">
        <f t="shared" si="13"/>
        <v>18500000</v>
      </c>
      <c r="E185" s="70">
        <f t="shared" ref="E185:E196" si="16">(D173+D185+SUM(D174:D184)*2)/24</f>
        <v>18500000</v>
      </c>
    </row>
    <row r="186" spans="2:5" ht="12.75" outlineLevel="1">
      <c r="B186" s="69">
        <v>45716</v>
      </c>
      <c r="D186" s="104">
        <f t="shared" si="13"/>
        <v>18500000</v>
      </c>
      <c r="E186" s="70">
        <f t="shared" si="16"/>
        <v>18500000</v>
      </c>
    </row>
    <row r="187" spans="2:5" ht="12.75" outlineLevel="1">
      <c r="B187" s="69">
        <v>45747</v>
      </c>
      <c r="D187" s="104">
        <f t="shared" si="13"/>
        <v>18500000</v>
      </c>
      <c r="E187" s="70">
        <f t="shared" si="16"/>
        <v>18500000</v>
      </c>
    </row>
    <row r="188" spans="2:5" ht="12.75" outlineLevel="1">
      <c r="B188" s="69">
        <v>45777</v>
      </c>
      <c r="D188" s="104">
        <f t="shared" si="13"/>
        <v>18500000</v>
      </c>
      <c r="E188" s="70">
        <f t="shared" si="16"/>
        <v>18500000</v>
      </c>
    </row>
    <row r="189" spans="2:5" ht="12.75" outlineLevel="1">
      <c r="B189" s="77">
        <v>45808</v>
      </c>
      <c r="D189" s="104">
        <f t="shared" si="13"/>
        <v>18500000</v>
      </c>
      <c r="E189" s="70">
        <f t="shared" si="16"/>
        <v>18500000</v>
      </c>
    </row>
    <row r="190" spans="2:5" ht="12.75" outlineLevel="1">
      <c r="B190" s="69">
        <v>45838</v>
      </c>
      <c r="D190" s="104">
        <f t="shared" si="13"/>
        <v>18500000</v>
      </c>
      <c r="E190" s="70">
        <f t="shared" si="16"/>
        <v>18500000</v>
      </c>
    </row>
    <row r="191" spans="2:5" ht="12.75" outlineLevel="1">
      <c r="B191" s="69">
        <v>45869</v>
      </c>
      <c r="D191" s="104">
        <f t="shared" si="13"/>
        <v>18500000</v>
      </c>
      <c r="E191" s="70">
        <f t="shared" si="16"/>
        <v>18500000</v>
      </c>
    </row>
    <row r="192" spans="2:5" ht="12.75" outlineLevel="1">
      <c r="B192" s="69">
        <v>45900</v>
      </c>
      <c r="D192" s="104">
        <f t="shared" si="13"/>
        <v>18500000</v>
      </c>
      <c r="E192" s="70">
        <f t="shared" si="16"/>
        <v>18500000</v>
      </c>
    </row>
    <row r="193" spans="2:5" ht="12.75" outlineLevel="1">
      <c r="B193" s="69">
        <v>45930</v>
      </c>
      <c r="D193" s="104">
        <f t="shared" si="13"/>
        <v>18500000</v>
      </c>
      <c r="E193" s="70">
        <f t="shared" si="16"/>
        <v>18500000</v>
      </c>
    </row>
    <row r="194" spans="2:5" ht="12.75" outlineLevel="1">
      <c r="B194" s="69">
        <v>45961</v>
      </c>
      <c r="D194" s="104">
        <f t="shared" si="13"/>
        <v>18500000</v>
      </c>
      <c r="E194" s="70">
        <f t="shared" si="16"/>
        <v>18500000</v>
      </c>
    </row>
    <row r="195" spans="2:5" ht="12.75" outlineLevel="1">
      <c r="B195" s="69">
        <v>45991</v>
      </c>
      <c r="D195" s="104">
        <f t="shared" si="13"/>
        <v>18500000</v>
      </c>
      <c r="E195" s="70">
        <f t="shared" si="16"/>
        <v>18500000</v>
      </c>
    </row>
    <row r="196" spans="2:5" ht="12.75" outlineLevel="1">
      <c r="B196" s="77">
        <v>46022</v>
      </c>
      <c r="D196" s="104">
        <f t="shared" si="13"/>
        <v>18500000</v>
      </c>
      <c r="E196" s="70">
        <f t="shared" si="16"/>
        <v>18500000</v>
      </c>
    </row>
    <row r="197" spans="2:5" ht="12.75" outlineLevel="1">
      <c r="B197" s="69">
        <v>46053</v>
      </c>
      <c r="D197" s="104">
        <f t="shared" si="13"/>
        <v>18500000</v>
      </c>
      <c r="E197" s="70">
        <f t="shared" ref="E197:E208" si="17">(D185+D197+SUM(D186:D196)*2)/24</f>
        <v>18500000</v>
      </c>
    </row>
    <row r="198" spans="2:5" ht="12.75" outlineLevel="1">
      <c r="B198" s="69">
        <v>46081</v>
      </c>
      <c r="D198" s="104">
        <f t="shared" si="13"/>
        <v>18500000</v>
      </c>
      <c r="E198" s="70">
        <f t="shared" si="17"/>
        <v>18500000</v>
      </c>
    </row>
    <row r="199" spans="2:5" ht="12.75" outlineLevel="1">
      <c r="B199" s="69">
        <v>46112</v>
      </c>
      <c r="D199" s="104">
        <f t="shared" si="13"/>
        <v>18500000</v>
      </c>
      <c r="E199" s="70">
        <f t="shared" si="17"/>
        <v>18500000</v>
      </c>
    </row>
    <row r="200" spans="2:5" ht="12.75" outlineLevel="1">
      <c r="B200" s="69">
        <v>46142</v>
      </c>
      <c r="D200" s="104">
        <f t="shared" si="13"/>
        <v>18500000</v>
      </c>
      <c r="E200" s="70">
        <f t="shared" si="17"/>
        <v>18500000</v>
      </c>
    </row>
    <row r="201" spans="2:5" ht="12.75" outlineLevel="1">
      <c r="B201" s="77">
        <v>46173</v>
      </c>
      <c r="D201" s="104">
        <f t="shared" si="13"/>
        <v>18500000</v>
      </c>
      <c r="E201" s="70">
        <f t="shared" si="17"/>
        <v>18500000</v>
      </c>
    </row>
    <row r="202" spans="2:5" ht="12.75" outlineLevel="1">
      <c r="B202" s="69">
        <v>46203</v>
      </c>
      <c r="D202" s="104">
        <f t="shared" si="13"/>
        <v>18500000</v>
      </c>
      <c r="E202" s="70">
        <f t="shared" si="17"/>
        <v>18500000</v>
      </c>
    </row>
    <row r="203" spans="2:5" ht="12.75" outlineLevel="1">
      <c r="B203" s="69">
        <v>46234</v>
      </c>
      <c r="D203" s="104">
        <f t="shared" si="13"/>
        <v>18500000</v>
      </c>
      <c r="E203" s="70">
        <f t="shared" si="17"/>
        <v>18500000</v>
      </c>
    </row>
    <row r="204" spans="2:5" ht="12.75" outlineLevel="1">
      <c r="B204" s="69">
        <v>46265</v>
      </c>
      <c r="D204" s="104">
        <f t="shared" si="13"/>
        <v>18500000</v>
      </c>
      <c r="E204" s="70">
        <f t="shared" si="17"/>
        <v>18500000</v>
      </c>
    </row>
    <row r="205" spans="2:5" ht="12.75" outlineLevel="1">
      <c r="B205" s="69">
        <v>46295</v>
      </c>
      <c r="D205" s="104">
        <f t="shared" si="13"/>
        <v>18500000</v>
      </c>
      <c r="E205" s="70">
        <f t="shared" si="17"/>
        <v>18500000</v>
      </c>
    </row>
    <row r="206" spans="2:5" ht="12.75" outlineLevel="1">
      <c r="B206" s="69">
        <v>46326</v>
      </c>
      <c r="D206" s="104">
        <f t="shared" si="13"/>
        <v>18500000</v>
      </c>
      <c r="E206" s="70">
        <f t="shared" si="17"/>
        <v>18500000</v>
      </c>
    </row>
    <row r="207" spans="2:5" ht="12.75" outlineLevel="1">
      <c r="B207" s="69">
        <v>46356</v>
      </c>
      <c r="D207" s="104">
        <f t="shared" si="13"/>
        <v>18500000</v>
      </c>
      <c r="E207" s="70">
        <f t="shared" si="17"/>
        <v>18500000</v>
      </c>
    </row>
    <row r="208" spans="2:5" ht="12.75" outlineLevel="1">
      <c r="B208" s="77">
        <v>46387</v>
      </c>
      <c r="D208" s="104">
        <f t="shared" si="13"/>
        <v>18500000</v>
      </c>
      <c r="E208" s="70">
        <f t="shared" si="17"/>
        <v>18500000</v>
      </c>
    </row>
    <row r="209" spans="2:5" ht="12.75" outlineLevel="1">
      <c r="B209" s="69">
        <v>46418</v>
      </c>
      <c r="D209" s="104">
        <f t="shared" si="13"/>
        <v>18500000</v>
      </c>
      <c r="E209" s="70">
        <f t="shared" ref="E209:E220" si="18">(D197+D209+SUM(D198:D208)*2)/24</f>
        <v>18500000</v>
      </c>
    </row>
    <row r="210" spans="2:5" ht="12.75" outlineLevel="1">
      <c r="B210" s="69">
        <v>46446</v>
      </c>
      <c r="D210" s="104">
        <f t="shared" si="13"/>
        <v>18500000</v>
      </c>
      <c r="E210" s="70">
        <f t="shared" si="18"/>
        <v>18500000</v>
      </c>
    </row>
    <row r="211" spans="2:5" ht="12.75" outlineLevel="1">
      <c r="B211" s="69">
        <v>46477</v>
      </c>
      <c r="D211" s="104">
        <f t="shared" si="13"/>
        <v>18500000</v>
      </c>
      <c r="E211" s="70">
        <f t="shared" si="18"/>
        <v>18500000</v>
      </c>
    </row>
    <row r="212" spans="2:5" ht="12.75" outlineLevel="1">
      <c r="B212" s="69">
        <v>46507</v>
      </c>
      <c r="D212" s="104">
        <f t="shared" si="13"/>
        <v>18500000</v>
      </c>
      <c r="E212" s="70">
        <f t="shared" si="18"/>
        <v>18500000</v>
      </c>
    </row>
    <row r="213" spans="2:5" ht="12.75" outlineLevel="1">
      <c r="B213" s="77">
        <v>46538</v>
      </c>
      <c r="D213" s="104">
        <f t="shared" si="13"/>
        <v>18500000</v>
      </c>
      <c r="E213" s="70">
        <f t="shared" si="18"/>
        <v>18500000</v>
      </c>
    </row>
    <row r="214" spans="2:5" ht="12.75" outlineLevel="1">
      <c r="B214" s="69">
        <v>46568</v>
      </c>
      <c r="D214" s="104">
        <f t="shared" si="13"/>
        <v>18500000</v>
      </c>
      <c r="E214" s="70">
        <f t="shared" si="18"/>
        <v>18500000</v>
      </c>
    </row>
    <row r="215" spans="2:5" ht="12.75" outlineLevel="1">
      <c r="B215" s="69">
        <v>46599</v>
      </c>
      <c r="D215" s="104">
        <f t="shared" si="13"/>
        <v>18500000</v>
      </c>
      <c r="E215" s="70">
        <f t="shared" si="18"/>
        <v>18500000</v>
      </c>
    </row>
    <row r="216" spans="2:5" ht="12.75" outlineLevel="1">
      <c r="B216" s="69">
        <v>46630</v>
      </c>
      <c r="D216" s="104">
        <f t="shared" si="13"/>
        <v>18500000</v>
      </c>
      <c r="E216" s="70">
        <f t="shared" si="18"/>
        <v>18500000</v>
      </c>
    </row>
    <row r="217" spans="2:5" ht="12.75" outlineLevel="1">
      <c r="B217" s="69">
        <v>46660</v>
      </c>
      <c r="D217" s="104">
        <f t="shared" si="13"/>
        <v>18500000</v>
      </c>
      <c r="E217" s="70">
        <f t="shared" si="18"/>
        <v>18500000</v>
      </c>
    </row>
    <row r="218" spans="2:5" ht="12.75" outlineLevel="1">
      <c r="B218" s="69">
        <v>46691</v>
      </c>
      <c r="D218" s="104">
        <f t="shared" si="13"/>
        <v>18500000</v>
      </c>
      <c r="E218" s="70">
        <f t="shared" si="18"/>
        <v>18500000</v>
      </c>
    </row>
    <row r="219" spans="2:5" ht="12.75" outlineLevel="1">
      <c r="B219" s="69">
        <v>46721</v>
      </c>
      <c r="D219" s="104">
        <f t="shared" si="13"/>
        <v>18500000</v>
      </c>
      <c r="E219" s="70">
        <f t="shared" si="18"/>
        <v>18500000</v>
      </c>
    </row>
    <row r="220" spans="2:5" ht="12.75" outlineLevel="1">
      <c r="B220" s="77">
        <v>46752</v>
      </c>
      <c r="D220" s="104">
        <f t="shared" ref="D220:D268" si="19">D219</f>
        <v>18500000</v>
      </c>
      <c r="E220" s="70">
        <f t="shared" si="18"/>
        <v>18500000</v>
      </c>
    </row>
    <row r="221" spans="2:5" ht="12.75" outlineLevel="1">
      <c r="B221" s="69">
        <v>46783</v>
      </c>
      <c r="D221" s="104">
        <f t="shared" si="19"/>
        <v>18500000</v>
      </c>
      <c r="E221" s="70">
        <f t="shared" ref="E221:E268" si="20">(D209+D221+SUM(D210:D220)*2)/24</f>
        <v>18500000</v>
      </c>
    </row>
    <row r="222" spans="2:5" ht="12.75" outlineLevel="1">
      <c r="B222" s="69">
        <v>46811</v>
      </c>
      <c r="D222" s="104">
        <f t="shared" si="19"/>
        <v>18500000</v>
      </c>
      <c r="E222" s="70">
        <f t="shared" si="20"/>
        <v>18500000</v>
      </c>
    </row>
    <row r="223" spans="2:5" ht="12.75" outlineLevel="1">
      <c r="B223" s="69">
        <v>46843</v>
      </c>
      <c r="D223" s="104">
        <f t="shared" si="19"/>
        <v>18500000</v>
      </c>
      <c r="E223" s="70">
        <f t="shared" si="20"/>
        <v>18500000</v>
      </c>
    </row>
    <row r="224" spans="2:5" ht="12.75" outlineLevel="1">
      <c r="B224" s="69">
        <v>46873</v>
      </c>
      <c r="D224" s="104">
        <f t="shared" si="19"/>
        <v>18500000</v>
      </c>
      <c r="E224" s="70">
        <f t="shared" si="20"/>
        <v>18500000</v>
      </c>
    </row>
    <row r="225" spans="2:5" ht="12.75" outlineLevel="1">
      <c r="B225" s="77">
        <v>46904</v>
      </c>
      <c r="D225" s="104">
        <f t="shared" si="19"/>
        <v>18500000</v>
      </c>
      <c r="E225" s="70">
        <f t="shared" si="20"/>
        <v>18500000</v>
      </c>
    </row>
    <row r="226" spans="2:5" ht="12.75" outlineLevel="1">
      <c r="B226" s="69">
        <v>46934</v>
      </c>
      <c r="D226" s="104">
        <f t="shared" si="19"/>
        <v>18500000</v>
      </c>
      <c r="E226" s="70">
        <f t="shared" si="20"/>
        <v>18500000</v>
      </c>
    </row>
    <row r="227" spans="2:5" ht="12.75" outlineLevel="1">
      <c r="B227" s="69">
        <v>46965</v>
      </c>
      <c r="D227" s="104">
        <f t="shared" si="19"/>
        <v>18500000</v>
      </c>
      <c r="E227" s="70">
        <f t="shared" si="20"/>
        <v>18500000</v>
      </c>
    </row>
    <row r="228" spans="2:5" ht="12.75" outlineLevel="1">
      <c r="B228" s="69">
        <v>46996</v>
      </c>
      <c r="D228" s="104">
        <f t="shared" si="19"/>
        <v>18500000</v>
      </c>
      <c r="E228" s="70">
        <f t="shared" si="20"/>
        <v>18500000</v>
      </c>
    </row>
    <row r="229" spans="2:5" ht="12.75" outlineLevel="1">
      <c r="B229" s="69">
        <v>47026</v>
      </c>
      <c r="D229" s="104">
        <f t="shared" si="19"/>
        <v>18500000</v>
      </c>
      <c r="E229" s="70">
        <f t="shared" si="20"/>
        <v>18500000</v>
      </c>
    </row>
    <row r="230" spans="2:5" ht="12.75" outlineLevel="1">
      <c r="B230" s="69">
        <v>47057</v>
      </c>
      <c r="D230" s="104">
        <f t="shared" si="19"/>
        <v>18500000</v>
      </c>
      <c r="E230" s="70">
        <f t="shared" si="20"/>
        <v>18500000</v>
      </c>
    </row>
    <row r="231" spans="2:5" ht="12.75" outlineLevel="1">
      <c r="B231" s="69">
        <v>47087</v>
      </c>
      <c r="D231" s="104">
        <f t="shared" si="19"/>
        <v>18500000</v>
      </c>
      <c r="E231" s="70">
        <f t="shared" si="20"/>
        <v>18500000</v>
      </c>
    </row>
    <row r="232" spans="2:5" ht="12.75" outlineLevel="1">
      <c r="B232" s="77">
        <v>47118</v>
      </c>
      <c r="D232" s="104">
        <f t="shared" si="19"/>
        <v>18500000</v>
      </c>
      <c r="E232" s="70">
        <f t="shared" si="20"/>
        <v>18500000</v>
      </c>
    </row>
    <row r="233" spans="2:5" ht="12.75" outlineLevel="1">
      <c r="B233" s="69">
        <v>47149</v>
      </c>
      <c r="D233" s="104">
        <f t="shared" si="19"/>
        <v>18500000</v>
      </c>
      <c r="E233" s="70">
        <f t="shared" si="20"/>
        <v>18500000</v>
      </c>
    </row>
    <row r="234" spans="2:5" ht="12.75" outlineLevel="1">
      <c r="B234" s="69">
        <v>47177</v>
      </c>
      <c r="D234" s="104">
        <f t="shared" si="19"/>
        <v>18500000</v>
      </c>
      <c r="E234" s="70">
        <f t="shared" si="20"/>
        <v>18500000</v>
      </c>
    </row>
    <row r="235" spans="2:5" ht="12.75" outlineLevel="1">
      <c r="B235" s="69">
        <v>47208</v>
      </c>
      <c r="D235" s="104">
        <f t="shared" si="19"/>
        <v>18500000</v>
      </c>
      <c r="E235" s="70">
        <f t="shared" si="20"/>
        <v>18500000</v>
      </c>
    </row>
    <row r="236" spans="2:5" ht="12.75" outlineLevel="1">
      <c r="B236" s="69">
        <v>47238</v>
      </c>
      <c r="D236" s="104">
        <f t="shared" si="19"/>
        <v>18500000</v>
      </c>
      <c r="E236" s="70">
        <f t="shared" si="20"/>
        <v>18500000</v>
      </c>
    </row>
    <row r="237" spans="2:5" ht="12.75" outlineLevel="1">
      <c r="B237" s="77">
        <v>47269</v>
      </c>
      <c r="D237" s="104">
        <f t="shared" si="19"/>
        <v>18500000</v>
      </c>
      <c r="E237" s="70">
        <f t="shared" si="20"/>
        <v>18500000</v>
      </c>
    </row>
    <row r="238" spans="2:5" ht="12.75" outlineLevel="1">
      <c r="B238" s="69">
        <v>47299</v>
      </c>
      <c r="D238" s="104">
        <f t="shared" si="19"/>
        <v>18500000</v>
      </c>
      <c r="E238" s="70">
        <f t="shared" si="20"/>
        <v>18500000</v>
      </c>
    </row>
    <row r="239" spans="2:5" ht="12.75" outlineLevel="1">
      <c r="B239" s="69">
        <v>47330</v>
      </c>
      <c r="D239" s="104">
        <f t="shared" si="19"/>
        <v>18500000</v>
      </c>
      <c r="E239" s="70">
        <f t="shared" si="20"/>
        <v>18500000</v>
      </c>
    </row>
    <row r="240" spans="2:5" ht="12.75" outlineLevel="1">
      <c r="B240" s="69">
        <v>47361</v>
      </c>
      <c r="D240" s="104">
        <f t="shared" si="19"/>
        <v>18500000</v>
      </c>
      <c r="E240" s="70">
        <f t="shared" si="20"/>
        <v>18500000</v>
      </c>
    </row>
    <row r="241" spans="2:5" ht="12.75" outlineLevel="1">
      <c r="B241" s="69">
        <v>47391</v>
      </c>
      <c r="D241" s="104">
        <f t="shared" si="19"/>
        <v>18500000</v>
      </c>
      <c r="E241" s="70">
        <f t="shared" si="20"/>
        <v>18500000</v>
      </c>
    </row>
    <row r="242" spans="2:5" ht="12.75" outlineLevel="1">
      <c r="B242" s="69">
        <v>47422</v>
      </c>
      <c r="D242" s="104">
        <f t="shared" si="19"/>
        <v>18500000</v>
      </c>
      <c r="E242" s="70">
        <f t="shared" si="20"/>
        <v>18500000</v>
      </c>
    </row>
    <row r="243" spans="2:5" ht="12.75" outlineLevel="1">
      <c r="B243" s="69">
        <v>47452</v>
      </c>
      <c r="D243" s="104">
        <f t="shared" si="19"/>
        <v>18500000</v>
      </c>
      <c r="E243" s="70">
        <f t="shared" si="20"/>
        <v>18500000</v>
      </c>
    </row>
    <row r="244" spans="2:5" ht="12.75" outlineLevel="1">
      <c r="B244" s="77">
        <v>47483</v>
      </c>
      <c r="D244" s="104">
        <f t="shared" si="19"/>
        <v>18500000</v>
      </c>
      <c r="E244" s="70">
        <f t="shared" si="20"/>
        <v>18500000</v>
      </c>
    </row>
    <row r="245" spans="2:5" ht="12.75" outlineLevel="1">
      <c r="B245" s="69">
        <v>47514</v>
      </c>
      <c r="D245" s="104">
        <f t="shared" si="19"/>
        <v>18500000</v>
      </c>
      <c r="E245" s="70">
        <f t="shared" si="20"/>
        <v>18500000</v>
      </c>
    </row>
    <row r="246" spans="2:5" ht="12.75" outlineLevel="1">
      <c r="B246" s="69">
        <v>47542</v>
      </c>
      <c r="D246" s="104">
        <f t="shared" si="19"/>
        <v>18500000</v>
      </c>
      <c r="E246" s="70">
        <f t="shared" si="20"/>
        <v>18500000</v>
      </c>
    </row>
    <row r="247" spans="2:5" ht="12.75" outlineLevel="1">
      <c r="B247" s="69">
        <v>47573</v>
      </c>
      <c r="D247" s="104">
        <f t="shared" si="19"/>
        <v>18500000</v>
      </c>
      <c r="E247" s="70">
        <f t="shared" si="20"/>
        <v>18500000</v>
      </c>
    </row>
    <row r="248" spans="2:5" ht="12.75" outlineLevel="1">
      <c r="B248" s="69">
        <v>47603</v>
      </c>
      <c r="D248" s="104">
        <f t="shared" si="19"/>
        <v>18500000</v>
      </c>
      <c r="E248" s="70">
        <f t="shared" si="20"/>
        <v>18500000</v>
      </c>
    </row>
    <row r="249" spans="2:5" ht="12.75" outlineLevel="1">
      <c r="B249" s="77">
        <v>47634</v>
      </c>
      <c r="D249" s="104">
        <f t="shared" si="19"/>
        <v>18500000</v>
      </c>
      <c r="E249" s="70">
        <f t="shared" si="20"/>
        <v>18500000</v>
      </c>
    </row>
    <row r="250" spans="2:5" ht="12.75" outlineLevel="1">
      <c r="B250" s="69">
        <v>47664</v>
      </c>
      <c r="D250" s="104">
        <f t="shared" si="19"/>
        <v>18500000</v>
      </c>
      <c r="E250" s="70">
        <f t="shared" si="20"/>
        <v>18500000</v>
      </c>
    </row>
    <row r="251" spans="2:5" ht="12.75" outlineLevel="1">
      <c r="B251" s="69">
        <v>47695</v>
      </c>
      <c r="D251" s="104">
        <f t="shared" si="19"/>
        <v>18500000</v>
      </c>
      <c r="E251" s="70">
        <f t="shared" si="20"/>
        <v>18500000</v>
      </c>
    </row>
    <row r="252" spans="2:5" ht="12.75" outlineLevel="1">
      <c r="B252" s="69">
        <v>47726</v>
      </c>
      <c r="D252" s="104">
        <f t="shared" si="19"/>
        <v>18500000</v>
      </c>
      <c r="E252" s="70">
        <f t="shared" si="20"/>
        <v>18500000</v>
      </c>
    </row>
    <row r="253" spans="2:5" ht="12.75" outlineLevel="1">
      <c r="B253" s="69">
        <v>47756</v>
      </c>
      <c r="D253" s="104">
        <f t="shared" si="19"/>
        <v>18500000</v>
      </c>
      <c r="E253" s="70">
        <f t="shared" si="20"/>
        <v>18500000</v>
      </c>
    </row>
    <row r="254" spans="2:5" ht="12.75" outlineLevel="1">
      <c r="B254" s="69">
        <v>47787</v>
      </c>
      <c r="D254" s="104">
        <f t="shared" si="19"/>
        <v>18500000</v>
      </c>
      <c r="E254" s="70">
        <f t="shared" si="20"/>
        <v>18500000</v>
      </c>
    </row>
    <row r="255" spans="2:5" ht="12.75" outlineLevel="1">
      <c r="B255" s="69">
        <v>47817</v>
      </c>
      <c r="D255" s="104">
        <f t="shared" si="19"/>
        <v>18500000</v>
      </c>
      <c r="E255" s="70">
        <f t="shared" si="20"/>
        <v>18500000</v>
      </c>
    </row>
    <row r="256" spans="2:5" ht="12.75" outlineLevel="1">
      <c r="B256" s="77">
        <v>47848</v>
      </c>
      <c r="D256" s="104">
        <f t="shared" si="19"/>
        <v>18500000</v>
      </c>
      <c r="E256" s="70">
        <f t="shared" si="20"/>
        <v>18500000</v>
      </c>
    </row>
    <row r="257" spans="2:5" ht="12.75" outlineLevel="1">
      <c r="B257" s="69">
        <v>47879</v>
      </c>
      <c r="D257" s="104">
        <f t="shared" si="19"/>
        <v>18500000</v>
      </c>
      <c r="E257" s="70">
        <f t="shared" si="20"/>
        <v>18500000</v>
      </c>
    </row>
    <row r="258" spans="2:5" ht="12.75" outlineLevel="1">
      <c r="B258" s="69">
        <v>47907</v>
      </c>
      <c r="D258" s="104">
        <f t="shared" si="19"/>
        <v>18500000</v>
      </c>
      <c r="E258" s="70">
        <f t="shared" si="20"/>
        <v>18500000</v>
      </c>
    </row>
    <row r="259" spans="2:5" ht="12.75" outlineLevel="1">
      <c r="B259" s="69">
        <v>47938</v>
      </c>
      <c r="D259" s="104">
        <f t="shared" si="19"/>
        <v>18500000</v>
      </c>
      <c r="E259" s="70">
        <f t="shared" si="20"/>
        <v>18500000</v>
      </c>
    </row>
    <row r="260" spans="2:5" ht="12.75" outlineLevel="1">
      <c r="B260" s="69">
        <v>47968</v>
      </c>
      <c r="D260" s="104">
        <f t="shared" si="19"/>
        <v>18500000</v>
      </c>
      <c r="E260" s="70">
        <f t="shared" si="20"/>
        <v>18500000</v>
      </c>
    </row>
    <row r="261" spans="2:5" ht="12.75" outlineLevel="1">
      <c r="B261" s="77">
        <v>47999</v>
      </c>
      <c r="D261" s="104">
        <f t="shared" si="19"/>
        <v>18500000</v>
      </c>
      <c r="E261" s="70">
        <f t="shared" si="20"/>
        <v>18500000</v>
      </c>
    </row>
    <row r="262" spans="2:5" ht="12.75" outlineLevel="1">
      <c r="B262" s="69">
        <v>48029</v>
      </c>
      <c r="D262" s="104">
        <f t="shared" si="19"/>
        <v>18500000</v>
      </c>
      <c r="E262" s="70">
        <f t="shared" si="20"/>
        <v>18500000</v>
      </c>
    </row>
    <row r="263" spans="2:5" ht="12.75" outlineLevel="1">
      <c r="B263" s="69">
        <v>48060</v>
      </c>
      <c r="D263" s="104">
        <f t="shared" si="19"/>
        <v>18500000</v>
      </c>
      <c r="E263" s="70">
        <f t="shared" si="20"/>
        <v>18500000</v>
      </c>
    </row>
    <row r="264" spans="2:5" ht="12.75" outlineLevel="1">
      <c r="B264" s="69">
        <v>48091</v>
      </c>
      <c r="D264" s="104">
        <f t="shared" si="19"/>
        <v>18500000</v>
      </c>
      <c r="E264" s="70">
        <f t="shared" si="20"/>
        <v>18500000</v>
      </c>
    </row>
    <row r="265" spans="2:5" ht="12.75" outlineLevel="1">
      <c r="B265" s="69">
        <v>48121</v>
      </c>
      <c r="D265" s="104">
        <f t="shared" si="19"/>
        <v>18500000</v>
      </c>
      <c r="E265" s="70">
        <f t="shared" si="20"/>
        <v>18500000</v>
      </c>
    </row>
    <row r="266" spans="2:5" ht="12.75" outlineLevel="1">
      <c r="B266" s="69">
        <v>48152</v>
      </c>
      <c r="D266" s="104">
        <f t="shared" si="19"/>
        <v>18500000</v>
      </c>
      <c r="E266" s="70">
        <f t="shared" si="20"/>
        <v>18500000</v>
      </c>
    </row>
    <row r="267" spans="2:5" ht="12.75" outlineLevel="1">
      <c r="B267" s="69">
        <v>48182</v>
      </c>
      <c r="D267" s="104">
        <f t="shared" si="19"/>
        <v>18500000</v>
      </c>
      <c r="E267" s="70">
        <f t="shared" si="20"/>
        <v>18500000</v>
      </c>
    </row>
    <row r="268" spans="2:5" ht="12.75" outlineLevel="1">
      <c r="B268" s="77">
        <v>48213</v>
      </c>
      <c r="D268" s="104">
        <f t="shared" si="19"/>
        <v>18500000</v>
      </c>
      <c r="E268" s="70">
        <f t="shared" si="20"/>
        <v>18500000</v>
      </c>
    </row>
  </sheetData>
  <phoneticPr fontId="0" type="noConversion"/>
  <pageMargins left="0.7" right="0.7" top="0.5" bottom="0.5" header="0.3" footer="0.3"/>
  <pageSetup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>
    <pageSetUpPr fitToPage="1"/>
  </sheetPr>
  <dimension ref="A1:O272"/>
  <sheetViews>
    <sheetView zoomScaleNormal="100" workbookViewId="0">
      <pane ySplit="20" topLeftCell="A145" activePane="bottomLeft" state="frozen"/>
      <selection activeCell="E87" sqref="E87:E98"/>
      <selection pane="bottomLeft" activeCell="F119" sqref="F119"/>
    </sheetView>
  </sheetViews>
  <sheetFormatPr defaultRowHeight="10.5" outlineLevelRow="1" outlineLevelCol="1"/>
  <cols>
    <col min="1" max="1" width="2.5" customWidth="1"/>
    <col min="2" max="2" width="12.6640625" customWidth="1"/>
    <col min="3" max="3" width="2.6640625" customWidth="1"/>
    <col min="4" max="4" width="11.6640625" bestFit="1" customWidth="1"/>
    <col min="5" max="5" width="12.33203125" bestFit="1" customWidth="1"/>
    <col min="6" max="6" width="13.33203125" customWidth="1" outlineLevel="1"/>
    <col min="7" max="7" width="13.5" bestFit="1" customWidth="1"/>
    <col min="8" max="8" width="14.1640625" customWidth="1"/>
    <col min="9" max="9" width="17.83203125" bestFit="1" customWidth="1"/>
    <col min="10" max="10" width="14" bestFit="1" customWidth="1"/>
    <col min="12" max="12" width="12.83203125" bestFit="1" customWidth="1"/>
    <col min="13" max="13" width="10.5" bestFit="1" customWidth="1"/>
  </cols>
  <sheetData>
    <row r="1" spans="1:11" ht="12.75">
      <c r="A1" s="34"/>
      <c r="B1" s="35" t="s">
        <v>8</v>
      </c>
      <c r="C1" s="34"/>
      <c r="D1" s="34"/>
      <c r="E1" s="34"/>
      <c r="F1" s="34"/>
      <c r="G1" s="34"/>
      <c r="H1" s="34"/>
      <c r="I1" s="34"/>
      <c r="J1" s="36"/>
    </row>
    <row r="2" spans="1:11" ht="12.75">
      <c r="A2" s="34"/>
      <c r="B2" s="35" t="s">
        <v>161</v>
      </c>
      <c r="C2" s="34"/>
      <c r="D2" s="34"/>
      <c r="E2" s="34"/>
      <c r="F2" s="34"/>
      <c r="G2" s="34"/>
      <c r="H2" s="34"/>
      <c r="I2" s="34"/>
      <c r="J2" s="36"/>
    </row>
    <row r="3" spans="1:11" ht="12.75">
      <c r="A3" s="34"/>
      <c r="B3" s="35" t="s">
        <v>602</v>
      </c>
      <c r="C3" s="34"/>
      <c r="D3" s="34"/>
      <c r="E3" s="34"/>
      <c r="F3" s="34"/>
      <c r="G3" s="34"/>
      <c r="H3" s="34"/>
      <c r="I3" s="34"/>
      <c r="J3" s="36"/>
    </row>
    <row r="4" spans="1:11" ht="12.75">
      <c r="A4" s="47"/>
      <c r="B4" s="47"/>
      <c r="C4" s="47"/>
      <c r="D4" s="48"/>
      <c r="E4" s="48"/>
      <c r="F4" s="48"/>
      <c r="G4" s="702" t="s">
        <v>611</v>
      </c>
      <c r="H4" s="702" t="s">
        <v>608</v>
      </c>
      <c r="I4" s="48"/>
      <c r="J4" s="51"/>
    </row>
    <row r="5" spans="1:11" ht="12.75">
      <c r="A5" s="34"/>
      <c r="B5" s="34"/>
      <c r="C5" s="34"/>
      <c r="D5" s="43" t="s">
        <v>79</v>
      </c>
      <c r="E5" s="55" t="s">
        <v>2</v>
      </c>
      <c r="F5" s="701" t="s">
        <v>612</v>
      </c>
      <c r="G5" s="43" t="s">
        <v>12</v>
      </c>
      <c r="H5" s="44" t="s">
        <v>13</v>
      </c>
      <c r="I5" s="44" t="s">
        <v>136</v>
      </c>
      <c r="J5" s="44" t="s">
        <v>134</v>
      </c>
    </row>
    <row r="6" spans="1:11" ht="12.75">
      <c r="A6" s="37"/>
      <c r="B6" s="58" t="s">
        <v>10</v>
      </c>
      <c r="C6" s="58"/>
      <c r="D6" s="55" t="s">
        <v>20</v>
      </c>
      <c r="E6" s="55"/>
      <c r="F6" s="121"/>
      <c r="G6" s="55" t="s">
        <v>3</v>
      </c>
      <c r="H6" s="59" t="s">
        <v>3</v>
      </c>
      <c r="I6" s="59" t="s">
        <v>137</v>
      </c>
      <c r="J6" s="59" t="s">
        <v>26</v>
      </c>
    </row>
    <row r="7" spans="1:11" ht="12.75">
      <c r="A7" s="37"/>
      <c r="B7" s="58"/>
      <c r="C7" s="58"/>
      <c r="D7" s="59" t="s">
        <v>105</v>
      </c>
      <c r="E7" s="59" t="s">
        <v>23</v>
      </c>
      <c r="F7" s="59" t="s">
        <v>604</v>
      </c>
      <c r="G7" s="59" t="s">
        <v>135</v>
      </c>
      <c r="H7" s="57" t="s">
        <v>627</v>
      </c>
      <c r="I7" s="57" t="s">
        <v>138</v>
      </c>
      <c r="J7" s="59" t="s">
        <v>94</v>
      </c>
      <c r="K7" s="102"/>
    </row>
    <row r="8" spans="1:11" ht="12.75">
      <c r="A8" s="47"/>
      <c r="B8" s="60"/>
      <c r="C8" s="60"/>
      <c r="D8" s="51"/>
      <c r="E8" s="662" t="s">
        <v>162</v>
      </c>
      <c r="F8" s="268">
        <v>40179</v>
      </c>
      <c r="G8" s="662" t="s">
        <v>603</v>
      </c>
      <c r="H8" s="61" t="s">
        <v>630</v>
      </c>
      <c r="I8" s="61"/>
      <c r="J8" s="51"/>
      <c r="K8" s="102"/>
    </row>
    <row r="9" spans="1:11" ht="12.75" hidden="1">
      <c r="A9" s="37"/>
      <c r="B9" s="58"/>
      <c r="C9" s="58"/>
      <c r="D9" s="59"/>
      <c r="E9" s="59"/>
      <c r="F9" s="59"/>
      <c r="G9" s="59"/>
      <c r="H9" s="59"/>
      <c r="I9" s="59"/>
      <c r="J9" s="59"/>
      <c r="K9" s="102"/>
    </row>
    <row r="10" spans="1:11" ht="12.75" hidden="1">
      <c r="A10" s="37"/>
      <c r="B10" s="58"/>
      <c r="C10" s="58"/>
      <c r="D10" s="59"/>
      <c r="E10" s="59"/>
      <c r="F10" s="59"/>
      <c r="G10" s="59"/>
      <c r="H10" s="59"/>
      <c r="I10" s="59"/>
      <c r="J10" s="59"/>
      <c r="K10" s="102"/>
    </row>
    <row r="11" spans="1:11" ht="12.75" hidden="1">
      <c r="A11" s="37"/>
      <c r="B11" s="58"/>
      <c r="C11" s="58"/>
      <c r="D11" s="59"/>
      <c r="E11" s="59"/>
      <c r="F11" s="59"/>
      <c r="G11" s="59"/>
      <c r="H11" s="59"/>
      <c r="I11" s="59"/>
      <c r="J11" s="59"/>
      <c r="K11" s="102"/>
    </row>
    <row r="12" spans="1:11" ht="12.75" hidden="1">
      <c r="A12" s="37"/>
      <c r="B12" s="58"/>
      <c r="C12" s="58"/>
      <c r="D12" s="59"/>
      <c r="E12" s="59"/>
      <c r="F12" s="59"/>
      <c r="G12" s="59"/>
      <c r="H12" s="59"/>
      <c r="I12" s="59"/>
      <c r="J12" s="59"/>
    </row>
    <row r="13" spans="1:11" ht="12.75" hidden="1">
      <c r="A13" s="37"/>
      <c r="B13" s="58"/>
      <c r="C13" s="58"/>
      <c r="D13" s="59"/>
      <c r="E13" s="59"/>
      <c r="F13" s="59"/>
      <c r="G13" s="59"/>
      <c r="H13" s="59"/>
      <c r="I13" s="59"/>
      <c r="J13" s="59"/>
    </row>
    <row r="14" spans="1:11" ht="12.75" hidden="1">
      <c r="A14" s="37"/>
      <c r="B14" s="58"/>
      <c r="C14" s="58"/>
      <c r="D14" s="59"/>
      <c r="E14" s="59"/>
      <c r="F14" s="59"/>
      <c r="G14" s="59"/>
      <c r="H14" s="59"/>
      <c r="I14" s="59"/>
      <c r="J14" s="59"/>
    </row>
    <row r="15" spans="1:11" ht="12.75" hidden="1">
      <c r="A15" s="37"/>
      <c r="B15" s="58"/>
      <c r="C15" s="58"/>
      <c r="D15" s="59"/>
      <c r="E15" s="59"/>
      <c r="F15" s="59"/>
      <c r="G15" s="59"/>
      <c r="H15" s="59"/>
      <c r="I15" s="59"/>
      <c r="J15" s="59"/>
    </row>
    <row r="16" spans="1:11" ht="12.75" hidden="1">
      <c r="A16" s="37"/>
      <c r="B16" s="58"/>
      <c r="C16" s="58"/>
      <c r="D16" s="59"/>
      <c r="E16" s="59"/>
      <c r="F16" s="59"/>
      <c r="G16" s="59"/>
      <c r="H16" s="59"/>
      <c r="I16" s="59"/>
      <c r="J16" s="59"/>
    </row>
    <row r="17" spans="1:10" ht="12.75" hidden="1">
      <c r="A17" s="37"/>
      <c r="B17" s="58"/>
      <c r="C17" s="58"/>
      <c r="D17" s="59"/>
      <c r="E17" s="59"/>
      <c r="F17" s="59"/>
      <c r="G17" s="59"/>
      <c r="H17" s="59"/>
      <c r="I17" s="59"/>
      <c r="J17" s="59"/>
    </row>
    <row r="18" spans="1:10" ht="12.75" hidden="1">
      <c r="A18" s="37"/>
      <c r="B18" s="58"/>
      <c r="C18" s="58"/>
      <c r="D18" s="59"/>
      <c r="E18" s="59"/>
      <c r="F18" s="59"/>
      <c r="G18" s="59"/>
      <c r="H18" s="59"/>
      <c r="I18" s="59"/>
      <c r="J18" s="59"/>
    </row>
    <row r="19" spans="1:10" ht="12.75" hidden="1">
      <c r="A19" s="37"/>
      <c r="B19" s="58"/>
      <c r="C19" s="58"/>
      <c r="D19" s="59"/>
      <c r="E19" s="59"/>
      <c r="F19" s="59"/>
      <c r="G19" s="59"/>
      <c r="H19" s="59"/>
      <c r="I19" s="59"/>
      <c r="J19" s="59"/>
    </row>
    <row r="20" spans="1:10" ht="12.75" hidden="1">
      <c r="A20" s="37"/>
      <c r="B20" s="58"/>
      <c r="C20" s="58"/>
      <c r="D20" s="59"/>
      <c r="E20" s="59"/>
      <c r="F20" s="59"/>
      <c r="G20" s="59"/>
      <c r="H20" s="59"/>
      <c r="I20" s="59"/>
      <c r="J20" s="59"/>
    </row>
    <row r="21" spans="1:10" ht="12.75" hidden="1" outlineLevel="1">
      <c r="A21" s="37"/>
      <c r="B21" s="58" t="s">
        <v>163</v>
      </c>
      <c r="C21" s="58"/>
      <c r="D21" s="103">
        <v>5000000</v>
      </c>
      <c r="E21" s="104">
        <f>D21</f>
        <v>5000000</v>
      </c>
      <c r="F21" s="104"/>
      <c r="G21" s="104"/>
      <c r="H21" s="113"/>
      <c r="I21" s="104">
        <f>E21</f>
        <v>5000000</v>
      </c>
      <c r="J21" s="59"/>
    </row>
    <row r="22" spans="1:10" ht="12.75" hidden="1" outlineLevel="1">
      <c r="A22" s="37"/>
      <c r="B22" s="78" t="s">
        <v>164</v>
      </c>
      <c r="C22" s="58"/>
      <c r="D22" s="103"/>
      <c r="E22" s="104">
        <f>E21</f>
        <v>5000000</v>
      </c>
      <c r="F22" s="104"/>
      <c r="G22" s="104">
        <f>E22/108</f>
        <v>46296.296296296299</v>
      </c>
      <c r="H22" s="113">
        <f t="shared" ref="H22:H37" si="0">H21-G22-F22</f>
        <v>-46296.296296296299</v>
      </c>
      <c r="I22" s="104">
        <f>E22+H22</f>
        <v>4953703.7037037034</v>
      </c>
      <c r="J22" s="70"/>
    </row>
    <row r="23" spans="1:10" ht="12.75" hidden="1" outlineLevel="1">
      <c r="A23" s="37"/>
      <c r="B23" s="69">
        <v>40602</v>
      </c>
      <c r="C23" s="58"/>
      <c r="D23" s="104"/>
      <c r="E23" s="104">
        <f t="shared" ref="E23:E86" si="1">E22</f>
        <v>5000000</v>
      </c>
      <c r="F23" s="104"/>
      <c r="G23" s="104">
        <f t="shared" ref="G23:G37" si="2">E23/108</f>
        <v>46296.296296296299</v>
      </c>
      <c r="H23" s="113">
        <f t="shared" si="0"/>
        <v>-92592.592592592599</v>
      </c>
      <c r="I23" s="104">
        <f t="shared" ref="I23:I74" si="3">E23+H23</f>
        <v>4907407.4074074076</v>
      </c>
      <c r="J23" s="70"/>
    </row>
    <row r="24" spans="1:10" ht="12.75" hidden="1" outlineLevel="1">
      <c r="A24" s="37"/>
      <c r="B24" s="69">
        <v>40633</v>
      </c>
      <c r="C24" s="58"/>
      <c r="D24" s="104"/>
      <c r="E24" s="104">
        <f t="shared" si="1"/>
        <v>5000000</v>
      </c>
      <c r="F24" s="104"/>
      <c r="G24" s="104">
        <f t="shared" si="2"/>
        <v>46296.296296296299</v>
      </c>
      <c r="H24" s="113">
        <f t="shared" si="0"/>
        <v>-138888.88888888891</v>
      </c>
      <c r="I24" s="104">
        <f t="shared" si="3"/>
        <v>4861111.111111111</v>
      </c>
      <c r="J24" s="70"/>
    </row>
    <row r="25" spans="1:10" ht="12.75" hidden="1" outlineLevel="1">
      <c r="A25" s="37"/>
      <c r="B25" s="69">
        <v>40663</v>
      </c>
      <c r="C25" s="58"/>
      <c r="D25" s="104"/>
      <c r="E25" s="104">
        <f t="shared" si="1"/>
        <v>5000000</v>
      </c>
      <c r="F25" s="104"/>
      <c r="G25" s="104">
        <f t="shared" si="2"/>
        <v>46296.296296296299</v>
      </c>
      <c r="H25" s="113">
        <f t="shared" si="0"/>
        <v>-185185.1851851852</v>
      </c>
      <c r="I25" s="104">
        <f t="shared" si="3"/>
        <v>4814814.8148148144</v>
      </c>
      <c r="J25" s="70"/>
    </row>
    <row r="26" spans="1:10" ht="12.75" hidden="1" outlineLevel="1">
      <c r="A26" s="37"/>
      <c r="B26" s="69">
        <v>40694</v>
      </c>
      <c r="C26" s="58"/>
      <c r="D26" s="104"/>
      <c r="E26" s="104">
        <f t="shared" si="1"/>
        <v>5000000</v>
      </c>
      <c r="F26" s="104"/>
      <c r="G26" s="104">
        <f t="shared" si="2"/>
        <v>46296.296296296299</v>
      </c>
      <c r="H26" s="113">
        <f t="shared" si="0"/>
        <v>-231481.48148148149</v>
      </c>
      <c r="I26" s="104">
        <f t="shared" si="3"/>
        <v>4768518.5185185187</v>
      </c>
      <c r="J26" s="70"/>
    </row>
    <row r="27" spans="1:10" ht="12.75" hidden="1" outlineLevel="1">
      <c r="A27" s="37"/>
      <c r="B27" s="69">
        <v>40724</v>
      </c>
      <c r="C27" s="58"/>
      <c r="D27" s="104"/>
      <c r="E27" s="104">
        <f t="shared" si="1"/>
        <v>5000000</v>
      </c>
      <c r="F27" s="104"/>
      <c r="G27" s="104">
        <f t="shared" si="2"/>
        <v>46296.296296296299</v>
      </c>
      <c r="H27" s="113">
        <f t="shared" si="0"/>
        <v>-277777.77777777781</v>
      </c>
      <c r="I27" s="104">
        <f t="shared" si="3"/>
        <v>4722222.222222222</v>
      </c>
      <c r="J27" s="70"/>
    </row>
    <row r="28" spans="1:10" ht="12.75" hidden="1" outlineLevel="1">
      <c r="A28" s="37"/>
      <c r="B28" s="69">
        <v>40755</v>
      </c>
      <c r="C28" s="58"/>
      <c r="D28" s="104"/>
      <c r="E28" s="104">
        <f t="shared" si="1"/>
        <v>5000000</v>
      </c>
      <c r="F28" s="104"/>
      <c r="G28" s="104">
        <f t="shared" si="2"/>
        <v>46296.296296296299</v>
      </c>
      <c r="H28" s="113">
        <f t="shared" si="0"/>
        <v>-324074.0740740741</v>
      </c>
      <c r="I28" s="104">
        <f t="shared" si="3"/>
        <v>4675925.9259259263</v>
      </c>
      <c r="J28" s="70"/>
    </row>
    <row r="29" spans="1:10" ht="12.75" hidden="1" outlineLevel="1">
      <c r="A29" s="37"/>
      <c r="B29" s="69">
        <v>40786</v>
      </c>
      <c r="C29" s="58"/>
      <c r="D29" s="104"/>
      <c r="E29" s="104">
        <f t="shared" si="1"/>
        <v>5000000</v>
      </c>
      <c r="F29" s="104"/>
      <c r="G29" s="104">
        <f t="shared" si="2"/>
        <v>46296.296296296299</v>
      </c>
      <c r="H29" s="113">
        <f t="shared" si="0"/>
        <v>-370370.37037037039</v>
      </c>
      <c r="I29" s="104">
        <f t="shared" si="3"/>
        <v>4629629.6296296297</v>
      </c>
      <c r="J29" s="70"/>
    </row>
    <row r="30" spans="1:10" ht="12.75" hidden="1" outlineLevel="1">
      <c r="A30" s="37"/>
      <c r="B30" s="69">
        <v>40816</v>
      </c>
      <c r="C30" s="58"/>
      <c r="D30" s="104"/>
      <c r="E30" s="104">
        <f t="shared" si="1"/>
        <v>5000000</v>
      </c>
      <c r="F30" s="104"/>
      <c r="G30" s="104">
        <f t="shared" si="2"/>
        <v>46296.296296296299</v>
      </c>
      <c r="H30" s="113">
        <f t="shared" si="0"/>
        <v>-416666.66666666669</v>
      </c>
      <c r="I30" s="104">
        <f t="shared" si="3"/>
        <v>4583333.333333333</v>
      </c>
      <c r="J30" s="70"/>
    </row>
    <row r="31" spans="1:10" ht="12.75" hidden="1" outlineLevel="1">
      <c r="A31" s="37"/>
      <c r="B31" s="69">
        <v>40847</v>
      </c>
      <c r="C31" s="58"/>
      <c r="D31" s="104"/>
      <c r="E31" s="104">
        <f t="shared" si="1"/>
        <v>5000000</v>
      </c>
      <c r="F31" s="104"/>
      <c r="G31" s="104">
        <f t="shared" si="2"/>
        <v>46296.296296296299</v>
      </c>
      <c r="H31" s="113">
        <f t="shared" si="0"/>
        <v>-462962.96296296298</v>
      </c>
      <c r="I31" s="104">
        <f t="shared" si="3"/>
        <v>4537037.0370370373</v>
      </c>
      <c r="J31" s="70"/>
    </row>
    <row r="32" spans="1:10" ht="12.75" hidden="1" outlineLevel="1">
      <c r="A32" s="34"/>
      <c r="B32" s="69">
        <v>40877</v>
      </c>
      <c r="C32" s="34"/>
      <c r="D32" s="105"/>
      <c r="E32" s="104">
        <f t="shared" si="1"/>
        <v>5000000</v>
      </c>
      <c r="F32" s="104"/>
      <c r="G32" s="104">
        <f t="shared" si="2"/>
        <v>46296.296296296299</v>
      </c>
      <c r="H32" s="113">
        <f t="shared" si="0"/>
        <v>-509259.25925925927</v>
      </c>
      <c r="I32" s="104">
        <f t="shared" si="3"/>
        <v>4490740.7407407407</v>
      </c>
      <c r="J32" s="70"/>
    </row>
    <row r="33" spans="1:14" s="100" customFormat="1" ht="12.75" hidden="1" outlineLevel="1">
      <c r="A33" s="36"/>
      <c r="B33" s="78">
        <v>40908</v>
      </c>
      <c r="C33" s="77"/>
      <c r="D33" s="106"/>
      <c r="E33" s="104">
        <f t="shared" si="1"/>
        <v>5000000</v>
      </c>
      <c r="F33" s="104"/>
      <c r="G33" s="104">
        <f t="shared" si="2"/>
        <v>46296.296296296299</v>
      </c>
      <c r="H33" s="113">
        <f t="shared" si="0"/>
        <v>-555555.55555555562</v>
      </c>
      <c r="I33" s="104">
        <f>E33+H33</f>
        <v>4444444.444444444</v>
      </c>
      <c r="J33" s="70"/>
      <c r="K33" s="251"/>
    </row>
    <row r="34" spans="1:14" ht="12.75" hidden="1" outlineLevel="1">
      <c r="A34" s="34"/>
      <c r="B34" s="69">
        <v>40939</v>
      </c>
      <c r="C34" s="69"/>
      <c r="D34" s="107"/>
      <c r="E34" s="104">
        <f t="shared" si="1"/>
        <v>5000000</v>
      </c>
      <c r="F34" s="104"/>
      <c r="G34" s="104">
        <f t="shared" si="2"/>
        <v>46296.296296296299</v>
      </c>
      <c r="H34" s="113">
        <f t="shared" si="0"/>
        <v>-601851.85185185191</v>
      </c>
      <c r="I34" s="104">
        <f t="shared" si="3"/>
        <v>4398148.1481481483</v>
      </c>
      <c r="J34" s="70">
        <f>(I22+I34+SUM(I23:I33)*2)/24</f>
        <v>4675925.9259259254</v>
      </c>
    </row>
    <row r="35" spans="1:14" ht="12.75" hidden="1" outlineLevel="1">
      <c r="A35" s="34"/>
      <c r="B35" s="69">
        <v>40968</v>
      </c>
      <c r="C35" s="69"/>
      <c r="D35" s="107"/>
      <c r="E35" s="104">
        <f t="shared" si="1"/>
        <v>5000000</v>
      </c>
      <c r="F35" s="104"/>
      <c r="G35" s="104">
        <f t="shared" si="2"/>
        <v>46296.296296296299</v>
      </c>
      <c r="H35" s="113">
        <f t="shared" si="0"/>
        <v>-648148.1481481482</v>
      </c>
      <c r="I35" s="104">
        <f t="shared" si="3"/>
        <v>4351851.8518518517</v>
      </c>
      <c r="J35" s="70">
        <f t="shared" ref="J35:J98" si="4">(I23+I35+SUM(I24:I34)*2)/24</f>
        <v>4629629.6296296297</v>
      </c>
    </row>
    <row r="36" spans="1:14" ht="12.75" hidden="1" outlineLevel="1">
      <c r="A36" s="34"/>
      <c r="B36" s="69">
        <v>40999</v>
      </c>
      <c r="C36" s="69"/>
      <c r="D36" s="107"/>
      <c r="E36" s="104">
        <f t="shared" si="1"/>
        <v>5000000</v>
      </c>
      <c r="F36" s="104"/>
      <c r="G36" s="104">
        <f t="shared" si="2"/>
        <v>46296.296296296299</v>
      </c>
      <c r="H36" s="113">
        <f t="shared" si="0"/>
        <v>-694444.4444444445</v>
      </c>
      <c r="I36" s="104">
        <f t="shared" si="3"/>
        <v>4305555.555555556</v>
      </c>
      <c r="J36" s="70">
        <f t="shared" si="4"/>
        <v>4583333.333333334</v>
      </c>
      <c r="K36" s="81"/>
    </row>
    <row r="37" spans="1:14" ht="12.75" hidden="1" outlineLevel="1">
      <c r="A37" s="34"/>
      <c r="B37" s="69">
        <v>41029</v>
      </c>
      <c r="C37" s="75"/>
      <c r="D37" s="107"/>
      <c r="E37" s="104">
        <f t="shared" si="1"/>
        <v>5000000</v>
      </c>
      <c r="G37" s="104">
        <f t="shared" si="2"/>
        <v>46296.296296296299</v>
      </c>
      <c r="H37" s="113">
        <f t="shared" si="0"/>
        <v>-740740.74074074079</v>
      </c>
      <c r="I37" s="104">
        <f t="shared" si="3"/>
        <v>4259259.2592592593</v>
      </c>
      <c r="J37" s="70">
        <f>(I25+I37+SUM(I26:I36)*2)/24</f>
        <v>4537037.0370370364</v>
      </c>
    </row>
    <row r="38" spans="1:14" ht="12.75" hidden="1" outlineLevel="1">
      <c r="A38" s="34"/>
      <c r="B38" s="77">
        <v>41060</v>
      </c>
      <c r="C38" s="69"/>
      <c r="D38" s="107"/>
      <c r="E38" s="104">
        <f t="shared" si="1"/>
        <v>5000000</v>
      </c>
      <c r="F38" s="104">
        <f>((E38/120)*12)-(G22-G38)*16</f>
        <v>425925.92592592584</v>
      </c>
      <c r="G38" s="104">
        <f>E38/120</f>
        <v>41666.666666666664</v>
      </c>
      <c r="H38" s="113">
        <f>H37-G38-F38</f>
        <v>-1208333.3333333333</v>
      </c>
      <c r="I38" s="104">
        <f>E38+H38</f>
        <v>3791666.666666667</v>
      </c>
      <c r="J38" s="70">
        <f>(I26+I38+SUM(I27:I37)*2)/24</f>
        <v>4473186.7283950606</v>
      </c>
    </row>
    <row r="39" spans="1:14" ht="12.75" hidden="1" outlineLevel="1">
      <c r="A39" s="34"/>
      <c r="B39" s="69">
        <v>41090</v>
      </c>
      <c r="C39" s="69"/>
      <c r="D39" s="107"/>
      <c r="E39" s="104">
        <f t="shared" si="1"/>
        <v>5000000</v>
      </c>
      <c r="F39" s="104"/>
      <c r="G39" s="104">
        <f t="shared" ref="G39:G74" si="5">E39/120</f>
        <v>41666.666666666664</v>
      </c>
      <c r="H39" s="113">
        <f>H38-G39-F39</f>
        <v>-1250000</v>
      </c>
      <c r="I39" s="104">
        <f>E39+H39</f>
        <v>3750000</v>
      </c>
      <c r="J39" s="70">
        <f t="shared" si="4"/>
        <v>4391975.3086419757</v>
      </c>
      <c r="M39" s="127"/>
    </row>
    <row r="40" spans="1:14" ht="12.75" hidden="1" outlineLevel="1">
      <c r="A40" s="34"/>
      <c r="B40" s="69">
        <v>41121</v>
      </c>
      <c r="C40" s="69"/>
      <c r="D40" s="107"/>
      <c r="E40" s="104">
        <f t="shared" si="1"/>
        <v>5000000</v>
      </c>
      <c r="F40" s="104"/>
      <c r="G40" s="104">
        <f t="shared" si="5"/>
        <v>41666.666666666664</v>
      </c>
      <c r="H40" s="113">
        <f t="shared" ref="H40:H103" si="6">H39-G40-F40</f>
        <v>-1291666.6666666667</v>
      </c>
      <c r="I40" s="104">
        <f t="shared" si="3"/>
        <v>3708333.333333333</v>
      </c>
      <c r="J40" s="70">
        <f t="shared" si="4"/>
        <v>4311149.6913580243</v>
      </c>
      <c r="K40" s="81"/>
    </row>
    <row r="41" spans="1:14" ht="12.75" hidden="1" outlineLevel="1">
      <c r="A41" s="34"/>
      <c r="B41" s="69">
        <v>41152</v>
      </c>
      <c r="C41" s="69"/>
      <c r="D41" s="74"/>
      <c r="E41" s="104">
        <f t="shared" si="1"/>
        <v>5000000</v>
      </c>
      <c r="F41" s="104"/>
      <c r="G41" s="104">
        <f t="shared" si="5"/>
        <v>41666.666666666664</v>
      </c>
      <c r="H41" s="113">
        <f t="shared" si="6"/>
        <v>-1333333.3333333335</v>
      </c>
      <c r="I41" s="104">
        <f t="shared" si="3"/>
        <v>3666666.6666666665</v>
      </c>
      <c r="J41" s="70">
        <f t="shared" si="4"/>
        <v>4230709.8765432099</v>
      </c>
    </row>
    <row r="42" spans="1:14" ht="12.75" hidden="1" outlineLevel="1">
      <c r="A42" s="34"/>
      <c r="B42" s="69">
        <v>41182</v>
      </c>
      <c r="C42" s="69"/>
      <c r="D42" s="74"/>
      <c r="E42" s="104">
        <f t="shared" si="1"/>
        <v>5000000</v>
      </c>
      <c r="F42" s="104"/>
      <c r="G42" s="104">
        <f t="shared" si="5"/>
        <v>41666.666666666664</v>
      </c>
      <c r="H42" s="113">
        <f t="shared" si="6"/>
        <v>-1375000.0000000002</v>
      </c>
      <c r="I42" s="104">
        <f t="shared" si="3"/>
        <v>3625000</v>
      </c>
      <c r="J42" s="70">
        <f t="shared" si="4"/>
        <v>4150655.8641975303</v>
      </c>
      <c r="N42" t="s">
        <v>160</v>
      </c>
    </row>
    <row r="43" spans="1:14" s="81" customFormat="1" ht="12.75" hidden="1" outlineLevel="1">
      <c r="A43" s="34"/>
      <c r="B43" s="69">
        <v>41213</v>
      </c>
      <c r="C43" s="69"/>
      <c r="D43" s="74"/>
      <c r="E43" s="104">
        <f t="shared" si="1"/>
        <v>5000000</v>
      </c>
      <c r="F43" s="104"/>
      <c r="G43" s="104">
        <f t="shared" si="5"/>
        <v>41666.666666666664</v>
      </c>
      <c r="H43" s="113">
        <f t="shared" si="6"/>
        <v>-1416666.666666667</v>
      </c>
      <c r="I43" s="104">
        <f t="shared" si="3"/>
        <v>3583333.333333333</v>
      </c>
      <c r="J43" s="70">
        <f t="shared" si="4"/>
        <v>4070987.6543209883</v>
      </c>
    </row>
    <row r="44" spans="1:14" ht="12.75" hidden="1" outlineLevel="1">
      <c r="A44" s="34"/>
      <c r="B44" s="69">
        <v>41243</v>
      </c>
      <c r="C44" s="69"/>
      <c r="D44" s="74"/>
      <c r="E44" s="104">
        <f t="shared" si="1"/>
        <v>5000000</v>
      </c>
      <c r="F44" s="104"/>
      <c r="G44" s="104">
        <f t="shared" si="5"/>
        <v>41666.666666666664</v>
      </c>
      <c r="H44" s="113">
        <f t="shared" si="6"/>
        <v>-1458333.3333333337</v>
      </c>
      <c r="I44" s="104">
        <f t="shared" si="3"/>
        <v>3541666.666666666</v>
      </c>
      <c r="J44" s="70">
        <f t="shared" si="4"/>
        <v>3991705.2469135802</v>
      </c>
    </row>
    <row r="45" spans="1:14" ht="12.75" hidden="1" outlineLevel="1">
      <c r="A45" s="34"/>
      <c r="B45" s="78">
        <v>41274</v>
      </c>
      <c r="C45" s="69"/>
      <c r="D45" s="74"/>
      <c r="E45" s="104">
        <f t="shared" si="1"/>
        <v>5000000</v>
      </c>
      <c r="F45" s="104"/>
      <c r="G45" s="104">
        <f t="shared" si="5"/>
        <v>41666.666666666664</v>
      </c>
      <c r="H45" s="113">
        <f t="shared" si="6"/>
        <v>-1500000.0000000005</v>
      </c>
      <c r="I45" s="104">
        <f t="shared" si="3"/>
        <v>3499999.9999999995</v>
      </c>
      <c r="J45" s="70">
        <f>(I33+I45+SUM(I34:I44)*2)/24</f>
        <v>3912808.6419753083</v>
      </c>
      <c r="K45" s="81"/>
    </row>
    <row r="46" spans="1:14" ht="12.75" hidden="1" outlineLevel="1">
      <c r="A46" s="34"/>
      <c r="B46" s="69">
        <v>41305</v>
      </c>
      <c r="C46" s="69"/>
      <c r="D46" s="74"/>
      <c r="E46" s="104">
        <f t="shared" si="1"/>
        <v>5000000</v>
      </c>
      <c r="F46" s="104"/>
      <c r="G46" s="104">
        <f t="shared" si="5"/>
        <v>41666.666666666664</v>
      </c>
      <c r="H46" s="113">
        <f t="shared" si="6"/>
        <v>-1541666.6666666672</v>
      </c>
      <c r="I46" s="104">
        <f t="shared" si="3"/>
        <v>3458333.333333333</v>
      </c>
      <c r="J46" s="70">
        <f>(I34+I46+SUM(I35:I45)*2)/24</f>
        <v>3834297.8395061721</v>
      </c>
    </row>
    <row r="47" spans="1:14" ht="12.75" hidden="1" outlineLevel="1">
      <c r="A47" s="34"/>
      <c r="B47" s="69">
        <v>41333</v>
      </c>
      <c r="C47" s="69"/>
      <c r="D47" s="74"/>
      <c r="E47" s="104">
        <f t="shared" si="1"/>
        <v>5000000</v>
      </c>
      <c r="F47" s="104"/>
      <c r="G47" s="104">
        <f t="shared" si="5"/>
        <v>41666.666666666664</v>
      </c>
      <c r="H47" s="113">
        <f t="shared" si="6"/>
        <v>-1583333.333333334</v>
      </c>
      <c r="I47" s="104">
        <f t="shared" si="3"/>
        <v>3416666.666666666</v>
      </c>
      <c r="J47" s="70">
        <f t="shared" si="4"/>
        <v>3756172.839506173</v>
      </c>
      <c r="K47" s="81"/>
    </row>
    <row r="48" spans="1:14" s="81" customFormat="1" ht="12.75" hidden="1" outlineLevel="1">
      <c r="A48" s="34"/>
      <c r="B48" s="69">
        <v>41364</v>
      </c>
      <c r="C48" s="69"/>
      <c r="D48" s="74"/>
      <c r="E48" s="104">
        <f t="shared" si="1"/>
        <v>5000000</v>
      </c>
      <c r="F48" s="104"/>
      <c r="G48" s="104">
        <f t="shared" si="5"/>
        <v>41666.666666666664</v>
      </c>
      <c r="H48" s="113">
        <f t="shared" si="6"/>
        <v>-1625000.0000000007</v>
      </c>
      <c r="I48" s="104">
        <f t="shared" si="3"/>
        <v>3374999.9999999991</v>
      </c>
      <c r="J48" s="70">
        <f t="shared" si="4"/>
        <v>3678433.6419753083</v>
      </c>
    </row>
    <row r="49" spans="1:15" s="81" customFormat="1" ht="12.75" hidden="1" outlineLevel="1">
      <c r="A49" s="34"/>
      <c r="B49" s="69">
        <v>41394</v>
      </c>
      <c r="C49" s="69"/>
      <c r="D49" s="74"/>
      <c r="E49" s="104">
        <f t="shared" si="1"/>
        <v>5000000</v>
      </c>
      <c r="F49" s="104"/>
      <c r="G49" s="104">
        <f t="shared" si="5"/>
        <v>41666.666666666664</v>
      </c>
      <c r="H49" s="113">
        <f t="shared" si="6"/>
        <v>-1666666.6666666674</v>
      </c>
      <c r="I49" s="104">
        <f t="shared" si="3"/>
        <v>3333333.3333333326</v>
      </c>
      <c r="J49" s="70">
        <f>(I37+I49+SUM(I38:I48)*2)/24</f>
        <v>3601080.2469135802</v>
      </c>
    </row>
    <row r="50" spans="1:15" ht="12.75" hidden="1" outlineLevel="1">
      <c r="A50" s="34"/>
      <c r="B50" s="69">
        <v>41425</v>
      </c>
      <c r="C50" s="69"/>
      <c r="D50" s="74"/>
      <c r="E50" s="104">
        <f t="shared" si="1"/>
        <v>5000000</v>
      </c>
      <c r="F50" s="104"/>
      <c r="G50" s="104">
        <f t="shared" si="5"/>
        <v>41666.666666666664</v>
      </c>
      <c r="H50" s="113">
        <f t="shared" si="6"/>
        <v>-1708333.3333333342</v>
      </c>
      <c r="I50" s="104">
        <f t="shared" si="3"/>
        <v>3291666.666666666</v>
      </c>
      <c r="J50" s="70">
        <f t="shared" si="4"/>
        <v>3541666.6666666665</v>
      </c>
    </row>
    <row r="51" spans="1:15" ht="12.75" hidden="1" outlineLevel="1">
      <c r="A51" s="34"/>
      <c r="B51" s="69">
        <v>41455</v>
      </c>
      <c r="C51" s="69"/>
      <c r="D51" s="74"/>
      <c r="E51" s="104">
        <f t="shared" si="1"/>
        <v>5000000</v>
      </c>
      <c r="F51" s="104"/>
      <c r="G51" s="104">
        <f t="shared" si="5"/>
        <v>41666.666666666664</v>
      </c>
      <c r="H51" s="113">
        <f t="shared" si="6"/>
        <v>-1750000.0000000009</v>
      </c>
      <c r="I51" s="104">
        <f t="shared" si="3"/>
        <v>3249999.9999999991</v>
      </c>
      <c r="J51" s="70">
        <f t="shared" si="4"/>
        <v>3500000</v>
      </c>
    </row>
    <row r="52" spans="1:15" ht="12.75" hidden="1" outlineLevel="1">
      <c r="A52" s="34"/>
      <c r="B52" s="69">
        <v>41486</v>
      </c>
      <c r="C52" s="69"/>
      <c r="D52" s="74"/>
      <c r="E52" s="104">
        <f t="shared" si="1"/>
        <v>5000000</v>
      </c>
      <c r="F52" s="104"/>
      <c r="G52" s="104">
        <f t="shared" si="5"/>
        <v>41666.666666666664</v>
      </c>
      <c r="H52" s="113">
        <f t="shared" si="6"/>
        <v>-1791666.6666666677</v>
      </c>
      <c r="I52" s="104">
        <f t="shared" si="3"/>
        <v>3208333.3333333321</v>
      </c>
      <c r="J52" s="70">
        <f t="shared" si="4"/>
        <v>3458333.3333333335</v>
      </c>
    </row>
    <row r="53" spans="1:15" ht="12.75" hidden="1" outlineLevel="1">
      <c r="A53" s="34"/>
      <c r="B53" s="69">
        <v>41517</v>
      </c>
      <c r="C53" s="69"/>
      <c r="D53" s="74"/>
      <c r="E53" s="104">
        <f t="shared" si="1"/>
        <v>5000000</v>
      </c>
      <c r="F53" s="104"/>
      <c r="G53" s="104">
        <f t="shared" si="5"/>
        <v>41666.666666666664</v>
      </c>
      <c r="H53" s="113">
        <f t="shared" si="6"/>
        <v>-1833333.3333333344</v>
      </c>
      <c r="I53" s="104">
        <f t="shared" si="3"/>
        <v>3166666.6666666656</v>
      </c>
      <c r="J53" s="70">
        <f t="shared" si="4"/>
        <v>3416666.666666666</v>
      </c>
      <c r="K53" s="81"/>
    </row>
    <row r="54" spans="1:15" s="81" customFormat="1" ht="12.75" hidden="1" outlineLevel="1">
      <c r="A54" s="34"/>
      <c r="B54" s="69">
        <v>41547</v>
      </c>
      <c r="C54" s="69"/>
      <c r="D54" s="74"/>
      <c r="E54" s="104">
        <f t="shared" si="1"/>
        <v>5000000</v>
      </c>
      <c r="F54" s="104"/>
      <c r="G54" s="104">
        <f t="shared" si="5"/>
        <v>41666.666666666664</v>
      </c>
      <c r="H54" s="113">
        <f t="shared" si="6"/>
        <v>-1875000.0000000012</v>
      </c>
      <c r="I54" s="104">
        <f t="shared" si="3"/>
        <v>3124999.9999999991</v>
      </c>
      <c r="J54" s="70">
        <f t="shared" si="4"/>
        <v>3374999.9999999995</v>
      </c>
      <c r="L54"/>
      <c r="M54"/>
      <c r="N54"/>
      <c r="O54"/>
    </row>
    <row r="55" spans="1:15" ht="12.75" hidden="1" outlineLevel="1">
      <c r="A55" s="34"/>
      <c r="B55" s="69">
        <v>41578</v>
      </c>
      <c r="C55" s="69"/>
      <c r="D55" s="74"/>
      <c r="E55" s="104">
        <f t="shared" si="1"/>
        <v>5000000</v>
      </c>
      <c r="F55" s="104"/>
      <c r="G55" s="104">
        <f t="shared" si="5"/>
        <v>41666.666666666664</v>
      </c>
      <c r="H55" s="113">
        <f t="shared" si="6"/>
        <v>-1916666.6666666679</v>
      </c>
      <c r="I55" s="104">
        <f t="shared" si="3"/>
        <v>3083333.3333333321</v>
      </c>
      <c r="J55" s="70">
        <f t="shared" si="4"/>
        <v>3333333.3333333326</v>
      </c>
    </row>
    <row r="56" spans="1:15" ht="12.75" hidden="1" outlineLevel="1">
      <c r="A56" s="34"/>
      <c r="B56" s="69">
        <v>41608</v>
      </c>
      <c r="C56" s="69"/>
      <c r="D56" s="74"/>
      <c r="E56" s="104">
        <f t="shared" si="1"/>
        <v>5000000</v>
      </c>
      <c r="F56" s="104"/>
      <c r="G56" s="104">
        <f t="shared" si="5"/>
        <v>41666.666666666664</v>
      </c>
      <c r="H56" s="113">
        <f t="shared" si="6"/>
        <v>-1958333.3333333347</v>
      </c>
      <c r="I56" s="104">
        <f t="shared" si="3"/>
        <v>3041666.6666666651</v>
      </c>
      <c r="J56" s="70">
        <f>(I44+I56+SUM(I45:I55)*2)/24</f>
        <v>3291666.6666666656</v>
      </c>
    </row>
    <row r="57" spans="1:15" ht="12.75" hidden="1" outlineLevel="1">
      <c r="A57" s="34"/>
      <c r="B57" s="78">
        <v>41639</v>
      </c>
      <c r="C57" s="69"/>
      <c r="D57" s="74"/>
      <c r="E57" s="104">
        <f t="shared" si="1"/>
        <v>5000000</v>
      </c>
      <c r="F57" s="104"/>
      <c r="G57" s="104">
        <f t="shared" si="5"/>
        <v>41666.666666666664</v>
      </c>
      <c r="H57" s="113">
        <f t="shared" si="6"/>
        <v>-2000000.0000000014</v>
      </c>
      <c r="I57" s="104">
        <f>E57+H57</f>
        <v>2999999.9999999986</v>
      </c>
      <c r="J57" s="70">
        <f t="shared" si="4"/>
        <v>3249999.9999999995</v>
      </c>
      <c r="K57" s="81"/>
    </row>
    <row r="58" spans="1:15" s="81" customFormat="1" ht="12.75" hidden="1" outlineLevel="1">
      <c r="A58" s="34"/>
      <c r="B58" s="69">
        <v>41670</v>
      </c>
      <c r="C58" s="69"/>
      <c r="D58" s="74"/>
      <c r="E58" s="104">
        <f t="shared" si="1"/>
        <v>5000000</v>
      </c>
      <c r="F58" s="104"/>
      <c r="G58" s="104">
        <f t="shared" si="5"/>
        <v>41666.666666666664</v>
      </c>
      <c r="H58" s="113">
        <f t="shared" si="6"/>
        <v>-2041666.6666666681</v>
      </c>
      <c r="I58" s="104">
        <f t="shared" si="3"/>
        <v>2958333.3333333321</v>
      </c>
      <c r="J58" s="70">
        <f t="shared" si="4"/>
        <v>3208333.3333333326</v>
      </c>
      <c r="L58"/>
      <c r="M58"/>
      <c r="N58"/>
      <c r="O58"/>
    </row>
    <row r="59" spans="1:15" ht="12.75" hidden="1" outlineLevel="1">
      <c r="A59" s="36"/>
      <c r="B59" s="69">
        <v>41698</v>
      </c>
      <c r="C59" s="77"/>
      <c r="D59" s="72"/>
      <c r="E59" s="104">
        <f t="shared" si="1"/>
        <v>5000000</v>
      </c>
      <c r="F59" s="104"/>
      <c r="G59" s="104">
        <f t="shared" si="5"/>
        <v>41666.666666666664</v>
      </c>
      <c r="H59" s="113">
        <f t="shared" si="6"/>
        <v>-2083333.3333333349</v>
      </c>
      <c r="I59" s="104">
        <f t="shared" si="3"/>
        <v>2916666.6666666651</v>
      </c>
      <c r="J59" s="70">
        <f t="shared" si="4"/>
        <v>3166666.6666666656</v>
      </c>
    </row>
    <row r="60" spans="1:15" ht="12.75" hidden="1" outlineLevel="1">
      <c r="A60" s="34"/>
      <c r="B60" s="69">
        <v>41729</v>
      </c>
      <c r="C60" s="69"/>
      <c r="D60" s="74"/>
      <c r="E60" s="104">
        <f t="shared" si="1"/>
        <v>5000000</v>
      </c>
      <c r="F60" s="104"/>
      <c r="G60" s="104">
        <f t="shared" si="5"/>
        <v>41666.666666666664</v>
      </c>
      <c r="H60" s="113">
        <f t="shared" si="6"/>
        <v>-2125000.0000000014</v>
      </c>
      <c r="I60" s="104">
        <f t="shared" si="3"/>
        <v>2874999.9999999986</v>
      </c>
      <c r="J60" s="70">
        <f t="shared" si="4"/>
        <v>3124999.9999999986</v>
      </c>
    </row>
    <row r="61" spans="1:15" ht="12.75" hidden="1" outlineLevel="1">
      <c r="A61" s="34"/>
      <c r="B61" s="69">
        <v>41759</v>
      </c>
      <c r="C61" s="69"/>
      <c r="D61" s="74"/>
      <c r="E61" s="104">
        <f t="shared" si="1"/>
        <v>5000000</v>
      </c>
      <c r="F61" s="104"/>
      <c r="G61" s="104">
        <f t="shared" si="5"/>
        <v>41666.666666666664</v>
      </c>
      <c r="H61" s="113">
        <f t="shared" si="6"/>
        <v>-2166666.6666666679</v>
      </c>
      <c r="I61" s="104">
        <f t="shared" si="3"/>
        <v>2833333.3333333321</v>
      </c>
      <c r="J61" s="70">
        <f t="shared" si="4"/>
        <v>3083333.3333333321</v>
      </c>
    </row>
    <row r="62" spans="1:15" ht="12.75" hidden="1" outlineLevel="1">
      <c r="A62" s="34"/>
      <c r="B62" s="69">
        <v>41790</v>
      </c>
      <c r="C62" s="80"/>
      <c r="D62" s="74"/>
      <c r="E62" s="104">
        <f t="shared" si="1"/>
        <v>5000000</v>
      </c>
      <c r="F62" s="104"/>
      <c r="G62" s="104">
        <f t="shared" si="5"/>
        <v>41666.666666666664</v>
      </c>
      <c r="H62" s="113">
        <f t="shared" si="6"/>
        <v>-2208333.3333333344</v>
      </c>
      <c r="I62" s="104">
        <f t="shared" si="3"/>
        <v>2791666.6666666656</v>
      </c>
      <c r="J62" s="70">
        <f t="shared" si="4"/>
        <v>3041666.6666666656</v>
      </c>
      <c r="K62" s="81"/>
    </row>
    <row r="63" spans="1:15" ht="12.75" hidden="1" outlineLevel="1">
      <c r="A63" s="34"/>
      <c r="B63" s="69">
        <v>41820</v>
      </c>
      <c r="C63" s="80"/>
      <c r="D63" s="74"/>
      <c r="E63" s="104">
        <f t="shared" si="1"/>
        <v>5000000</v>
      </c>
      <c r="F63" s="104"/>
      <c r="G63" s="104">
        <f t="shared" si="5"/>
        <v>41666.666666666664</v>
      </c>
      <c r="H63" s="113">
        <f t="shared" si="6"/>
        <v>-2250000.0000000009</v>
      </c>
      <c r="I63" s="104">
        <f t="shared" si="3"/>
        <v>2749999.9999999991</v>
      </c>
      <c r="J63" s="70">
        <f t="shared" si="4"/>
        <v>2999999.9999999986</v>
      </c>
    </row>
    <row r="64" spans="1:15" ht="12.75" hidden="1" outlineLevel="1">
      <c r="A64" s="34"/>
      <c r="B64" s="69">
        <v>41851</v>
      </c>
      <c r="C64" s="80"/>
      <c r="D64" s="74"/>
      <c r="E64" s="104">
        <f t="shared" si="1"/>
        <v>5000000</v>
      </c>
      <c r="F64" s="104"/>
      <c r="G64" s="104">
        <f t="shared" si="5"/>
        <v>41666.666666666664</v>
      </c>
      <c r="H64" s="113">
        <f t="shared" si="6"/>
        <v>-2291666.6666666674</v>
      </c>
      <c r="I64" s="104">
        <f t="shared" si="3"/>
        <v>2708333.3333333326</v>
      </c>
      <c r="J64" s="70">
        <f t="shared" si="4"/>
        <v>2958333.3333333321</v>
      </c>
    </row>
    <row r="65" spans="2:12" ht="12.75" hidden="1" outlineLevel="1">
      <c r="B65" s="69">
        <v>41882</v>
      </c>
      <c r="C65" s="81"/>
      <c r="D65" s="81"/>
      <c r="E65" s="104">
        <f t="shared" si="1"/>
        <v>5000000</v>
      </c>
      <c r="F65" s="104"/>
      <c r="G65" s="104">
        <f t="shared" si="5"/>
        <v>41666.666666666664</v>
      </c>
      <c r="H65" s="113">
        <f t="shared" si="6"/>
        <v>-2333333.333333334</v>
      </c>
      <c r="I65" s="104">
        <f t="shared" si="3"/>
        <v>2666666.666666666</v>
      </c>
      <c r="J65" s="70">
        <f t="shared" si="4"/>
        <v>2916666.6666666656</v>
      </c>
      <c r="K65" s="81"/>
    </row>
    <row r="66" spans="2:12" ht="12.75" hidden="1" outlineLevel="1">
      <c r="B66" s="69">
        <v>41912</v>
      </c>
      <c r="C66" s="81"/>
      <c r="D66" s="81"/>
      <c r="E66" s="104">
        <f t="shared" si="1"/>
        <v>5000000</v>
      </c>
      <c r="F66" s="104"/>
      <c r="G66" s="104">
        <f t="shared" si="5"/>
        <v>41666.666666666664</v>
      </c>
      <c r="H66" s="113">
        <f t="shared" si="6"/>
        <v>-2375000.0000000005</v>
      </c>
      <c r="I66" s="104">
        <f t="shared" si="3"/>
        <v>2624999.9999999995</v>
      </c>
      <c r="J66" s="70">
        <f t="shared" si="4"/>
        <v>2874999.9999999986</v>
      </c>
      <c r="K66" s="81"/>
      <c r="L66" s="81"/>
    </row>
    <row r="67" spans="2:12" ht="12.75" hidden="1" outlineLevel="1">
      <c r="B67" s="69">
        <v>41943</v>
      </c>
      <c r="C67" s="81"/>
      <c r="D67" s="81"/>
      <c r="E67" s="104">
        <f t="shared" si="1"/>
        <v>5000000</v>
      </c>
      <c r="F67" s="104"/>
      <c r="G67" s="104">
        <f t="shared" si="5"/>
        <v>41666.666666666664</v>
      </c>
      <c r="H67" s="113">
        <f t="shared" si="6"/>
        <v>-2416666.666666667</v>
      </c>
      <c r="I67" s="104">
        <f t="shared" si="3"/>
        <v>2583333.333333333</v>
      </c>
      <c r="J67" s="70">
        <f>(I55+I67+SUM(I56:I66)*2)/24</f>
        <v>2833333.3333333326</v>
      </c>
      <c r="K67" s="81"/>
      <c r="L67" s="81"/>
    </row>
    <row r="68" spans="2:12" ht="12.75" hidden="1" outlineLevel="1">
      <c r="B68" s="69">
        <v>41973</v>
      </c>
      <c r="C68" s="81"/>
      <c r="D68" s="81"/>
      <c r="E68" s="104">
        <f t="shared" si="1"/>
        <v>5000000</v>
      </c>
      <c r="F68" s="104"/>
      <c r="G68" s="104">
        <f t="shared" si="5"/>
        <v>41666.666666666664</v>
      </c>
      <c r="H68" s="113">
        <f t="shared" si="6"/>
        <v>-2458333.3333333335</v>
      </c>
      <c r="I68" s="104">
        <f t="shared" si="3"/>
        <v>2541666.6666666665</v>
      </c>
      <c r="J68" s="70">
        <f t="shared" si="4"/>
        <v>2791666.666666666</v>
      </c>
      <c r="K68" s="81"/>
      <c r="L68" s="81"/>
    </row>
    <row r="69" spans="2:12" ht="12.75" hidden="1" outlineLevel="1">
      <c r="B69" s="78">
        <v>42004</v>
      </c>
      <c r="C69" s="81"/>
      <c r="D69" s="81"/>
      <c r="E69" s="104">
        <f t="shared" si="1"/>
        <v>5000000</v>
      </c>
      <c r="F69" s="104"/>
      <c r="G69" s="104">
        <f t="shared" si="5"/>
        <v>41666.666666666664</v>
      </c>
      <c r="H69" s="113">
        <f t="shared" si="6"/>
        <v>-2500000</v>
      </c>
      <c r="I69" s="104">
        <f t="shared" si="3"/>
        <v>2500000</v>
      </c>
      <c r="J69" s="70">
        <f t="shared" si="4"/>
        <v>2749999.9999999995</v>
      </c>
      <c r="K69" s="81"/>
      <c r="L69" s="81"/>
    </row>
    <row r="70" spans="2:12" ht="12.75" hidden="1" outlineLevel="1">
      <c r="B70" s="69">
        <v>42035</v>
      </c>
      <c r="C70" s="81"/>
      <c r="D70" s="81"/>
      <c r="E70" s="104">
        <f t="shared" si="1"/>
        <v>5000000</v>
      </c>
      <c r="F70" s="104"/>
      <c r="G70" s="104">
        <f t="shared" si="5"/>
        <v>41666.666666666664</v>
      </c>
      <c r="H70" s="113">
        <f t="shared" si="6"/>
        <v>-2541666.6666666665</v>
      </c>
      <c r="I70" s="104">
        <f t="shared" si="3"/>
        <v>2458333.3333333335</v>
      </c>
      <c r="J70" s="70">
        <f t="shared" si="4"/>
        <v>2708333.3333333326</v>
      </c>
      <c r="K70" s="81"/>
      <c r="L70" s="81"/>
    </row>
    <row r="71" spans="2:12" ht="12.75" hidden="1" outlineLevel="1">
      <c r="B71" s="69">
        <v>42063</v>
      </c>
      <c r="E71" s="104">
        <f t="shared" si="1"/>
        <v>5000000</v>
      </c>
      <c r="F71" s="104"/>
      <c r="G71" s="104">
        <f t="shared" si="5"/>
        <v>41666.666666666664</v>
      </c>
      <c r="H71" s="113">
        <f t="shared" si="6"/>
        <v>-2583333.333333333</v>
      </c>
      <c r="I71" s="104">
        <f t="shared" si="3"/>
        <v>2416666.666666667</v>
      </c>
      <c r="J71" s="70">
        <f t="shared" si="4"/>
        <v>2666666.666666666</v>
      </c>
    </row>
    <row r="72" spans="2:12" ht="12.75" hidden="1" outlineLevel="1">
      <c r="B72" s="69">
        <v>42094</v>
      </c>
      <c r="E72" s="104">
        <f t="shared" si="1"/>
        <v>5000000</v>
      </c>
      <c r="F72" s="104"/>
      <c r="G72" s="104">
        <f t="shared" si="5"/>
        <v>41666.666666666664</v>
      </c>
      <c r="H72" s="113">
        <f t="shared" si="6"/>
        <v>-2624999.9999999995</v>
      </c>
      <c r="I72" s="104">
        <f t="shared" si="3"/>
        <v>2375000.0000000005</v>
      </c>
      <c r="J72" s="70">
        <f t="shared" si="4"/>
        <v>2624999.9999999995</v>
      </c>
    </row>
    <row r="73" spans="2:12" ht="12.75" hidden="1" outlineLevel="1">
      <c r="B73" s="69">
        <v>42124</v>
      </c>
      <c r="E73" s="104">
        <f t="shared" si="1"/>
        <v>5000000</v>
      </c>
      <c r="F73" s="104"/>
      <c r="G73" s="104">
        <f t="shared" si="5"/>
        <v>41666.666666666664</v>
      </c>
      <c r="H73" s="113">
        <f t="shared" si="6"/>
        <v>-2666666.666666666</v>
      </c>
      <c r="I73" s="104">
        <f t="shared" si="3"/>
        <v>2333333.333333334</v>
      </c>
      <c r="J73" s="70">
        <f t="shared" si="4"/>
        <v>2583333.333333333</v>
      </c>
    </row>
    <row r="74" spans="2:12" ht="12.75" hidden="1" outlineLevel="1">
      <c r="B74" s="69">
        <v>42155</v>
      </c>
      <c r="E74" s="104">
        <f t="shared" si="1"/>
        <v>5000000</v>
      </c>
      <c r="F74" s="104"/>
      <c r="G74" s="104">
        <f t="shared" si="5"/>
        <v>41666.666666666664</v>
      </c>
      <c r="H74" s="113">
        <f t="shared" si="6"/>
        <v>-2708333.3333333326</v>
      </c>
      <c r="I74" s="104">
        <f t="shared" si="3"/>
        <v>2291666.6666666674</v>
      </c>
      <c r="J74" s="70">
        <f t="shared" si="4"/>
        <v>2541666.666666667</v>
      </c>
    </row>
    <row r="75" spans="2:12" ht="12.75" hidden="1" outlineLevel="1">
      <c r="B75" s="69">
        <v>42185</v>
      </c>
      <c r="C75" s="81"/>
      <c r="D75" s="81"/>
      <c r="E75" s="104">
        <f t="shared" si="1"/>
        <v>5000000</v>
      </c>
      <c r="F75" s="104"/>
      <c r="G75" s="104">
        <f t="shared" ref="G75:G128" si="7">E75/120</f>
        <v>41666.666666666664</v>
      </c>
      <c r="H75" s="113">
        <f t="shared" si="6"/>
        <v>-2749999.9999999991</v>
      </c>
      <c r="I75" s="104">
        <f t="shared" ref="I75:I126" si="8">E75+H75</f>
        <v>2250000.0000000009</v>
      </c>
      <c r="J75" s="70">
        <f t="shared" si="4"/>
        <v>2500000.0000000005</v>
      </c>
      <c r="K75" s="81"/>
    </row>
    <row r="76" spans="2:12" ht="12.75" hidden="1" outlineLevel="1">
      <c r="B76" s="69">
        <v>42216</v>
      </c>
      <c r="C76" s="81"/>
      <c r="D76" s="81"/>
      <c r="E76" s="104">
        <f t="shared" si="1"/>
        <v>5000000</v>
      </c>
      <c r="F76" s="104"/>
      <c r="G76" s="104">
        <f t="shared" si="7"/>
        <v>41666.666666666664</v>
      </c>
      <c r="H76" s="113">
        <f t="shared" si="6"/>
        <v>-2791666.6666666656</v>
      </c>
      <c r="I76" s="104">
        <f t="shared" si="8"/>
        <v>2208333.3333333344</v>
      </c>
      <c r="J76" s="70">
        <f t="shared" si="4"/>
        <v>2458333.3333333335</v>
      </c>
      <c r="K76" s="81"/>
    </row>
    <row r="77" spans="2:12" ht="12.75" hidden="1" outlineLevel="1">
      <c r="B77" s="69">
        <v>42247</v>
      </c>
      <c r="C77" s="81"/>
      <c r="D77" s="81"/>
      <c r="E77" s="104">
        <f t="shared" si="1"/>
        <v>5000000</v>
      </c>
      <c r="F77" s="104"/>
      <c r="G77" s="104">
        <f t="shared" si="7"/>
        <v>41666.666666666664</v>
      </c>
      <c r="H77" s="113">
        <f t="shared" si="6"/>
        <v>-2833333.3333333321</v>
      </c>
      <c r="I77" s="104">
        <f t="shared" si="8"/>
        <v>2166666.6666666679</v>
      </c>
      <c r="J77" s="70">
        <f t="shared" si="4"/>
        <v>2416666.6666666674</v>
      </c>
      <c r="K77" s="81"/>
    </row>
    <row r="78" spans="2:12" ht="12.75" hidden="1" outlineLevel="1">
      <c r="B78" s="69">
        <v>42277</v>
      </c>
      <c r="E78" s="104">
        <f t="shared" si="1"/>
        <v>5000000</v>
      </c>
      <c r="F78" s="104"/>
      <c r="G78" s="104">
        <f t="shared" si="7"/>
        <v>41666.666666666664</v>
      </c>
      <c r="H78" s="113">
        <f t="shared" si="6"/>
        <v>-2874999.9999999986</v>
      </c>
      <c r="I78" s="104">
        <f t="shared" si="8"/>
        <v>2125000.0000000014</v>
      </c>
      <c r="J78" s="70">
        <f t="shared" si="4"/>
        <v>2375000.0000000005</v>
      </c>
    </row>
    <row r="79" spans="2:12" ht="12.75" hidden="1" outlineLevel="1">
      <c r="B79" s="69">
        <v>42308</v>
      </c>
      <c r="C79" s="81"/>
      <c r="D79" s="81"/>
      <c r="E79" s="104">
        <f t="shared" si="1"/>
        <v>5000000</v>
      </c>
      <c r="F79" s="104"/>
      <c r="G79" s="104">
        <f t="shared" si="7"/>
        <v>41666.666666666664</v>
      </c>
      <c r="H79" s="113">
        <f t="shared" si="6"/>
        <v>-2916666.6666666651</v>
      </c>
      <c r="I79" s="104">
        <f t="shared" si="8"/>
        <v>2083333.3333333349</v>
      </c>
      <c r="J79" s="70">
        <f t="shared" si="4"/>
        <v>2333333.333333334</v>
      </c>
      <c r="K79" s="81"/>
    </row>
    <row r="80" spans="2:12" s="81" customFormat="1" ht="12.75" hidden="1" outlineLevel="1">
      <c r="B80" s="69">
        <v>42338</v>
      </c>
      <c r="E80" s="104">
        <f t="shared" si="1"/>
        <v>5000000</v>
      </c>
      <c r="F80" s="104"/>
      <c r="G80" s="104">
        <f t="shared" si="7"/>
        <v>41666.666666666664</v>
      </c>
      <c r="H80" s="113">
        <f t="shared" si="6"/>
        <v>-2958333.3333333316</v>
      </c>
      <c r="I80" s="104">
        <f t="shared" si="8"/>
        <v>2041666.6666666684</v>
      </c>
      <c r="J80" s="70">
        <f t="shared" si="4"/>
        <v>2291666.6666666674</v>
      </c>
    </row>
    <row r="81" spans="2:11" ht="12.75" hidden="1" outlineLevel="1">
      <c r="B81" s="78">
        <v>42369</v>
      </c>
      <c r="C81" s="81"/>
      <c r="D81" s="81"/>
      <c r="E81" s="104">
        <f t="shared" si="1"/>
        <v>5000000</v>
      </c>
      <c r="F81" s="104"/>
      <c r="G81" s="104">
        <f t="shared" si="7"/>
        <v>41666.666666666664</v>
      </c>
      <c r="H81" s="113">
        <f t="shared" si="6"/>
        <v>-2999999.9999999981</v>
      </c>
      <c r="I81" s="104">
        <f t="shared" si="8"/>
        <v>2000000.0000000019</v>
      </c>
      <c r="J81" s="70">
        <f t="shared" si="4"/>
        <v>2250000.0000000009</v>
      </c>
    </row>
    <row r="82" spans="2:11" ht="12.75" hidden="1" outlineLevel="1">
      <c r="B82" s="69">
        <v>42400</v>
      </c>
      <c r="C82" s="81"/>
      <c r="D82" s="81"/>
      <c r="E82" s="104">
        <f t="shared" si="1"/>
        <v>5000000</v>
      </c>
      <c r="F82" s="104"/>
      <c r="G82" s="104">
        <f t="shared" si="7"/>
        <v>41666.666666666664</v>
      </c>
      <c r="H82" s="113">
        <f t="shared" si="6"/>
        <v>-3041666.6666666646</v>
      </c>
      <c r="I82" s="104">
        <f t="shared" si="8"/>
        <v>1958333.3333333354</v>
      </c>
      <c r="J82" s="70">
        <f t="shared" si="4"/>
        <v>2208333.3333333344</v>
      </c>
    </row>
    <row r="83" spans="2:11" ht="12.75" hidden="1" outlineLevel="1">
      <c r="B83" s="69">
        <v>42428</v>
      </c>
      <c r="C83" s="81"/>
      <c r="D83" s="81"/>
      <c r="E83" s="104">
        <f t="shared" si="1"/>
        <v>5000000</v>
      </c>
      <c r="F83" s="104"/>
      <c r="G83" s="104">
        <f t="shared" si="7"/>
        <v>41666.666666666664</v>
      </c>
      <c r="H83" s="113">
        <f t="shared" si="6"/>
        <v>-3083333.3333333312</v>
      </c>
      <c r="I83" s="104">
        <f t="shared" si="8"/>
        <v>1916666.6666666688</v>
      </c>
      <c r="J83" s="70">
        <f t="shared" si="4"/>
        <v>2166666.6666666684</v>
      </c>
    </row>
    <row r="84" spans="2:11" s="81" customFormat="1" ht="12.75" hidden="1" outlineLevel="1">
      <c r="B84" s="69">
        <v>42460</v>
      </c>
      <c r="E84" s="104">
        <f t="shared" si="1"/>
        <v>5000000</v>
      </c>
      <c r="F84" s="104"/>
      <c r="G84" s="104">
        <f t="shared" si="7"/>
        <v>41666.666666666664</v>
      </c>
      <c r="H84" s="113">
        <f t="shared" si="6"/>
        <v>-3124999.9999999977</v>
      </c>
      <c r="I84" s="104">
        <f t="shared" si="8"/>
        <v>1875000.0000000023</v>
      </c>
      <c r="J84" s="70">
        <f t="shared" si="4"/>
        <v>2125000.0000000014</v>
      </c>
    </row>
    <row r="85" spans="2:11" ht="12.75" hidden="1" outlineLevel="1">
      <c r="B85" s="69">
        <v>42490</v>
      </c>
      <c r="C85" s="81"/>
      <c r="D85" s="81"/>
      <c r="E85" s="104">
        <f t="shared" si="1"/>
        <v>5000000</v>
      </c>
      <c r="F85" s="104"/>
      <c r="G85" s="104">
        <f t="shared" si="7"/>
        <v>41666.666666666664</v>
      </c>
      <c r="H85" s="113">
        <f t="shared" si="6"/>
        <v>-3166666.6666666642</v>
      </c>
      <c r="I85" s="104">
        <f t="shared" si="8"/>
        <v>1833333.3333333358</v>
      </c>
      <c r="J85" s="70">
        <f t="shared" si="4"/>
        <v>2083333.3333333351</v>
      </c>
    </row>
    <row r="86" spans="2:11" s="81" customFormat="1" ht="12.75" hidden="1" outlineLevel="1">
      <c r="B86" s="69">
        <v>42521</v>
      </c>
      <c r="E86" s="104">
        <f t="shared" si="1"/>
        <v>5000000</v>
      </c>
      <c r="F86" s="104"/>
      <c r="G86" s="104">
        <f t="shared" si="7"/>
        <v>41666.666666666664</v>
      </c>
      <c r="H86" s="113">
        <f t="shared" si="6"/>
        <v>-3208333.3333333307</v>
      </c>
      <c r="I86" s="104">
        <f t="shared" si="8"/>
        <v>1791666.6666666693</v>
      </c>
      <c r="J86" s="70">
        <f t="shared" si="4"/>
        <v>2041666.6666666681</v>
      </c>
    </row>
    <row r="87" spans="2:11" ht="12.75" hidden="1" outlineLevel="1">
      <c r="B87" s="69">
        <v>42551</v>
      </c>
      <c r="C87" s="81"/>
      <c r="D87" s="81"/>
      <c r="E87" s="104">
        <f t="shared" ref="E87:E145" si="9">E86</f>
        <v>5000000</v>
      </c>
      <c r="F87" s="104"/>
      <c r="G87" s="104">
        <f t="shared" si="7"/>
        <v>41666.666666666664</v>
      </c>
      <c r="H87" s="113">
        <f t="shared" si="6"/>
        <v>-3249999.9999999972</v>
      </c>
      <c r="I87" s="104">
        <f t="shared" si="8"/>
        <v>1750000.0000000028</v>
      </c>
      <c r="J87" s="70">
        <f t="shared" si="4"/>
        <v>2000000.0000000019</v>
      </c>
      <c r="K87" s="81"/>
    </row>
    <row r="88" spans="2:11" ht="12.75" hidden="1" outlineLevel="1">
      <c r="B88" s="69">
        <v>42582</v>
      </c>
      <c r="C88" s="81"/>
      <c r="D88" s="81"/>
      <c r="E88" s="104">
        <f t="shared" si="9"/>
        <v>5000000</v>
      </c>
      <c r="F88" s="104"/>
      <c r="G88" s="104">
        <f t="shared" si="7"/>
        <v>41666.666666666664</v>
      </c>
      <c r="H88" s="113">
        <f t="shared" si="6"/>
        <v>-3291666.6666666637</v>
      </c>
      <c r="I88" s="104">
        <f t="shared" si="8"/>
        <v>1708333.3333333363</v>
      </c>
      <c r="J88" s="70">
        <f t="shared" si="4"/>
        <v>1958333.3333333351</v>
      </c>
    </row>
    <row r="89" spans="2:11" ht="12.75" hidden="1" outlineLevel="1">
      <c r="B89" s="69">
        <v>42613</v>
      </c>
      <c r="E89" s="104">
        <f t="shared" si="9"/>
        <v>5000000</v>
      </c>
      <c r="F89" s="104"/>
      <c r="G89" s="104">
        <f t="shared" si="7"/>
        <v>41666.666666666664</v>
      </c>
      <c r="H89" s="113">
        <f t="shared" si="6"/>
        <v>-3333333.3333333302</v>
      </c>
      <c r="I89" s="104">
        <f t="shared" si="8"/>
        <v>1666666.6666666698</v>
      </c>
      <c r="J89" s="70">
        <f t="shared" si="4"/>
        <v>1916666.6666666688</v>
      </c>
    </row>
    <row r="90" spans="2:11" ht="12.75" hidden="1" outlineLevel="1">
      <c r="B90" s="69">
        <v>42643</v>
      </c>
      <c r="C90" s="81"/>
      <c r="D90" s="81"/>
      <c r="E90" s="104">
        <f t="shared" si="9"/>
        <v>5000000</v>
      </c>
      <c r="F90" s="104"/>
      <c r="G90" s="104">
        <f t="shared" si="7"/>
        <v>41666.666666666664</v>
      </c>
      <c r="H90" s="113">
        <f t="shared" si="6"/>
        <v>-3374999.9999999967</v>
      </c>
      <c r="I90" s="104">
        <f t="shared" si="8"/>
        <v>1625000.0000000033</v>
      </c>
      <c r="J90" s="70">
        <f t="shared" si="4"/>
        <v>1875000.0000000028</v>
      </c>
    </row>
    <row r="91" spans="2:11" ht="12.75" hidden="1" outlineLevel="1">
      <c r="B91" s="69">
        <v>42674</v>
      </c>
      <c r="C91" s="81"/>
      <c r="D91" s="81"/>
      <c r="E91" s="104">
        <f t="shared" si="9"/>
        <v>5000000</v>
      </c>
      <c r="F91" s="104"/>
      <c r="G91" s="104">
        <f t="shared" si="7"/>
        <v>41666.666666666664</v>
      </c>
      <c r="H91" s="113">
        <f t="shared" si="6"/>
        <v>-3416666.6666666633</v>
      </c>
      <c r="I91" s="104">
        <f t="shared" si="8"/>
        <v>1583333.3333333367</v>
      </c>
      <c r="J91" s="70">
        <f t="shared" si="4"/>
        <v>1833333.333333336</v>
      </c>
    </row>
    <row r="92" spans="2:11" ht="12.75" hidden="1" outlineLevel="1">
      <c r="B92" s="69">
        <v>42704</v>
      </c>
      <c r="C92" s="81"/>
      <c r="D92" s="81"/>
      <c r="E92" s="104">
        <f t="shared" si="9"/>
        <v>5000000</v>
      </c>
      <c r="F92" s="104"/>
      <c r="G92" s="104">
        <f t="shared" si="7"/>
        <v>41666.666666666664</v>
      </c>
      <c r="H92" s="113">
        <f t="shared" si="6"/>
        <v>-3458333.3333333298</v>
      </c>
      <c r="I92" s="104">
        <f t="shared" si="8"/>
        <v>1541666.6666666702</v>
      </c>
      <c r="J92" s="70">
        <f t="shared" si="4"/>
        <v>1791666.6666666688</v>
      </c>
    </row>
    <row r="93" spans="2:11" ht="12.75" hidden="1" outlineLevel="1">
      <c r="B93" s="78">
        <v>42735</v>
      </c>
      <c r="C93" s="81"/>
      <c r="D93" s="81"/>
      <c r="E93" s="104">
        <f t="shared" si="9"/>
        <v>5000000</v>
      </c>
      <c r="F93" s="104"/>
      <c r="G93" s="104">
        <f t="shared" si="7"/>
        <v>41666.666666666664</v>
      </c>
      <c r="H93" s="113">
        <f t="shared" si="6"/>
        <v>-3499999.9999999963</v>
      </c>
      <c r="I93" s="104">
        <f t="shared" si="8"/>
        <v>1500000.0000000037</v>
      </c>
      <c r="J93" s="70">
        <f t="shared" si="4"/>
        <v>1750000.000000003</v>
      </c>
    </row>
    <row r="94" spans="2:11" ht="12.75" hidden="1" outlineLevel="1">
      <c r="B94" s="69">
        <v>42766</v>
      </c>
      <c r="C94" s="81"/>
      <c r="D94" s="81"/>
      <c r="E94" s="104">
        <f t="shared" si="9"/>
        <v>5000000</v>
      </c>
      <c r="F94" s="104"/>
      <c r="G94" s="104">
        <f t="shared" si="7"/>
        <v>41666.666666666664</v>
      </c>
      <c r="H94" s="113">
        <f t="shared" si="6"/>
        <v>-3541666.6666666628</v>
      </c>
      <c r="I94" s="104">
        <f t="shared" si="8"/>
        <v>1458333.3333333372</v>
      </c>
      <c r="J94" s="70">
        <f t="shared" si="4"/>
        <v>1708333.3333333365</v>
      </c>
    </row>
    <row r="95" spans="2:11" ht="12.75" hidden="1" outlineLevel="1">
      <c r="B95" s="69">
        <v>42794</v>
      </c>
      <c r="C95" s="81"/>
      <c r="D95" s="81"/>
      <c r="E95" s="104">
        <f t="shared" si="9"/>
        <v>5000000</v>
      </c>
      <c r="F95" s="104"/>
      <c r="G95" s="104">
        <f t="shared" si="7"/>
        <v>41666.666666666664</v>
      </c>
      <c r="H95" s="113">
        <f t="shared" si="6"/>
        <v>-3583333.3333333293</v>
      </c>
      <c r="I95" s="104">
        <f t="shared" si="8"/>
        <v>1416666.6666666707</v>
      </c>
      <c r="J95" s="70">
        <f t="shared" si="4"/>
        <v>1666666.6666666698</v>
      </c>
    </row>
    <row r="96" spans="2:11" ht="12.75" hidden="1" outlineLevel="1">
      <c r="B96" s="69">
        <v>42825</v>
      </c>
      <c r="C96" s="81"/>
      <c r="D96" s="81"/>
      <c r="E96" s="104">
        <f t="shared" si="9"/>
        <v>5000000</v>
      </c>
      <c r="F96" s="104"/>
      <c r="G96" s="104">
        <f t="shared" si="7"/>
        <v>41666.666666666664</v>
      </c>
      <c r="H96" s="113">
        <f t="shared" si="6"/>
        <v>-3624999.9999999958</v>
      </c>
      <c r="I96" s="104">
        <f t="shared" si="8"/>
        <v>1375000.0000000042</v>
      </c>
      <c r="J96" s="70">
        <f t="shared" si="4"/>
        <v>1625000.0000000035</v>
      </c>
    </row>
    <row r="97" spans="2:10" ht="12.75" hidden="1" outlineLevel="1">
      <c r="B97" s="69">
        <v>42855</v>
      </c>
      <c r="C97" s="81"/>
      <c r="D97" s="81"/>
      <c r="E97" s="104">
        <f t="shared" si="9"/>
        <v>5000000</v>
      </c>
      <c r="F97" s="104"/>
      <c r="G97" s="104">
        <f t="shared" si="7"/>
        <v>41666.666666666664</v>
      </c>
      <c r="H97" s="113">
        <f t="shared" si="6"/>
        <v>-3666666.6666666623</v>
      </c>
      <c r="I97" s="104">
        <f t="shared" si="8"/>
        <v>1333333.3333333377</v>
      </c>
      <c r="J97" s="70">
        <f t="shared" si="4"/>
        <v>1583333.3333333367</v>
      </c>
    </row>
    <row r="98" spans="2:10" ht="12.75" hidden="1" outlineLevel="1">
      <c r="B98" s="69">
        <v>42886</v>
      </c>
      <c r="C98" s="81"/>
      <c r="D98" s="81"/>
      <c r="E98" s="104">
        <f t="shared" si="9"/>
        <v>5000000</v>
      </c>
      <c r="F98" s="104"/>
      <c r="G98" s="104">
        <f t="shared" si="7"/>
        <v>41666.666666666664</v>
      </c>
      <c r="H98" s="113">
        <f t="shared" si="6"/>
        <v>-3708333.3333333288</v>
      </c>
      <c r="I98" s="104">
        <f t="shared" si="8"/>
        <v>1291666.6666666712</v>
      </c>
      <c r="J98" s="70">
        <f t="shared" si="4"/>
        <v>1541666.6666666705</v>
      </c>
    </row>
    <row r="99" spans="2:10" ht="12.75" hidden="1" outlineLevel="1">
      <c r="B99" s="69">
        <v>42916</v>
      </c>
      <c r="C99" s="81"/>
      <c r="D99" s="81"/>
      <c r="E99" s="104">
        <f t="shared" si="9"/>
        <v>5000000</v>
      </c>
      <c r="F99" s="104"/>
      <c r="G99" s="104">
        <f t="shared" si="7"/>
        <v>41666.666666666664</v>
      </c>
      <c r="H99" s="113">
        <f t="shared" si="6"/>
        <v>-3749999.9999999953</v>
      </c>
      <c r="I99" s="104">
        <f t="shared" si="8"/>
        <v>1250000.0000000047</v>
      </c>
      <c r="J99" s="70">
        <f t="shared" ref="J99:J141" si="10">(I87+I99+SUM(I88:I98)*2)/24</f>
        <v>1500000.0000000037</v>
      </c>
    </row>
    <row r="100" spans="2:10" ht="12.75" hidden="1" outlineLevel="1">
      <c r="B100" s="69">
        <v>42947</v>
      </c>
      <c r="C100" s="81"/>
      <c r="D100" s="81"/>
      <c r="E100" s="104">
        <f t="shared" si="9"/>
        <v>5000000</v>
      </c>
      <c r="F100" s="104"/>
      <c r="G100" s="104">
        <f t="shared" si="7"/>
        <v>41666.666666666664</v>
      </c>
      <c r="H100" s="113">
        <f t="shared" si="6"/>
        <v>-3791666.6666666619</v>
      </c>
      <c r="I100" s="104">
        <f t="shared" si="8"/>
        <v>1208333.3333333381</v>
      </c>
      <c r="J100" s="70">
        <f t="shared" si="10"/>
        <v>1458333.333333337</v>
      </c>
    </row>
    <row r="101" spans="2:10" ht="12.75" hidden="1" outlineLevel="1">
      <c r="B101" s="69">
        <v>42978</v>
      </c>
      <c r="C101" s="81"/>
      <c r="D101" s="81"/>
      <c r="E101" s="104">
        <f t="shared" si="9"/>
        <v>5000000</v>
      </c>
      <c r="F101" s="104"/>
      <c r="G101" s="104">
        <f t="shared" si="7"/>
        <v>41666.666666666664</v>
      </c>
      <c r="H101" s="113">
        <f t="shared" si="6"/>
        <v>-3833333.3333333284</v>
      </c>
      <c r="I101" s="104">
        <f t="shared" si="8"/>
        <v>1166666.6666666716</v>
      </c>
      <c r="J101" s="70">
        <f t="shared" si="10"/>
        <v>1416666.6666666707</v>
      </c>
    </row>
    <row r="102" spans="2:10" ht="12.75" hidden="1" outlineLevel="1">
      <c r="B102" s="69">
        <v>43008</v>
      </c>
      <c r="C102" s="81"/>
      <c r="D102" s="81"/>
      <c r="E102" s="104">
        <f t="shared" si="9"/>
        <v>5000000</v>
      </c>
      <c r="F102" s="104"/>
      <c r="G102" s="104">
        <f t="shared" si="7"/>
        <v>41666.666666666664</v>
      </c>
      <c r="H102" s="113">
        <f t="shared" si="6"/>
        <v>-3874999.9999999949</v>
      </c>
      <c r="I102" s="104">
        <f t="shared" si="8"/>
        <v>1125000.0000000051</v>
      </c>
      <c r="J102" s="70">
        <f t="shared" si="10"/>
        <v>1375000.0000000042</v>
      </c>
    </row>
    <row r="103" spans="2:10" ht="12.75" hidden="1" outlineLevel="1">
      <c r="B103" s="69">
        <v>43039</v>
      </c>
      <c r="C103" s="81"/>
      <c r="D103" s="81"/>
      <c r="E103" s="104">
        <f t="shared" si="9"/>
        <v>5000000</v>
      </c>
      <c r="F103" s="104"/>
      <c r="G103" s="104">
        <f t="shared" si="7"/>
        <v>41666.666666666664</v>
      </c>
      <c r="H103" s="113">
        <f t="shared" si="6"/>
        <v>-3916666.6666666614</v>
      </c>
      <c r="I103" s="104">
        <f t="shared" si="8"/>
        <v>1083333.3333333386</v>
      </c>
      <c r="J103" s="70">
        <f t="shared" si="10"/>
        <v>1333333.3333333379</v>
      </c>
    </row>
    <row r="104" spans="2:10" ht="12.75" hidden="1" outlineLevel="1">
      <c r="B104" s="69">
        <v>43069</v>
      </c>
      <c r="C104" s="81"/>
      <c r="D104" s="81"/>
      <c r="E104" s="104">
        <f t="shared" si="9"/>
        <v>5000000</v>
      </c>
      <c r="F104" s="104"/>
      <c r="G104" s="104">
        <f t="shared" si="7"/>
        <v>41666.666666666664</v>
      </c>
      <c r="H104" s="113">
        <f t="shared" ref="H104:H128" si="11">H103-G104-F104</f>
        <v>-3958333.3333333279</v>
      </c>
      <c r="I104" s="104">
        <f t="shared" si="8"/>
        <v>1041666.6666666721</v>
      </c>
      <c r="J104" s="70">
        <f t="shared" si="10"/>
        <v>1291666.6666666714</v>
      </c>
    </row>
    <row r="105" spans="2:10" ht="12.75" hidden="1" outlineLevel="1">
      <c r="B105" s="78">
        <v>43100</v>
      </c>
      <c r="C105" s="81"/>
      <c r="D105" s="81"/>
      <c r="E105" s="104">
        <f t="shared" si="9"/>
        <v>5000000</v>
      </c>
      <c r="F105" s="104"/>
      <c r="G105" s="104">
        <f t="shared" si="7"/>
        <v>41666.666666666664</v>
      </c>
      <c r="H105" s="113">
        <f t="shared" si="11"/>
        <v>-3999999.9999999944</v>
      </c>
      <c r="I105" s="104">
        <f t="shared" si="8"/>
        <v>1000000.0000000056</v>
      </c>
      <c r="J105" s="70">
        <f t="shared" si="10"/>
        <v>1250000.0000000047</v>
      </c>
    </row>
    <row r="106" spans="2:10" ht="12.75" collapsed="1">
      <c r="B106" s="69">
        <v>43131</v>
      </c>
      <c r="C106" s="81"/>
      <c r="D106" s="81"/>
      <c r="E106" s="104">
        <f t="shared" si="9"/>
        <v>5000000</v>
      </c>
      <c r="F106" s="104"/>
      <c r="G106" s="104">
        <f t="shared" si="7"/>
        <v>41666.666666666664</v>
      </c>
      <c r="H106" s="113">
        <f t="shared" si="11"/>
        <v>-4041666.6666666609</v>
      </c>
      <c r="I106" s="104">
        <f t="shared" si="8"/>
        <v>958333.33333333908</v>
      </c>
      <c r="J106" s="70">
        <f t="shared" si="10"/>
        <v>1208333.3333333379</v>
      </c>
    </row>
    <row r="107" spans="2:10" ht="12.75">
      <c r="B107" s="69">
        <v>43159</v>
      </c>
      <c r="C107" s="81"/>
      <c r="D107" s="81"/>
      <c r="E107" s="104">
        <f t="shared" si="9"/>
        <v>5000000</v>
      </c>
      <c r="F107" s="104"/>
      <c r="G107" s="104">
        <f t="shared" si="7"/>
        <v>41666.666666666664</v>
      </c>
      <c r="H107" s="113">
        <f t="shared" si="11"/>
        <v>-4083333.3333333274</v>
      </c>
      <c r="I107" s="104">
        <f t="shared" si="8"/>
        <v>916666.66666667257</v>
      </c>
      <c r="J107" s="70">
        <f t="shared" si="10"/>
        <v>1166666.6666666719</v>
      </c>
    </row>
    <row r="108" spans="2:10" ht="12.75">
      <c r="B108" s="69">
        <v>43190</v>
      </c>
      <c r="C108" s="81"/>
      <c r="D108" s="81"/>
      <c r="E108" s="104">
        <f t="shared" si="9"/>
        <v>5000000</v>
      </c>
      <c r="F108" s="104"/>
      <c r="G108" s="104">
        <f t="shared" si="7"/>
        <v>41666.666666666664</v>
      </c>
      <c r="H108" s="113">
        <f t="shared" si="11"/>
        <v>-4124999.9999999939</v>
      </c>
      <c r="I108" s="104">
        <f t="shared" si="8"/>
        <v>875000.00000000605</v>
      </c>
      <c r="J108" s="70">
        <f t="shared" si="10"/>
        <v>1125000.0000000051</v>
      </c>
    </row>
    <row r="109" spans="2:10" ht="12.75">
      <c r="B109" s="69">
        <v>43220</v>
      </c>
      <c r="E109" s="104">
        <f t="shared" si="9"/>
        <v>5000000</v>
      </c>
      <c r="F109" s="104"/>
      <c r="G109" s="104">
        <f t="shared" si="7"/>
        <v>41666.666666666664</v>
      </c>
      <c r="H109" s="113">
        <f t="shared" si="11"/>
        <v>-4166666.6666666605</v>
      </c>
      <c r="I109" s="104">
        <f t="shared" si="8"/>
        <v>833333.33333333954</v>
      </c>
      <c r="J109" s="70">
        <f t="shared" si="10"/>
        <v>1083333.3333333386</v>
      </c>
    </row>
    <row r="110" spans="2:10" ht="12.75">
      <c r="B110" s="398">
        <v>43251</v>
      </c>
      <c r="C110" s="81"/>
      <c r="D110" s="81"/>
      <c r="E110" s="104">
        <f t="shared" si="9"/>
        <v>5000000</v>
      </c>
      <c r="F110" s="104"/>
      <c r="G110" s="104">
        <f t="shared" si="7"/>
        <v>41666.666666666664</v>
      </c>
      <c r="H110" s="814">
        <f t="shared" si="11"/>
        <v>-4208333.3333333274</v>
      </c>
      <c r="I110" s="104">
        <f t="shared" si="8"/>
        <v>791666.66666667257</v>
      </c>
      <c r="J110" s="630">
        <f t="shared" si="10"/>
        <v>1041666.6666666721</v>
      </c>
    </row>
    <row r="111" spans="2:10" ht="12.75">
      <c r="B111" s="398">
        <v>43281</v>
      </c>
      <c r="C111" s="81"/>
      <c r="D111" s="81"/>
      <c r="E111" s="104">
        <f t="shared" si="9"/>
        <v>5000000</v>
      </c>
      <c r="F111" s="104"/>
      <c r="G111" s="104">
        <f t="shared" si="7"/>
        <v>41666.666666666664</v>
      </c>
      <c r="H111" s="814">
        <f t="shared" si="11"/>
        <v>-4249999.9999999944</v>
      </c>
      <c r="I111" s="104">
        <f t="shared" si="8"/>
        <v>750000.00000000559</v>
      </c>
      <c r="J111" s="630">
        <f t="shared" si="10"/>
        <v>1000000.0000000057</v>
      </c>
    </row>
    <row r="112" spans="2:10" ht="12.75">
      <c r="B112" s="398">
        <v>43312</v>
      </c>
      <c r="C112" s="81"/>
      <c r="D112" s="81"/>
      <c r="E112" s="104">
        <f t="shared" si="9"/>
        <v>5000000</v>
      </c>
      <c r="F112" s="104"/>
      <c r="G112" s="104">
        <f t="shared" si="7"/>
        <v>41666.666666666664</v>
      </c>
      <c r="H112" s="814">
        <f t="shared" si="11"/>
        <v>-4291666.6666666614</v>
      </c>
      <c r="I112" s="104">
        <f t="shared" si="8"/>
        <v>708333.33333333861</v>
      </c>
      <c r="J112" s="630">
        <f t="shared" si="10"/>
        <v>958333.33333333896</v>
      </c>
    </row>
    <row r="113" spans="2:10" ht="12.75">
      <c r="B113" s="398">
        <v>43343</v>
      </c>
      <c r="C113" s="81"/>
      <c r="D113" s="81"/>
      <c r="E113" s="104">
        <f t="shared" si="9"/>
        <v>5000000</v>
      </c>
      <c r="F113" s="104"/>
      <c r="G113" s="104">
        <f t="shared" si="7"/>
        <v>41666.666666666664</v>
      </c>
      <c r="H113" s="814">
        <f t="shared" si="11"/>
        <v>-4333333.3333333284</v>
      </c>
      <c r="I113" s="104">
        <f t="shared" si="8"/>
        <v>666666.66666667163</v>
      </c>
      <c r="J113" s="630">
        <f t="shared" si="10"/>
        <v>916666.66666667222</v>
      </c>
    </row>
    <row r="114" spans="2:10" ht="12.75">
      <c r="B114" s="398">
        <v>43373</v>
      </c>
      <c r="C114" s="81"/>
      <c r="D114" s="81"/>
      <c r="E114" s="104">
        <f t="shared" si="9"/>
        <v>5000000</v>
      </c>
      <c r="F114" s="104"/>
      <c r="G114" s="104">
        <f t="shared" si="7"/>
        <v>41666.666666666664</v>
      </c>
      <c r="H114" s="814">
        <f t="shared" si="11"/>
        <v>-4374999.9999999953</v>
      </c>
      <c r="I114" s="104">
        <f t="shared" si="8"/>
        <v>625000.00000000466</v>
      </c>
      <c r="J114" s="630">
        <f t="shared" si="10"/>
        <v>875000.00000000559</v>
      </c>
    </row>
    <row r="115" spans="2:10" ht="12.75">
      <c r="B115" s="398">
        <v>43404</v>
      </c>
      <c r="C115" s="81"/>
      <c r="D115" s="81"/>
      <c r="E115" s="104">
        <f t="shared" si="9"/>
        <v>5000000</v>
      </c>
      <c r="F115" s="104"/>
      <c r="G115" s="104">
        <f t="shared" si="7"/>
        <v>41666.666666666664</v>
      </c>
      <c r="H115" s="814">
        <f t="shared" si="11"/>
        <v>-4416666.6666666623</v>
      </c>
      <c r="I115" s="104">
        <f t="shared" si="8"/>
        <v>583333.33333333768</v>
      </c>
      <c r="J115" s="630">
        <f t="shared" si="10"/>
        <v>833333.33333333873</v>
      </c>
    </row>
    <row r="116" spans="2:10" ht="12.75">
      <c r="B116" s="398">
        <v>43434</v>
      </c>
      <c r="C116" s="81"/>
      <c r="D116" s="81"/>
      <c r="E116" s="104">
        <f t="shared" si="9"/>
        <v>5000000</v>
      </c>
      <c r="F116" s="104"/>
      <c r="G116" s="104">
        <f t="shared" si="7"/>
        <v>41666.666666666664</v>
      </c>
      <c r="H116" s="814">
        <f t="shared" si="11"/>
        <v>-4458333.3333333293</v>
      </c>
      <c r="I116" s="104">
        <f t="shared" si="8"/>
        <v>541666.6666666707</v>
      </c>
      <c r="J116" s="630">
        <f t="shared" si="10"/>
        <v>791666.6666666721</v>
      </c>
    </row>
    <row r="117" spans="2:10" ht="12.75">
      <c r="B117" s="78">
        <v>43465</v>
      </c>
      <c r="C117" s="81"/>
      <c r="D117" s="81"/>
      <c r="E117" s="104">
        <f t="shared" si="9"/>
        <v>5000000</v>
      </c>
      <c r="F117" s="104"/>
      <c r="G117" s="104">
        <f t="shared" si="7"/>
        <v>41666.666666666664</v>
      </c>
      <c r="H117" s="814">
        <f t="shared" si="11"/>
        <v>-4499999.9999999963</v>
      </c>
      <c r="I117" s="104">
        <f t="shared" si="8"/>
        <v>500000.00000000373</v>
      </c>
      <c r="J117" s="630">
        <f t="shared" si="10"/>
        <v>750000.00000000524</v>
      </c>
    </row>
    <row r="118" spans="2:10" ht="12.75">
      <c r="B118" s="398">
        <v>43496</v>
      </c>
      <c r="C118" s="81"/>
      <c r="D118" s="81"/>
      <c r="E118" s="104">
        <f t="shared" si="9"/>
        <v>5000000</v>
      </c>
      <c r="F118" s="104"/>
      <c r="G118" s="104">
        <f t="shared" si="7"/>
        <v>41666.666666666664</v>
      </c>
      <c r="H118" s="814">
        <f t="shared" si="11"/>
        <v>-4541666.6666666633</v>
      </c>
      <c r="I118" s="104">
        <f t="shared" si="8"/>
        <v>458333.33333333675</v>
      </c>
      <c r="J118" s="630">
        <f t="shared" si="10"/>
        <v>708333.33333333849</v>
      </c>
    </row>
    <row r="119" spans="2:10" ht="12.75">
      <c r="B119" s="398">
        <v>43524</v>
      </c>
      <c r="C119" s="81"/>
      <c r="D119" s="81"/>
      <c r="E119" s="104">
        <f t="shared" si="9"/>
        <v>5000000</v>
      </c>
      <c r="F119" s="104"/>
      <c r="G119" s="104">
        <f t="shared" si="7"/>
        <v>41666.666666666664</v>
      </c>
      <c r="H119" s="814">
        <f t="shared" si="11"/>
        <v>-4583333.3333333302</v>
      </c>
      <c r="I119" s="104">
        <f t="shared" si="8"/>
        <v>416666.66666666977</v>
      </c>
      <c r="J119" s="630">
        <f t="shared" si="10"/>
        <v>666666.66666667152</v>
      </c>
    </row>
    <row r="120" spans="2:10" ht="12.75">
      <c r="B120" s="398">
        <v>43555</v>
      </c>
      <c r="C120" s="81"/>
      <c r="D120" s="81"/>
      <c r="E120" s="104">
        <f t="shared" si="9"/>
        <v>5000000</v>
      </c>
      <c r="F120" s="104"/>
      <c r="G120" s="104">
        <f t="shared" si="7"/>
        <v>41666.666666666664</v>
      </c>
      <c r="H120" s="814">
        <f t="shared" si="11"/>
        <v>-4624999.9999999972</v>
      </c>
      <c r="I120" s="104">
        <f t="shared" si="8"/>
        <v>375000.00000000279</v>
      </c>
      <c r="J120" s="630">
        <f t="shared" si="10"/>
        <v>625000.00000000466</v>
      </c>
    </row>
    <row r="121" spans="2:10" ht="12.75">
      <c r="B121" s="398">
        <v>43585</v>
      </c>
      <c r="C121" s="81"/>
      <c r="D121" s="81"/>
      <c r="E121" s="104">
        <f t="shared" si="9"/>
        <v>5000000</v>
      </c>
      <c r="F121" s="104"/>
      <c r="G121" s="104">
        <f t="shared" si="7"/>
        <v>41666.666666666664</v>
      </c>
      <c r="H121" s="814">
        <f t="shared" si="11"/>
        <v>-4666666.6666666642</v>
      </c>
      <c r="I121" s="104">
        <f t="shared" si="8"/>
        <v>333333.33333333582</v>
      </c>
      <c r="J121" s="630">
        <f t="shared" si="10"/>
        <v>583333.33333333768</v>
      </c>
    </row>
    <row r="122" spans="2:10" ht="12.75">
      <c r="B122" s="398">
        <v>43616</v>
      </c>
      <c r="C122" s="81"/>
      <c r="D122" s="81"/>
      <c r="E122" s="104">
        <f t="shared" si="9"/>
        <v>5000000</v>
      </c>
      <c r="F122" s="104"/>
      <c r="G122" s="104">
        <f t="shared" si="7"/>
        <v>41666.666666666664</v>
      </c>
      <c r="H122" s="814">
        <f t="shared" si="11"/>
        <v>-4708333.3333333312</v>
      </c>
      <c r="I122" s="104">
        <f t="shared" si="8"/>
        <v>291666.66666666884</v>
      </c>
      <c r="J122" s="630">
        <f t="shared" si="10"/>
        <v>541666.6666666707</v>
      </c>
    </row>
    <row r="123" spans="2:10" ht="12.75">
      <c r="B123" s="69">
        <v>43646</v>
      </c>
      <c r="E123" s="104">
        <f t="shared" si="9"/>
        <v>5000000</v>
      </c>
      <c r="F123" s="104"/>
      <c r="G123" s="104">
        <f t="shared" si="7"/>
        <v>41666.666666666664</v>
      </c>
      <c r="H123" s="113">
        <f t="shared" si="11"/>
        <v>-4749999.9999999981</v>
      </c>
      <c r="I123" s="104">
        <f t="shared" si="8"/>
        <v>250000.00000000186</v>
      </c>
      <c r="J123" s="70">
        <f t="shared" si="10"/>
        <v>500000.00000000373</v>
      </c>
    </row>
    <row r="124" spans="2:10" ht="12.75">
      <c r="B124" s="69">
        <v>43677</v>
      </c>
      <c r="E124" s="104">
        <f t="shared" si="9"/>
        <v>5000000</v>
      </c>
      <c r="F124" s="104"/>
      <c r="G124" s="104">
        <f t="shared" si="7"/>
        <v>41666.666666666664</v>
      </c>
      <c r="H124" s="113">
        <f t="shared" si="11"/>
        <v>-4791666.6666666651</v>
      </c>
      <c r="I124" s="104">
        <f t="shared" si="8"/>
        <v>208333.33333333489</v>
      </c>
      <c r="J124" s="70">
        <f t="shared" si="10"/>
        <v>458333.33333333675</v>
      </c>
    </row>
    <row r="125" spans="2:10" ht="12.75">
      <c r="B125" s="69">
        <v>43708</v>
      </c>
      <c r="E125" s="104">
        <f t="shared" si="9"/>
        <v>5000000</v>
      </c>
      <c r="F125" s="104"/>
      <c r="G125" s="104">
        <f t="shared" si="7"/>
        <v>41666.666666666664</v>
      </c>
      <c r="H125" s="113">
        <f t="shared" si="11"/>
        <v>-4833333.3333333321</v>
      </c>
      <c r="I125" s="104">
        <f t="shared" si="8"/>
        <v>166666.66666666791</v>
      </c>
      <c r="J125" s="70">
        <f t="shared" si="10"/>
        <v>416666.66666666977</v>
      </c>
    </row>
    <row r="126" spans="2:10" ht="12.75">
      <c r="B126" s="69">
        <v>43738</v>
      </c>
      <c r="E126" s="104">
        <f t="shared" si="9"/>
        <v>5000000</v>
      </c>
      <c r="F126" s="104"/>
      <c r="G126" s="104">
        <f t="shared" si="7"/>
        <v>41666.666666666664</v>
      </c>
      <c r="H126" s="113">
        <f t="shared" si="11"/>
        <v>-4874999.9999999991</v>
      </c>
      <c r="I126" s="104">
        <f t="shared" si="8"/>
        <v>125000.00000000093</v>
      </c>
      <c r="J126" s="70">
        <f t="shared" si="10"/>
        <v>375000.00000000279</v>
      </c>
    </row>
    <row r="127" spans="2:10" ht="12.75">
      <c r="B127" s="69">
        <v>43769</v>
      </c>
      <c r="E127" s="104">
        <f t="shared" si="9"/>
        <v>5000000</v>
      </c>
      <c r="F127" s="104"/>
      <c r="G127" s="104">
        <f t="shared" si="7"/>
        <v>41666.666666666664</v>
      </c>
      <c r="H127" s="113">
        <f t="shared" si="11"/>
        <v>-4916666.666666666</v>
      </c>
      <c r="I127" s="104">
        <f>E127+H127</f>
        <v>83333.333333333954</v>
      </c>
      <c r="J127" s="70">
        <f t="shared" si="10"/>
        <v>333333.33333333582</v>
      </c>
    </row>
    <row r="128" spans="2:10" ht="12.75">
      <c r="B128" s="69">
        <v>43799</v>
      </c>
      <c r="E128" s="104">
        <f t="shared" si="9"/>
        <v>5000000</v>
      </c>
      <c r="F128" s="104"/>
      <c r="G128" s="104">
        <f t="shared" si="7"/>
        <v>41666.666666666664</v>
      </c>
      <c r="H128" s="113">
        <f t="shared" si="11"/>
        <v>-4958333.333333333</v>
      </c>
      <c r="I128" s="104">
        <f>E128+H128</f>
        <v>41666.666666666977</v>
      </c>
      <c r="J128" s="70">
        <f t="shared" si="10"/>
        <v>291666.66666666884</v>
      </c>
    </row>
    <row r="129" spans="2:10" ht="12.75">
      <c r="B129" s="78">
        <v>43830</v>
      </c>
      <c r="E129" s="104">
        <f t="shared" si="9"/>
        <v>5000000</v>
      </c>
      <c r="F129" s="104"/>
      <c r="G129" s="104">
        <f>I128</f>
        <v>41666.666666666977</v>
      </c>
      <c r="H129" s="113">
        <f>H128-G129-F129</f>
        <v>-5000000</v>
      </c>
      <c r="I129" s="104">
        <f>E129+H129</f>
        <v>0</v>
      </c>
      <c r="J129" s="70">
        <f t="shared" si="10"/>
        <v>250000.00000000186</v>
      </c>
    </row>
    <row r="130" spans="2:10" ht="12.75">
      <c r="B130" s="69">
        <v>43861</v>
      </c>
      <c r="E130" s="104">
        <f t="shared" si="9"/>
        <v>5000000</v>
      </c>
      <c r="F130" s="104"/>
      <c r="G130" s="104"/>
      <c r="H130" s="113">
        <f t="shared" ref="H130:H141" si="12">H129-G130-F130</f>
        <v>-5000000</v>
      </c>
      <c r="I130" s="104">
        <f t="shared" ref="I130:I141" si="13">E130+H130</f>
        <v>0</v>
      </c>
      <c r="J130" s="70">
        <f t="shared" si="10"/>
        <v>210069.44444444601</v>
      </c>
    </row>
    <row r="131" spans="2:10" ht="12.75">
      <c r="B131" s="69">
        <v>43889</v>
      </c>
      <c r="E131" s="104">
        <f t="shared" si="9"/>
        <v>5000000</v>
      </c>
      <c r="F131" s="104"/>
      <c r="G131" s="104"/>
      <c r="H131" s="113">
        <f t="shared" si="12"/>
        <v>-5000000</v>
      </c>
      <c r="I131" s="104">
        <f t="shared" si="13"/>
        <v>0</v>
      </c>
      <c r="J131" s="70">
        <f t="shared" si="10"/>
        <v>173611.1111111124</v>
      </c>
    </row>
    <row r="132" spans="2:10" ht="12.75">
      <c r="B132" s="69">
        <v>43921</v>
      </c>
      <c r="E132" s="104">
        <f t="shared" si="9"/>
        <v>5000000</v>
      </c>
      <c r="F132" s="104"/>
      <c r="G132" s="104"/>
      <c r="H132" s="113">
        <f t="shared" si="12"/>
        <v>-5000000</v>
      </c>
      <c r="I132" s="104">
        <f t="shared" si="13"/>
        <v>0</v>
      </c>
      <c r="J132" s="70">
        <f t="shared" si="10"/>
        <v>140625.00000000105</v>
      </c>
    </row>
    <row r="133" spans="2:10" ht="12.75">
      <c r="B133" s="69">
        <v>43951</v>
      </c>
      <c r="E133" s="104">
        <f t="shared" si="9"/>
        <v>5000000</v>
      </c>
      <c r="F133" s="104"/>
      <c r="G133" s="104"/>
      <c r="H133" s="113">
        <f t="shared" si="12"/>
        <v>-5000000</v>
      </c>
      <c r="I133" s="104">
        <f t="shared" si="13"/>
        <v>0</v>
      </c>
      <c r="J133" s="70">
        <f t="shared" si="10"/>
        <v>111111.11111111194</v>
      </c>
    </row>
    <row r="134" spans="2:10" ht="12.75">
      <c r="B134" s="69">
        <v>43982</v>
      </c>
      <c r="E134" s="104">
        <f t="shared" si="9"/>
        <v>5000000</v>
      </c>
      <c r="F134" s="104"/>
      <c r="G134" s="104"/>
      <c r="H134" s="113">
        <f t="shared" si="12"/>
        <v>-5000000</v>
      </c>
      <c r="I134" s="104">
        <f t="shared" si="13"/>
        <v>0</v>
      </c>
      <c r="J134" s="70">
        <f t="shared" si="10"/>
        <v>85069.444444445078</v>
      </c>
    </row>
    <row r="135" spans="2:10" ht="12.75">
      <c r="B135" s="69">
        <v>44012</v>
      </c>
      <c r="E135" s="104">
        <f t="shared" si="9"/>
        <v>5000000</v>
      </c>
      <c r="F135" s="104"/>
      <c r="G135" s="104"/>
      <c r="H135" s="113">
        <f t="shared" si="12"/>
        <v>-5000000</v>
      </c>
      <c r="I135" s="104">
        <f t="shared" si="13"/>
        <v>0</v>
      </c>
      <c r="J135" s="70">
        <f t="shared" si="10"/>
        <v>62500.000000000466</v>
      </c>
    </row>
    <row r="136" spans="2:10" ht="12.75">
      <c r="B136" s="69">
        <v>44043</v>
      </c>
      <c r="E136" s="104">
        <f t="shared" si="9"/>
        <v>5000000</v>
      </c>
      <c r="F136" s="104"/>
      <c r="G136" s="104"/>
      <c r="H136" s="113">
        <f t="shared" si="12"/>
        <v>-5000000</v>
      </c>
      <c r="I136" s="104">
        <f t="shared" si="13"/>
        <v>0</v>
      </c>
      <c r="J136" s="70">
        <f t="shared" si="10"/>
        <v>43402.777777778101</v>
      </c>
    </row>
    <row r="137" spans="2:10" ht="12.75">
      <c r="B137" s="69">
        <v>44074</v>
      </c>
      <c r="E137" s="104">
        <f t="shared" si="9"/>
        <v>5000000</v>
      </c>
      <c r="F137" s="104"/>
      <c r="G137" s="104"/>
      <c r="H137" s="113">
        <f t="shared" si="12"/>
        <v>-5000000</v>
      </c>
      <c r="I137" s="104">
        <f t="shared" si="13"/>
        <v>0</v>
      </c>
      <c r="J137" s="70">
        <f t="shared" si="10"/>
        <v>27777.777777777985</v>
      </c>
    </row>
    <row r="138" spans="2:10" ht="12.75">
      <c r="B138" s="69">
        <v>44104</v>
      </c>
      <c r="E138" s="104">
        <f t="shared" si="9"/>
        <v>5000000</v>
      </c>
      <c r="F138" s="104"/>
      <c r="G138" s="104"/>
      <c r="H138" s="113">
        <f t="shared" si="12"/>
        <v>-5000000</v>
      </c>
      <c r="I138" s="104">
        <f t="shared" si="13"/>
        <v>0</v>
      </c>
      <c r="J138" s="70">
        <f t="shared" si="10"/>
        <v>15625.000000000116</v>
      </c>
    </row>
    <row r="139" spans="2:10" ht="12.75">
      <c r="B139" s="69">
        <v>44135</v>
      </c>
      <c r="E139" s="104">
        <f t="shared" si="9"/>
        <v>5000000</v>
      </c>
      <c r="F139" s="104"/>
      <c r="G139" s="104"/>
      <c r="H139" s="113">
        <f t="shared" si="12"/>
        <v>-5000000</v>
      </c>
      <c r="I139" s="104">
        <f t="shared" si="13"/>
        <v>0</v>
      </c>
      <c r="J139" s="70">
        <f t="shared" si="10"/>
        <v>6944.4444444444962</v>
      </c>
    </row>
    <row r="140" spans="2:10" ht="12.75">
      <c r="B140" s="69">
        <v>44165</v>
      </c>
      <c r="E140" s="104">
        <f t="shared" si="9"/>
        <v>5000000</v>
      </c>
      <c r="F140" s="104"/>
      <c r="G140" s="104"/>
      <c r="H140" s="113">
        <f t="shared" si="12"/>
        <v>-5000000</v>
      </c>
      <c r="I140" s="104">
        <f t="shared" si="13"/>
        <v>0</v>
      </c>
      <c r="J140" s="70">
        <f t="shared" si="10"/>
        <v>1736.111111111124</v>
      </c>
    </row>
    <row r="141" spans="2:10" ht="12.75">
      <c r="B141" s="398">
        <v>44196</v>
      </c>
      <c r="E141" s="104">
        <f t="shared" si="9"/>
        <v>5000000</v>
      </c>
      <c r="F141" s="104"/>
      <c r="G141" s="104"/>
      <c r="H141" s="113">
        <f t="shared" si="12"/>
        <v>-5000000</v>
      </c>
      <c r="I141" s="104">
        <f t="shared" si="13"/>
        <v>0</v>
      </c>
      <c r="J141" s="70">
        <f t="shared" si="10"/>
        <v>0</v>
      </c>
    </row>
    <row r="142" spans="2:10" ht="12.75">
      <c r="B142" s="69">
        <v>44227</v>
      </c>
      <c r="E142" s="104">
        <f t="shared" si="9"/>
        <v>5000000</v>
      </c>
      <c r="F142" s="104"/>
      <c r="G142" s="104"/>
      <c r="H142" s="113">
        <f t="shared" ref="H142:H145" si="14">H141-G142-F142</f>
        <v>-5000000</v>
      </c>
      <c r="I142" s="104">
        <f t="shared" ref="I142:I145" si="15">E142+H142</f>
        <v>0</v>
      </c>
      <c r="J142" s="70">
        <f t="shared" ref="J142:J145" si="16">(I130+I142+SUM(I131:I141)*2)/24</f>
        <v>0</v>
      </c>
    </row>
    <row r="143" spans="2:10" ht="12.75">
      <c r="B143" s="398">
        <v>44255</v>
      </c>
      <c r="E143" s="104">
        <f t="shared" si="9"/>
        <v>5000000</v>
      </c>
      <c r="F143" s="104"/>
      <c r="G143" s="104"/>
      <c r="H143" s="113">
        <f t="shared" si="14"/>
        <v>-5000000</v>
      </c>
      <c r="I143" s="104">
        <f t="shared" si="15"/>
        <v>0</v>
      </c>
      <c r="J143" s="70">
        <f t="shared" si="16"/>
        <v>0</v>
      </c>
    </row>
    <row r="144" spans="2:10" ht="12.75">
      <c r="B144" s="69">
        <v>44286</v>
      </c>
      <c r="E144" s="104">
        <f t="shared" si="9"/>
        <v>5000000</v>
      </c>
      <c r="F144" s="104"/>
      <c r="G144" s="104"/>
      <c r="H144" s="113">
        <f t="shared" si="14"/>
        <v>-5000000</v>
      </c>
      <c r="I144" s="104">
        <f t="shared" si="15"/>
        <v>0</v>
      </c>
      <c r="J144" s="70">
        <f t="shared" si="16"/>
        <v>0</v>
      </c>
    </row>
    <row r="145" spans="2:10" ht="12.75">
      <c r="B145" s="398">
        <v>44316</v>
      </c>
      <c r="E145" s="104">
        <f t="shared" si="9"/>
        <v>5000000</v>
      </c>
      <c r="F145" s="104"/>
      <c r="G145" s="104"/>
      <c r="H145" s="113">
        <f t="shared" si="14"/>
        <v>-5000000</v>
      </c>
      <c r="I145" s="104">
        <f t="shared" si="15"/>
        <v>0</v>
      </c>
      <c r="J145" s="70">
        <f t="shared" si="16"/>
        <v>0</v>
      </c>
    </row>
    <row r="146" spans="2:10" ht="12.75">
      <c r="B146" s="398"/>
      <c r="E146" s="74"/>
      <c r="F146" s="74"/>
      <c r="G146" s="74"/>
      <c r="H146" s="74"/>
      <c r="I146" s="74"/>
      <c r="J146" s="70"/>
    </row>
    <row r="147" spans="2:10" ht="12.75">
      <c r="B147" s="69"/>
      <c r="E147" s="74"/>
      <c r="F147" s="74"/>
      <c r="G147" s="74"/>
      <c r="H147" s="74"/>
      <c r="I147" s="74"/>
      <c r="J147" s="70"/>
    </row>
    <row r="148" spans="2:10" ht="12.75">
      <c r="B148" s="69"/>
      <c r="E148" s="74"/>
      <c r="F148" s="74"/>
      <c r="G148" s="74"/>
      <c r="H148" s="74"/>
      <c r="I148" s="74"/>
      <c r="J148" s="70"/>
    </row>
    <row r="149" spans="2:10" ht="12.75">
      <c r="B149" s="69"/>
      <c r="E149" s="74"/>
      <c r="F149" s="74"/>
      <c r="G149" s="74"/>
      <c r="H149" s="74"/>
      <c r="I149" s="74"/>
      <c r="J149" s="70"/>
    </row>
    <row r="150" spans="2:10" ht="12.75">
      <c r="B150" s="69"/>
      <c r="E150" s="74"/>
      <c r="F150" s="74"/>
      <c r="G150" s="74"/>
      <c r="H150" s="74"/>
      <c r="I150" s="74"/>
      <c r="J150" s="70"/>
    </row>
    <row r="151" spans="2:10" ht="12.75">
      <c r="B151" s="69"/>
      <c r="E151" s="74"/>
      <c r="F151" s="74"/>
      <c r="G151" s="74"/>
      <c r="H151" s="74"/>
      <c r="I151" s="74"/>
      <c r="J151" s="70"/>
    </row>
    <row r="152" spans="2:10" ht="12.75">
      <c r="B152" s="69"/>
      <c r="E152" s="74"/>
      <c r="F152" s="74"/>
      <c r="G152" s="74"/>
      <c r="H152" s="74"/>
      <c r="I152" s="74"/>
      <c r="J152" s="70"/>
    </row>
    <row r="153" spans="2:10" ht="12.75">
      <c r="B153" s="69"/>
      <c r="E153" s="74"/>
      <c r="F153" s="74"/>
      <c r="G153" s="74"/>
      <c r="H153" s="74"/>
      <c r="I153" s="74"/>
      <c r="J153" s="70"/>
    </row>
    <row r="154" spans="2:10" ht="12.75">
      <c r="B154" s="69"/>
      <c r="E154" s="74"/>
      <c r="F154" s="74"/>
      <c r="G154" s="74"/>
      <c r="H154" s="74"/>
      <c r="I154" s="74"/>
      <c r="J154" s="70"/>
    </row>
    <row r="155" spans="2:10" ht="12.75">
      <c r="B155" s="69"/>
      <c r="E155" s="74"/>
      <c r="F155" s="74"/>
      <c r="G155" s="74"/>
      <c r="H155" s="74"/>
      <c r="I155" s="74"/>
      <c r="J155" s="70"/>
    </row>
    <row r="156" spans="2:10" ht="12.75">
      <c r="B156" s="69"/>
      <c r="E156" s="74"/>
      <c r="F156" s="74"/>
      <c r="G156" s="74"/>
      <c r="H156" s="74"/>
      <c r="I156" s="74"/>
      <c r="J156" s="70"/>
    </row>
    <row r="157" spans="2:10" ht="12.75">
      <c r="B157" s="69"/>
      <c r="E157" s="74"/>
      <c r="F157" s="74"/>
      <c r="G157" s="74"/>
      <c r="H157" s="74"/>
      <c r="I157" s="74"/>
      <c r="J157" s="70"/>
    </row>
    <row r="158" spans="2:10" ht="12.75">
      <c r="B158" s="69"/>
      <c r="E158" s="74"/>
      <c r="F158" s="74"/>
      <c r="G158" s="74"/>
      <c r="H158" s="74"/>
      <c r="I158" s="74"/>
      <c r="J158" s="70"/>
    </row>
    <row r="159" spans="2:10" ht="12.75">
      <c r="B159" s="69"/>
      <c r="E159" s="74"/>
      <c r="F159" s="74"/>
      <c r="G159" s="74"/>
      <c r="H159" s="74"/>
      <c r="I159" s="74"/>
      <c r="J159" s="70"/>
    </row>
    <row r="160" spans="2:10" ht="12.75">
      <c r="B160" s="69"/>
      <c r="E160" s="74"/>
      <c r="F160" s="74"/>
      <c r="G160" s="74"/>
      <c r="H160" s="74"/>
      <c r="I160" s="74"/>
      <c r="J160" s="70"/>
    </row>
    <row r="161" spans="2:10" ht="12.75">
      <c r="B161" s="69"/>
      <c r="E161" s="74"/>
      <c r="F161" s="74"/>
      <c r="G161" s="74"/>
      <c r="H161" s="74"/>
      <c r="I161" s="74"/>
      <c r="J161" s="70"/>
    </row>
    <row r="162" spans="2:10" ht="12.75">
      <c r="B162" s="69"/>
      <c r="E162" s="74"/>
      <c r="F162" s="74"/>
      <c r="G162" s="74"/>
      <c r="H162" s="74"/>
      <c r="I162" s="74"/>
      <c r="J162" s="70"/>
    </row>
    <row r="163" spans="2:10" ht="12.75">
      <c r="B163" s="69"/>
      <c r="E163" s="74"/>
      <c r="F163" s="74"/>
      <c r="G163" s="74"/>
      <c r="H163" s="74"/>
      <c r="I163" s="74"/>
      <c r="J163" s="70"/>
    </row>
    <row r="164" spans="2:10" ht="12.75">
      <c r="B164" s="69"/>
      <c r="E164" s="74"/>
      <c r="F164" s="74"/>
      <c r="G164" s="74"/>
      <c r="H164" s="74"/>
      <c r="I164" s="74"/>
      <c r="J164" s="70"/>
    </row>
    <row r="165" spans="2:10" ht="12.75">
      <c r="B165" s="69"/>
      <c r="E165" s="74"/>
      <c r="F165" s="74"/>
      <c r="G165" s="74"/>
      <c r="H165" s="74"/>
      <c r="I165" s="74"/>
      <c r="J165" s="70"/>
    </row>
    <row r="166" spans="2:10" ht="12.75">
      <c r="B166" s="69"/>
      <c r="E166" s="74"/>
      <c r="F166" s="74"/>
      <c r="G166" s="74"/>
      <c r="H166" s="74"/>
      <c r="I166" s="74"/>
      <c r="J166" s="70"/>
    </row>
    <row r="167" spans="2:10" ht="12.75">
      <c r="B167" s="69"/>
      <c r="E167" s="74"/>
      <c r="F167" s="74"/>
      <c r="G167" s="74"/>
      <c r="H167" s="74"/>
      <c r="I167" s="74"/>
      <c r="J167" s="70"/>
    </row>
    <row r="168" spans="2:10" ht="12.75">
      <c r="B168" s="69"/>
      <c r="E168" s="74"/>
      <c r="F168" s="74"/>
      <c r="G168" s="74"/>
      <c r="H168" s="74"/>
      <c r="I168" s="74"/>
      <c r="J168" s="70"/>
    </row>
    <row r="169" spans="2:10" ht="12.75">
      <c r="B169" s="69"/>
      <c r="E169" s="74"/>
      <c r="F169" s="74"/>
      <c r="G169" s="74"/>
      <c r="H169" s="74"/>
      <c r="I169" s="74"/>
      <c r="J169" s="70"/>
    </row>
    <row r="170" spans="2:10" ht="12.75">
      <c r="B170" s="69"/>
      <c r="E170" s="74"/>
      <c r="F170" s="74"/>
      <c r="G170" s="74"/>
      <c r="H170" s="74"/>
      <c r="I170" s="74"/>
      <c r="J170" s="70"/>
    </row>
    <row r="171" spans="2:10" ht="12.75">
      <c r="B171" s="69"/>
      <c r="E171" s="74"/>
      <c r="F171" s="74"/>
      <c r="G171" s="74"/>
      <c r="H171" s="74"/>
      <c r="I171" s="74"/>
      <c r="J171" s="70"/>
    </row>
    <row r="172" spans="2:10" ht="12.75">
      <c r="B172" s="69"/>
      <c r="E172" s="74"/>
      <c r="F172" s="74"/>
      <c r="G172" s="74"/>
      <c r="H172" s="74"/>
      <c r="I172" s="74"/>
      <c r="J172" s="70"/>
    </row>
    <row r="173" spans="2:10" ht="12.75">
      <c r="B173" s="69"/>
      <c r="E173" s="74"/>
      <c r="F173" s="74"/>
      <c r="G173" s="74"/>
      <c r="H173" s="74"/>
      <c r="I173" s="74"/>
      <c r="J173" s="70"/>
    </row>
    <row r="174" spans="2:10" ht="12.75">
      <c r="B174" s="69"/>
      <c r="E174" s="74"/>
      <c r="F174" s="74"/>
      <c r="G174" s="74"/>
      <c r="H174" s="74"/>
      <c r="I174" s="74"/>
      <c r="J174" s="70"/>
    </row>
    <row r="175" spans="2:10" ht="12.75">
      <c r="B175" s="69"/>
      <c r="E175" s="74"/>
      <c r="F175" s="74"/>
      <c r="G175" s="74"/>
      <c r="H175" s="74"/>
      <c r="I175" s="74"/>
      <c r="J175" s="70"/>
    </row>
    <row r="176" spans="2:10" ht="12.75">
      <c r="B176" s="69"/>
      <c r="E176" s="74"/>
      <c r="F176" s="74"/>
      <c r="G176" s="74"/>
      <c r="H176" s="74"/>
      <c r="I176" s="74"/>
      <c r="J176" s="70"/>
    </row>
    <row r="177" spans="2:10" ht="12.75">
      <c r="B177" s="69"/>
      <c r="E177" s="74"/>
      <c r="F177" s="74"/>
      <c r="G177" s="74"/>
      <c r="H177" s="74"/>
      <c r="I177" s="74"/>
      <c r="J177" s="70"/>
    </row>
    <row r="178" spans="2:10" ht="12.75">
      <c r="B178" s="69"/>
      <c r="E178" s="74"/>
      <c r="F178" s="74"/>
      <c r="G178" s="74"/>
      <c r="H178" s="74"/>
      <c r="I178" s="74"/>
      <c r="J178" s="70"/>
    </row>
    <row r="179" spans="2:10" ht="12.75">
      <c r="B179" s="69"/>
      <c r="E179" s="74"/>
      <c r="F179" s="74"/>
      <c r="G179" s="74"/>
      <c r="H179" s="74"/>
      <c r="I179" s="74"/>
      <c r="J179" s="70"/>
    </row>
    <row r="180" spans="2:10" ht="12.75">
      <c r="B180" s="69"/>
      <c r="E180" s="74"/>
      <c r="F180" s="74"/>
      <c r="G180" s="74"/>
      <c r="H180" s="74"/>
      <c r="I180" s="74"/>
      <c r="J180" s="70"/>
    </row>
    <row r="181" spans="2:10" ht="12.75">
      <c r="B181" s="69"/>
      <c r="E181" s="74"/>
      <c r="F181" s="74"/>
      <c r="G181" s="74"/>
      <c r="H181" s="74"/>
      <c r="I181" s="74"/>
      <c r="J181" s="70"/>
    </row>
    <row r="182" spans="2:10" ht="12.75">
      <c r="B182" s="69"/>
      <c r="E182" s="74"/>
      <c r="F182" s="74"/>
      <c r="G182" s="74"/>
      <c r="H182" s="74"/>
      <c r="I182" s="74"/>
      <c r="J182" s="70"/>
    </row>
    <row r="183" spans="2:10" ht="12.75">
      <c r="B183" s="69"/>
      <c r="E183" s="74"/>
      <c r="F183" s="74"/>
      <c r="G183" s="74"/>
      <c r="H183" s="74"/>
      <c r="I183" s="74"/>
      <c r="J183" s="70"/>
    </row>
    <row r="184" spans="2:10" ht="12.75">
      <c r="B184" s="69"/>
      <c r="E184" s="74"/>
      <c r="F184" s="74"/>
      <c r="G184" s="74"/>
      <c r="H184" s="74"/>
      <c r="I184" s="74"/>
      <c r="J184" s="70"/>
    </row>
    <row r="185" spans="2:10" ht="12.75">
      <c r="B185" s="69"/>
      <c r="E185" s="74"/>
      <c r="F185" s="74"/>
      <c r="G185" s="74"/>
      <c r="H185" s="74"/>
      <c r="I185" s="74"/>
      <c r="J185" s="70"/>
    </row>
    <row r="186" spans="2:10" ht="12.75">
      <c r="B186" s="69"/>
      <c r="E186" s="74"/>
      <c r="F186" s="74"/>
      <c r="G186" s="74"/>
      <c r="H186" s="74"/>
      <c r="I186" s="74"/>
      <c r="J186" s="70"/>
    </row>
    <row r="187" spans="2:10" ht="12.75">
      <c r="B187" s="69"/>
      <c r="E187" s="74"/>
      <c r="F187" s="74"/>
      <c r="G187" s="74"/>
      <c r="H187" s="74"/>
      <c r="I187" s="74"/>
      <c r="J187" s="70"/>
    </row>
    <row r="188" spans="2:10" ht="12.75">
      <c r="B188" s="69"/>
      <c r="E188" s="74"/>
      <c r="F188" s="74"/>
      <c r="G188" s="74"/>
      <c r="H188" s="74"/>
      <c r="I188" s="74"/>
      <c r="J188" s="70"/>
    </row>
    <row r="189" spans="2:10" ht="12.75">
      <c r="B189" s="69"/>
      <c r="E189" s="74"/>
      <c r="F189" s="74"/>
      <c r="G189" s="74"/>
      <c r="H189" s="74"/>
      <c r="I189" s="74"/>
      <c r="J189" s="70"/>
    </row>
    <row r="190" spans="2:10" ht="12.75">
      <c r="B190" s="69"/>
      <c r="E190" s="74"/>
      <c r="F190" s="74"/>
      <c r="G190" s="74"/>
      <c r="H190" s="74"/>
      <c r="I190" s="74"/>
      <c r="J190" s="70"/>
    </row>
    <row r="191" spans="2:10" ht="12.75">
      <c r="B191" s="69"/>
      <c r="E191" s="74"/>
      <c r="F191" s="74"/>
      <c r="G191" s="74"/>
      <c r="H191" s="74"/>
      <c r="I191" s="74"/>
      <c r="J191" s="70"/>
    </row>
    <row r="192" spans="2:10" ht="12.75">
      <c r="B192" s="69"/>
      <c r="E192" s="74"/>
      <c r="F192" s="74"/>
      <c r="G192" s="74"/>
      <c r="H192" s="74"/>
      <c r="I192" s="74"/>
      <c r="J192" s="70"/>
    </row>
    <row r="193" spans="2:10" ht="12.75">
      <c r="B193" s="69"/>
      <c r="E193" s="74"/>
      <c r="F193" s="74"/>
      <c r="G193" s="74"/>
      <c r="H193" s="74"/>
      <c r="I193" s="74"/>
      <c r="J193" s="70"/>
    </row>
    <row r="194" spans="2:10" ht="12.75">
      <c r="B194" s="69"/>
      <c r="E194" s="74"/>
      <c r="F194" s="74"/>
      <c r="G194" s="74"/>
      <c r="H194" s="74"/>
      <c r="I194" s="74"/>
      <c r="J194" s="70"/>
    </row>
    <row r="195" spans="2:10" ht="12.75">
      <c r="B195" s="69"/>
      <c r="E195" s="74"/>
      <c r="F195" s="74"/>
      <c r="G195" s="74"/>
      <c r="H195" s="74"/>
      <c r="I195" s="74"/>
      <c r="J195" s="70"/>
    </row>
    <row r="196" spans="2:10" ht="12.75">
      <c r="B196" s="69"/>
      <c r="E196" s="74"/>
      <c r="F196" s="74"/>
      <c r="G196" s="74"/>
      <c r="H196" s="74"/>
      <c r="I196" s="74"/>
      <c r="J196" s="70"/>
    </row>
    <row r="197" spans="2:10" ht="12.75">
      <c r="B197" s="69"/>
      <c r="E197" s="74"/>
      <c r="F197" s="74"/>
      <c r="G197" s="74"/>
      <c r="H197" s="74"/>
      <c r="I197" s="74"/>
      <c r="J197" s="70"/>
    </row>
    <row r="198" spans="2:10" ht="12.75">
      <c r="B198" s="69"/>
      <c r="E198" s="74"/>
      <c r="F198" s="74"/>
      <c r="G198" s="74"/>
      <c r="H198" s="74"/>
      <c r="I198" s="74"/>
      <c r="J198" s="70"/>
    </row>
    <row r="199" spans="2:10" ht="12.75">
      <c r="B199" s="69"/>
      <c r="E199" s="74"/>
      <c r="F199" s="74"/>
      <c r="G199" s="74"/>
      <c r="H199" s="74"/>
      <c r="I199" s="74"/>
      <c r="J199" s="70"/>
    </row>
    <row r="200" spans="2:10" ht="12.75">
      <c r="B200" s="69"/>
      <c r="E200" s="74"/>
      <c r="F200" s="74"/>
      <c r="G200" s="74"/>
      <c r="H200" s="74"/>
      <c r="I200" s="74"/>
      <c r="J200" s="70"/>
    </row>
    <row r="201" spans="2:10" ht="12.75">
      <c r="B201" s="69"/>
      <c r="E201" s="74"/>
      <c r="F201" s="74"/>
      <c r="G201" s="74"/>
      <c r="H201" s="74"/>
      <c r="I201" s="74"/>
      <c r="J201" s="70"/>
    </row>
    <row r="202" spans="2:10" ht="12.75">
      <c r="B202" s="69"/>
      <c r="E202" s="74"/>
      <c r="F202" s="74"/>
      <c r="G202" s="74"/>
      <c r="H202" s="74"/>
      <c r="I202" s="74"/>
      <c r="J202" s="70"/>
    </row>
    <row r="203" spans="2:10" ht="12.75">
      <c r="B203" s="69"/>
      <c r="E203" s="74"/>
      <c r="F203" s="74"/>
      <c r="G203" s="74"/>
      <c r="H203" s="74"/>
      <c r="I203" s="74"/>
      <c r="J203" s="70"/>
    </row>
    <row r="204" spans="2:10" ht="12.75">
      <c r="B204" s="69"/>
      <c r="E204" s="74"/>
      <c r="F204" s="74"/>
      <c r="G204" s="74"/>
      <c r="H204" s="74"/>
      <c r="I204" s="74"/>
      <c r="J204" s="70"/>
    </row>
    <row r="205" spans="2:10" ht="12.75">
      <c r="B205" s="69"/>
      <c r="E205" s="74"/>
      <c r="F205" s="74"/>
      <c r="G205" s="74"/>
      <c r="H205" s="74"/>
      <c r="I205" s="74"/>
      <c r="J205" s="70"/>
    </row>
    <row r="206" spans="2:10" ht="12.75">
      <c r="B206" s="69"/>
      <c r="E206" s="74"/>
      <c r="F206" s="74"/>
      <c r="G206" s="74"/>
      <c r="H206" s="74"/>
      <c r="I206" s="74"/>
      <c r="J206" s="70"/>
    </row>
    <row r="207" spans="2:10" ht="12.75">
      <c r="B207" s="69"/>
      <c r="E207" s="74"/>
      <c r="F207" s="74"/>
      <c r="G207" s="74"/>
      <c r="H207" s="74"/>
      <c r="I207" s="74"/>
      <c r="J207" s="70"/>
    </row>
    <row r="208" spans="2:10" ht="12.75">
      <c r="B208" s="69"/>
      <c r="E208" s="74"/>
      <c r="F208" s="74"/>
      <c r="G208" s="74"/>
      <c r="H208" s="74"/>
      <c r="I208" s="74"/>
      <c r="J208" s="70"/>
    </row>
    <row r="209" spans="2:10" ht="12.75">
      <c r="B209" s="69"/>
      <c r="E209" s="74"/>
      <c r="F209" s="74"/>
      <c r="G209" s="74"/>
      <c r="H209" s="74"/>
      <c r="I209" s="74"/>
      <c r="J209" s="70"/>
    </row>
    <row r="210" spans="2:10" ht="12.75">
      <c r="B210" s="69"/>
      <c r="E210" s="74"/>
      <c r="F210" s="74"/>
      <c r="G210" s="74"/>
      <c r="H210" s="74"/>
      <c r="I210" s="74"/>
      <c r="J210" s="70"/>
    </row>
    <row r="211" spans="2:10" ht="12.75">
      <c r="B211" s="69"/>
      <c r="E211" s="74"/>
      <c r="F211" s="74"/>
      <c r="G211" s="74"/>
      <c r="H211" s="74"/>
      <c r="I211" s="74"/>
      <c r="J211" s="70"/>
    </row>
    <row r="212" spans="2:10" ht="12.75">
      <c r="B212" s="69"/>
      <c r="E212" s="74"/>
      <c r="F212" s="74"/>
      <c r="G212" s="74"/>
      <c r="H212" s="74"/>
      <c r="I212" s="74"/>
      <c r="J212" s="70"/>
    </row>
    <row r="213" spans="2:10" ht="12.75">
      <c r="B213" s="69"/>
      <c r="E213" s="74"/>
      <c r="F213" s="74"/>
      <c r="G213" s="74"/>
      <c r="H213" s="74"/>
      <c r="I213" s="74"/>
      <c r="J213" s="70"/>
    </row>
    <row r="214" spans="2:10" ht="12.75">
      <c r="B214" s="69"/>
      <c r="E214" s="74"/>
      <c r="F214" s="74"/>
      <c r="G214" s="74"/>
      <c r="H214" s="74"/>
      <c r="I214" s="74"/>
      <c r="J214" s="70"/>
    </row>
    <row r="215" spans="2:10" ht="12.75">
      <c r="B215" s="69"/>
      <c r="E215" s="74"/>
      <c r="F215" s="74"/>
      <c r="G215" s="74"/>
      <c r="H215" s="74"/>
      <c r="I215" s="74"/>
      <c r="J215" s="70"/>
    </row>
    <row r="216" spans="2:10" ht="12.75">
      <c r="B216" s="69"/>
      <c r="E216" s="74"/>
      <c r="F216" s="74"/>
      <c r="G216" s="74"/>
      <c r="H216" s="74"/>
      <c r="I216" s="74"/>
      <c r="J216" s="70"/>
    </row>
    <row r="217" spans="2:10" ht="12.75">
      <c r="B217" s="69"/>
      <c r="E217" s="74"/>
      <c r="F217" s="74"/>
      <c r="G217" s="74"/>
      <c r="H217" s="74"/>
      <c r="I217" s="74"/>
      <c r="J217" s="70"/>
    </row>
    <row r="218" spans="2:10" ht="12.75">
      <c r="B218" s="69"/>
      <c r="E218" s="74"/>
      <c r="F218" s="74"/>
      <c r="G218" s="74"/>
      <c r="H218" s="74"/>
      <c r="I218" s="74"/>
      <c r="J218" s="70"/>
    </row>
    <row r="219" spans="2:10" ht="12.75">
      <c r="B219" s="69"/>
      <c r="E219" s="74"/>
      <c r="F219" s="74"/>
      <c r="G219" s="74"/>
      <c r="H219" s="74"/>
      <c r="I219" s="74"/>
      <c r="J219" s="70"/>
    </row>
    <row r="220" spans="2:10" ht="12.75">
      <c r="B220" s="69"/>
      <c r="E220" s="74"/>
      <c r="F220" s="74"/>
      <c r="G220" s="74"/>
      <c r="H220" s="74"/>
      <c r="I220" s="74"/>
      <c r="J220" s="70"/>
    </row>
    <row r="221" spans="2:10" ht="12.75">
      <c r="B221" s="69"/>
      <c r="E221" s="74"/>
      <c r="F221" s="74"/>
      <c r="G221" s="74"/>
      <c r="H221" s="74"/>
      <c r="I221" s="74"/>
      <c r="J221" s="70"/>
    </row>
    <row r="222" spans="2:10" ht="12.75">
      <c r="B222" s="69"/>
      <c r="E222" s="74"/>
      <c r="F222" s="74"/>
      <c r="G222" s="74"/>
      <c r="H222" s="74"/>
      <c r="I222" s="74"/>
      <c r="J222" s="70"/>
    </row>
    <row r="223" spans="2:10" ht="12.75">
      <c r="B223" s="69"/>
      <c r="E223" s="74"/>
      <c r="F223" s="74"/>
      <c r="G223" s="74"/>
      <c r="H223" s="74"/>
      <c r="I223" s="74"/>
      <c r="J223" s="70"/>
    </row>
    <row r="224" spans="2:10" ht="12.75">
      <c r="B224" s="69"/>
      <c r="E224" s="74"/>
      <c r="F224" s="74"/>
      <c r="G224" s="74"/>
      <c r="H224" s="74"/>
      <c r="I224" s="74"/>
      <c r="J224" s="70"/>
    </row>
    <row r="225" spans="2:10" ht="12.75">
      <c r="B225" s="69"/>
      <c r="E225" s="74"/>
      <c r="F225" s="74"/>
      <c r="G225" s="74"/>
      <c r="H225" s="74"/>
      <c r="I225" s="74"/>
      <c r="J225" s="70"/>
    </row>
    <row r="226" spans="2:10" ht="12.75">
      <c r="B226" s="69"/>
      <c r="E226" s="74"/>
      <c r="F226" s="74"/>
      <c r="G226" s="74"/>
      <c r="H226" s="74"/>
      <c r="I226" s="74"/>
      <c r="J226" s="70"/>
    </row>
    <row r="227" spans="2:10" ht="12.75">
      <c r="B227" s="69"/>
      <c r="E227" s="74"/>
      <c r="F227" s="74"/>
      <c r="G227" s="74"/>
      <c r="H227" s="74"/>
      <c r="I227" s="74"/>
      <c r="J227" s="70"/>
    </row>
    <row r="228" spans="2:10" ht="12.75">
      <c r="B228" s="69"/>
      <c r="E228" s="74"/>
      <c r="F228" s="74"/>
      <c r="G228" s="74"/>
      <c r="H228" s="74"/>
      <c r="I228" s="74"/>
      <c r="J228" s="70"/>
    </row>
    <row r="229" spans="2:10" ht="12.75">
      <c r="B229" s="69"/>
      <c r="E229" s="74"/>
      <c r="F229" s="74"/>
      <c r="G229" s="74"/>
      <c r="H229" s="74"/>
      <c r="I229" s="74"/>
      <c r="J229" s="70"/>
    </row>
    <row r="230" spans="2:10" ht="12.75">
      <c r="B230" s="69"/>
      <c r="E230" s="74"/>
      <c r="F230" s="74"/>
      <c r="G230" s="74"/>
      <c r="H230" s="74"/>
      <c r="I230" s="74"/>
      <c r="J230" s="70"/>
    </row>
    <row r="231" spans="2:10" ht="12.75">
      <c r="B231" s="69"/>
      <c r="E231" s="74"/>
      <c r="F231" s="74"/>
      <c r="G231" s="74"/>
      <c r="H231" s="74"/>
      <c r="I231" s="74"/>
      <c r="J231" s="70"/>
    </row>
    <row r="232" spans="2:10" ht="12.75">
      <c r="B232" s="69"/>
      <c r="E232" s="74"/>
      <c r="F232" s="74"/>
      <c r="G232" s="74"/>
      <c r="H232" s="74"/>
      <c r="I232" s="74"/>
      <c r="J232" s="70"/>
    </row>
    <row r="233" spans="2:10" ht="12.75">
      <c r="B233" s="69"/>
      <c r="E233" s="74"/>
      <c r="F233" s="74"/>
      <c r="G233" s="74"/>
      <c r="H233" s="74"/>
      <c r="I233" s="74"/>
      <c r="J233" s="70"/>
    </row>
    <row r="234" spans="2:10" ht="12.75">
      <c r="B234" s="69"/>
      <c r="E234" s="74"/>
      <c r="F234" s="74"/>
      <c r="G234" s="74"/>
      <c r="H234" s="74"/>
      <c r="I234" s="74"/>
      <c r="J234" s="70"/>
    </row>
    <row r="235" spans="2:10" ht="12.75">
      <c r="B235" s="69"/>
      <c r="E235" s="74"/>
      <c r="F235" s="74"/>
      <c r="G235" s="74"/>
      <c r="H235" s="74"/>
      <c r="I235" s="74"/>
      <c r="J235" s="70"/>
    </row>
    <row r="236" spans="2:10" ht="12.75">
      <c r="B236" s="69"/>
      <c r="E236" s="74"/>
      <c r="F236" s="74"/>
      <c r="G236" s="74"/>
      <c r="H236" s="74"/>
      <c r="I236" s="74"/>
      <c r="J236" s="70"/>
    </row>
    <row r="237" spans="2:10" ht="12.75">
      <c r="B237" s="69"/>
      <c r="E237" s="74"/>
      <c r="F237" s="74"/>
      <c r="G237" s="74"/>
      <c r="H237" s="74"/>
      <c r="I237" s="74"/>
      <c r="J237" s="70"/>
    </row>
    <row r="238" spans="2:10" ht="12.75">
      <c r="B238" s="69"/>
      <c r="E238" s="74"/>
      <c r="F238" s="74"/>
      <c r="G238" s="74"/>
      <c r="H238" s="74"/>
      <c r="I238" s="74"/>
      <c r="J238" s="70"/>
    </row>
    <row r="239" spans="2:10" ht="12.75">
      <c r="B239" s="69"/>
      <c r="E239" s="74"/>
      <c r="F239" s="74"/>
      <c r="G239" s="74"/>
      <c r="H239" s="74"/>
      <c r="I239" s="74"/>
      <c r="J239" s="70"/>
    </row>
    <row r="240" spans="2:10" ht="12.75">
      <c r="B240" s="69"/>
      <c r="E240" s="74"/>
      <c r="F240" s="74"/>
      <c r="G240" s="74"/>
      <c r="H240" s="74"/>
      <c r="I240" s="74"/>
      <c r="J240" s="70"/>
    </row>
    <row r="241" spans="2:10" ht="12.75">
      <c r="B241" s="69"/>
      <c r="E241" s="74"/>
      <c r="F241" s="74"/>
      <c r="G241" s="74"/>
      <c r="H241" s="74"/>
      <c r="I241" s="74"/>
      <c r="J241" s="70"/>
    </row>
    <row r="242" spans="2:10" ht="12.75">
      <c r="B242" s="69"/>
      <c r="E242" s="74"/>
      <c r="F242" s="74"/>
      <c r="G242" s="74"/>
      <c r="H242" s="74"/>
      <c r="I242" s="74"/>
      <c r="J242" s="70"/>
    </row>
    <row r="243" spans="2:10" ht="12.75">
      <c r="B243" s="69"/>
      <c r="E243" s="74"/>
      <c r="F243" s="74"/>
      <c r="G243" s="74"/>
      <c r="H243" s="74"/>
      <c r="I243" s="74"/>
      <c r="J243" s="70"/>
    </row>
    <row r="244" spans="2:10" ht="12.75">
      <c r="B244" s="69"/>
      <c r="E244" s="74"/>
      <c r="F244" s="74"/>
      <c r="G244" s="74"/>
      <c r="H244" s="74"/>
      <c r="I244" s="74"/>
      <c r="J244" s="70"/>
    </row>
    <row r="245" spans="2:10" ht="12.75">
      <c r="B245" s="69"/>
      <c r="E245" s="74"/>
      <c r="F245" s="74"/>
      <c r="G245" s="74"/>
      <c r="H245" s="74"/>
      <c r="I245" s="74"/>
      <c r="J245" s="70"/>
    </row>
    <row r="246" spans="2:10" ht="12.75">
      <c r="B246" s="69"/>
      <c r="E246" s="74"/>
      <c r="F246" s="74"/>
      <c r="G246" s="74"/>
      <c r="H246" s="74"/>
      <c r="I246" s="74"/>
      <c r="J246" s="70"/>
    </row>
    <row r="247" spans="2:10" ht="12.75">
      <c r="B247" s="69"/>
      <c r="E247" s="74"/>
      <c r="F247" s="74"/>
      <c r="G247" s="74"/>
      <c r="H247" s="74"/>
      <c r="I247" s="74"/>
      <c r="J247" s="70"/>
    </row>
    <row r="248" spans="2:10" ht="12.75">
      <c r="B248" s="69"/>
      <c r="E248" s="74"/>
      <c r="F248" s="74"/>
      <c r="G248" s="74"/>
      <c r="H248" s="74"/>
      <c r="I248" s="74"/>
      <c r="J248" s="70"/>
    </row>
    <row r="249" spans="2:10" ht="12.75">
      <c r="B249" s="69"/>
      <c r="E249" s="74"/>
      <c r="F249" s="74"/>
      <c r="G249" s="74"/>
      <c r="H249" s="74"/>
      <c r="I249" s="74"/>
      <c r="J249" s="70"/>
    </row>
    <row r="250" spans="2:10" ht="12.75">
      <c r="B250" s="69"/>
      <c r="E250" s="74"/>
      <c r="F250" s="74"/>
      <c r="G250" s="74"/>
      <c r="H250" s="74"/>
      <c r="I250" s="74"/>
      <c r="J250" s="70"/>
    </row>
    <row r="251" spans="2:10" ht="12.75">
      <c r="B251" s="69"/>
      <c r="E251" s="74"/>
      <c r="F251" s="74"/>
      <c r="G251" s="74"/>
      <c r="H251" s="74"/>
      <c r="I251" s="74"/>
      <c r="J251" s="70"/>
    </row>
    <row r="252" spans="2:10" ht="12.75">
      <c r="B252" s="69"/>
      <c r="E252" s="74"/>
      <c r="F252" s="74"/>
      <c r="G252" s="74"/>
      <c r="H252" s="74"/>
      <c r="I252" s="74"/>
      <c r="J252" s="70"/>
    </row>
    <row r="253" spans="2:10" ht="12.75">
      <c r="B253" s="69"/>
      <c r="E253" s="74"/>
      <c r="F253" s="74"/>
      <c r="G253" s="74"/>
      <c r="H253" s="74"/>
      <c r="I253" s="74"/>
      <c r="J253" s="70"/>
    </row>
    <row r="254" spans="2:10" ht="12.75">
      <c r="B254" s="69"/>
      <c r="E254" s="74"/>
      <c r="F254" s="74"/>
      <c r="G254" s="74"/>
      <c r="H254" s="74"/>
      <c r="I254" s="74"/>
      <c r="J254" s="70"/>
    </row>
    <row r="255" spans="2:10" ht="12.75">
      <c r="B255" s="69"/>
      <c r="E255" s="74"/>
      <c r="F255" s="74"/>
      <c r="G255" s="74"/>
      <c r="H255" s="74"/>
      <c r="I255" s="74"/>
      <c r="J255" s="70"/>
    </row>
    <row r="256" spans="2:10" ht="12.75">
      <c r="B256" s="69"/>
      <c r="E256" s="74"/>
      <c r="F256" s="74"/>
      <c r="G256" s="74"/>
      <c r="H256" s="74"/>
      <c r="I256" s="74"/>
      <c r="J256" s="70"/>
    </row>
    <row r="257" spans="2:10" ht="12.75">
      <c r="B257" s="69"/>
      <c r="E257" s="74"/>
      <c r="F257" s="74"/>
      <c r="G257" s="74"/>
      <c r="H257" s="74"/>
      <c r="I257" s="74"/>
      <c r="J257" s="70"/>
    </row>
    <row r="258" spans="2:10" ht="12.75">
      <c r="B258" s="69"/>
      <c r="E258" s="74"/>
      <c r="F258" s="74"/>
      <c r="G258" s="74"/>
      <c r="H258" s="74"/>
      <c r="I258" s="74"/>
      <c r="J258" s="70"/>
    </row>
    <row r="259" spans="2:10" ht="12.75">
      <c r="B259" s="69"/>
      <c r="E259" s="74"/>
      <c r="F259" s="74"/>
      <c r="G259" s="74"/>
      <c r="H259" s="74"/>
      <c r="I259" s="74"/>
      <c r="J259" s="70"/>
    </row>
    <row r="260" spans="2:10" ht="12.75">
      <c r="B260" s="69"/>
      <c r="E260" s="74"/>
      <c r="F260" s="74"/>
      <c r="G260" s="74"/>
      <c r="H260" s="74"/>
      <c r="I260" s="74"/>
      <c r="J260" s="70"/>
    </row>
    <row r="261" spans="2:10" ht="12.75">
      <c r="B261" s="69"/>
      <c r="E261" s="74"/>
      <c r="F261" s="74"/>
      <c r="G261" s="74"/>
      <c r="H261" s="74"/>
      <c r="I261" s="74"/>
      <c r="J261" s="70"/>
    </row>
    <row r="262" spans="2:10" ht="12.75">
      <c r="B262" s="69"/>
      <c r="E262" s="74"/>
      <c r="F262" s="74"/>
      <c r="G262" s="74"/>
      <c r="H262" s="74"/>
      <c r="I262" s="74"/>
      <c r="J262" s="70"/>
    </row>
    <row r="263" spans="2:10" ht="12.75">
      <c r="B263" s="69"/>
      <c r="E263" s="74"/>
      <c r="F263" s="74"/>
      <c r="G263" s="74"/>
      <c r="H263" s="74"/>
      <c r="I263" s="74"/>
      <c r="J263" s="70"/>
    </row>
    <row r="264" spans="2:10" ht="12.75">
      <c r="B264" s="69"/>
      <c r="E264" s="74"/>
      <c r="F264" s="74"/>
      <c r="G264" s="74"/>
      <c r="H264" s="74"/>
      <c r="I264" s="74"/>
      <c r="J264" s="70"/>
    </row>
    <row r="265" spans="2:10" ht="12.75">
      <c r="B265" s="69"/>
      <c r="E265" s="74"/>
      <c r="F265" s="74"/>
      <c r="G265" s="74"/>
      <c r="H265" s="74"/>
      <c r="I265" s="74"/>
      <c r="J265" s="70"/>
    </row>
    <row r="266" spans="2:10" ht="12.75">
      <c r="B266" s="69"/>
      <c r="E266" s="74"/>
      <c r="F266" s="74"/>
      <c r="G266" s="74"/>
      <c r="H266" s="74"/>
      <c r="I266" s="74"/>
      <c r="J266" s="70"/>
    </row>
    <row r="267" spans="2:10" ht="12.75">
      <c r="B267" s="69"/>
      <c r="E267" s="74"/>
      <c r="F267" s="74"/>
      <c r="G267" s="74"/>
      <c r="H267" s="74"/>
      <c r="I267" s="74"/>
      <c r="J267" s="70"/>
    </row>
    <row r="268" spans="2:10" ht="12.75">
      <c r="B268" s="69"/>
      <c r="E268" s="74"/>
      <c r="F268" s="74"/>
      <c r="G268" s="74"/>
      <c r="H268" s="74"/>
      <c r="I268" s="74"/>
      <c r="J268" s="70"/>
    </row>
    <row r="269" spans="2:10" ht="12.75">
      <c r="B269" s="69"/>
      <c r="E269" s="74"/>
      <c r="F269" s="74"/>
      <c r="G269" s="74"/>
      <c r="H269" s="74"/>
      <c r="I269" s="74"/>
      <c r="J269" s="70"/>
    </row>
    <row r="270" spans="2:10" ht="12.75">
      <c r="B270" s="69"/>
      <c r="E270" s="74"/>
      <c r="F270" s="74"/>
      <c r="G270" s="74"/>
      <c r="H270" s="74"/>
      <c r="I270" s="74"/>
      <c r="J270" s="70"/>
    </row>
    <row r="271" spans="2:10" ht="12.75">
      <c r="B271" s="69"/>
      <c r="E271" s="74"/>
      <c r="F271" s="74"/>
      <c r="G271" s="74"/>
      <c r="H271" s="74"/>
      <c r="I271" s="74"/>
      <c r="J271" s="70"/>
    </row>
    <row r="272" spans="2:10" ht="12.75">
      <c r="B272" s="69"/>
      <c r="E272" s="74"/>
      <c r="F272" s="74"/>
      <c r="G272" s="74"/>
      <c r="H272" s="74"/>
      <c r="I272" s="74"/>
      <c r="J272" s="70"/>
    </row>
  </sheetData>
  <phoneticPr fontId="0" type="noConversion"/>
  <printOptions horizontalCentered="1"/>
  <pageMargins left="0.7" right="0.7" top="0.75" bottom="0.75" header="0.3" footer="0.3"/>
  <pageSetup scale="64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322"/>
  <sheetViews>
    <sheetView topLeftCell="A2" zoomScaleNormal="100" workbookViewId="0">
      <pane xSplit="2" ySplit="3" topLeftCell="C295" activePane="bottomRight" state="frozen"/>
      <selection activeCell="C45" sqref="C45"/>
      <selection pane="topRight" activeCell="C45" sqref="C45"/>
      <selection pane="bottomLeft" activeCell="C45" sqref="C45"/>
      <selection pane="bottomRight" activeCell="H281" sqref="H281"/>
    </sheetView>
  </sheetViews>
  <sheetFormatPr defaultColWidth="9.33203125" defaultRowHeight="15"/>
  <cols>
    <col min="1" max="1" width="9.5" style="137" customWidth="1"/>
    <col min="2" max="2" width="13.83203125" style="137" bestFit="1" customWidth="1"/>
    <col min="3" max="3" width="10.6640625" style="138" customWidth="1"/>
    <col min="4" max="4" width="13.5" style="168" bestFit="1" customWidth="1"/>
    <col min="5" max="5" width="13.6640625" style="138" bestFit="1" customWidth="1"/>
    <col min="6" max="6" width="11.33203125" style="153" bestFit="1" customWidth="1"/>
    <col min="7" max="7" width="18.83203125" style="153" bestFit="1" customWidth="1"/>
    <col min="8" max="8" width="19.83203125" style="172" customWidth="1"/>
    <col min="9" max="9" width="17.5" style="153" bestFit="1" customWidth="1"/>
    <col min="10" max="10" width="19.5" style="153" customWidth="1"/>
    <col min="11" max="11" width="20.5" style="137" customWidth="1"/>
    <col min="12" max="12" width="17.33203125" style="137" bestFit="1" customWidth="1"/>
    <col min="13" max="13" width="11.83203125" style="137" bestFit="1" customWidth="1"/>
    <col min="14" max="15" width="18" style="137" bestFit="1" customWidth="1"/>
    <col min="16" max="16384" width="9.33203125" style="137"/>
  </cols>
  <sheetData>
    <row r="1" spans="1:15">
      <c r="A1" s="171" t="s">
        <v>552</v>
      </c>
    </row>
    <row r="2" spans="1:15">
      <c r="B2" s="171"/>
    </row>
    <row r="3" spans="1:15" ht="129.75" customHeight="1">
      <c r="A3" s="173" t="s">
        <v>553</v>
      </c>
      <c r="B3" s="174" t="s">
        <v>614</v>
      </c>
      <c r="C3" s="176" t="s">
        <v>554</v>
      </c>
      <c r="D3" s="177" t="s">
        <v>555</v>
      </c>
      <c r="E3" s="176" t="s">
        <v>556</v>
      </c>
      <c r="F3" s="178" t="s">
        <v>557</v>
      </c>
      <c r="G3" s="179" t="s">
        <v>558</v>
      </c>
      <c r="H3" s="175" t="s">
        <v>559</v>
      </c>
      <c r="I3" s="179" t="s">
        <v>0</v>
      </c>
      <c r="J3" s="180" t="s">
        <v>560</v>
      </c>
      <c r="K3" s="173" t="s">
        <v>561</v>
      </c>
      <c r="L3" s="181"/>
    </row>
    <row r="4" spans="1:15" ht="30">
      <c r="A4" s="182" t="s">
        <v>535</v>
      </c>
      <c r="B4" s="182" t="s">
        <v>536</v>
      </c>
      <c r="C4" s="173" t="s">
        <v>537</v>
      </c>
      <c r="D4" s="183" t="s">
        <v>538</v>
      </c>
      <c r="E4" s="173" t="s">
        <v>562</v>
      </c>
      <c r="F4" s="184" t="s">
        <v>540</v>
      </c>
      <c r="G4" s="184" t="s">
        <v>541</v>
      </c>
      <c r="H4" s="185" t="s">
        <v>542</v>
      </c>
      <c r="I4" s="184" t="s">
        <v>563</v>
      </c>
      <c r="J4" s="184" t="s">
        <v>564</v>
      </c>
      <c r="K4" s="182" t="s">
        <v>565</v>
      </c>
      <c r="L4" s="186"/>
    </row>
    <row r="5" spans="1:15">
      <c r="A5" s="187"/>
      <c r="B5" s="168"/>
      <c r="G5" s="188"/>
      <c r="H5" s="189"/>
      <c r="I5" s="188"/>
      <c r="J5" s="188"/>
      <c r="K5" s="190"/>
      <c r="L5" s="190"/>
    </row>
    <row r="6" spans="1:15">
      <c r="A6" s="187">
        <v>2</v>
      </c>
      <c r="B6" s="168">
        <v>39691</v>
      </c>
      <c r="C6" s="138">
        <f t="shared" ref="C6:C69" si="0">DAY(B6)</f>
        <v>31</v>
      </c>
      <c r="D6" s="168">
        <v>39675</v>
      </c>
      <c r="E6" s="138">
        <f>B6-D6+1</f>
        <v>17</v>
      </c>
      <c r="F6" s="191">
        <v>5.2999999999999999E-2</v>
      </c>
      <c r="G6" s="154">
        <v>500000</v>
      </c>
      <c r="H6" s="192"/>
      <c r="I6" s="154">
        <f t="shared" ref="I6:I11" si="1">(((K5+H6)*C6)+(G6*E6))*(F6/365)</f>
        <v>1234.2465753424658</v>
      </c>
      <c r="J6" s="154">
        <f t="shared" ref="J6:J39" si="2">J5+G6+H6+I6</f>
        <v>501234.24657534249</v>
      </c>
      <c r="K6" s="138">
        <f t="shared" ref="K6:K12" si="3">IF(A6=3,J6,IF(A6=1,J6-I6,J6-I6-I5))</f>
        <v>500000</v>
      </c>
      <c r="L6" s="138"/>
    </row>
    <row r="7" spans="1:15">
      <c r="A7" s="187">
        <v>3</v>
      </c>
      <c r="B7" s="168">
        <v>39721</v>
      </c>
      <c r="C7" s="138">
        <f t="shared" si="0"/>
        <v>30</v>
      </c>
      <c r="F7" s="191">
        <v>5.2999999999999999E-2</v>
      </c>
      <c r="G7" s="154"/>
      <c r="H7" s="192"/>
      <c r="I7" s="154">
        <f t="shared" si="1"/>
        <v>2178.0821917808221</v>
      </c>
      <c r="J7" s="154">
        <f t="shared" si="2"/>
        <v>503412.32876712334</v>
      </c>
      <c r="K7" s="138">
        <f t="shared" si="3"/>
        <v>503412.32876712334</v>
      </c>
      <c r="L7" s="138"/>
    </row>
    <row r="8" spans="1:15">
      <c r="A8" s="187">
        <v>1</v>
      </c>
      <c r="B8" s="168">
        <v>39752</v>
      </c>
      <c r="C8" s="138">
        <f t="shared" si="0"/>
        <v>31</v>
      </c>
      <c r="F8" s="191">
        <v>0.05</v>
      </c>
      <c r="G8" s="154"/>
      <c r="H8" s="192"/>
      <c r="I8" s="154">
        <f t="shared" si="1"/>
        <v>2137.7783824357298</v>
      </c>
      <c r="J8" s="154">
        <f t="shared" si="2"/>
        <v>505550.10714955907</v>
      </c>
      <c r="K8" s="138">
        <f t="shared" si="3"/>
        <v>503412.32876712334</v>
      </c>
      <c r="L8" s="138"/>
    </row>
    <row r="9" spans="1:15">
      <c r="A9" s="187">
        <v>2</v>
      </c>
      <c r="B9" s="168">
        <v>39782</v>
      </c>
      <c r="C9" s="138">
        <f t="shared" si="0"/>
        <v>30</v>
      </c>
      <c r="F9" s="191">
        <v>0.05</v>
      </c>
      <c r="G9" s="154"/>
      <c r="H9" s="192"/>
      <c r="I9" s="154">
        <f t="shared" si="1"/>
        <v>2068.8177894539317</v>
      </c>
      <c r="J9" s="154">
        <f t="shared" si="2"/>
        <v>507618.92493901303</v>
      </c>
      <c r="K9" s="138">
        <f t="shared" si="3"/>
        <v>503412.32876712334</v>
      </c>
      <c r="L9" s="138"/>
    </row>
    <row r="10" spans="1:15">
      <c r="A10" s="187">
        <v>3</v>
      </c>
      <c r="B10" s="168">
        <v>39813</v>
      </c>
      <c r="C10" s="138">
        <f t="shared" si="0"/>
        <v>31</v>
      </c>
      <c r="F10" s="191">
        <v>0.05</v>
      </c>
      <c r="G10" s="154"/>
      <c r="H10" s="192"/>
      <c r="I10" s="154">
        <f t="shared" si="1"/>
        <v>2137.7783824357298</v>
      </c>
      <c r="J10" s="154">
        <f t="shared" si="2"/>
        <v>509756.70332144876</v>
      </c>
      <c r="K10" s="138">
        <f t="shared" si="3"/>
        <v>509756.70332144876</v>
      </c>
      <c r="L10" s="138"/>
    </row>
    <row r="11" spans="1:15">
      <c r="A11" s="187">
        <v>1</v>
      </c>
      <c r="B11" s="168">
        <v>39844</v>
      </c>
      <c r="C11" s="138">
        <f t="shared" si="0"/>
        <v>31</v>
      </c>
      <c r="F11" s="191">
        <v>4.5199999999999997E-2</v>
      </c>
      <c r="G11" s="154"/>
      <c r="H11" s="192"/>
      <c r="I11" s="154">
        <f t="shared" si="1"/>
        <v>1956.9071032712709</v>
      </c>
      <c r="J11" s="154">
        <f t="shared" si="2"/>
        <v>511713.61042472004</v>
      </c>
      <c r="K11" s="138">
        <f t="shared" si="3"/>
        <v>509756.70332144876</v>
      </c>
      <c r="L11" s="138"/>
    </row>
    <row r="12" spans="1:15">
      <c r="A12" s="187">
        <v>2</v>
      </c>
      <c r="B12" s="168">
        <v>39872</v>
      </c>
      <c r="C12" s="138">
        <f t="shared" si="0"/>
        <v>28</v>
      </c>
      <c r="D12" s="168">
        <v>39867</v>
      </c>
      <c r="E12" s="138">
        <f>B12-D12+1</f>
        <v>6</v>
      </c>
      <c r="F12" s="191">
        <v>4.5199999999999997E-2</v>
      </c>
      <c r="G12" s="193">
        <v>6600000</v>
      </c>
      <c r="H12" s="192"/>
      <c r="I12" s="154">
        <v>0</v>
      </c>
      <c r="J12" s="154">
        <f t="shared" si="2"/>
        <v>7111713.6104247198</v>
      </c>
      <c r="K12" s="138">
        <f t="shared" si="3"/>
        <v>7109756.7033214485</v>
      </c>
      <c r="L12" s="138"/>
    </row>
    <row r="13" spans="1:15">
      <c r="A13" s="187">
        <v>2</v>
      </c>
      <c r="B13" s="168">
        <v>39872</v>
      </c>
      <c r="C13" s="138">
        <f t="shared" si="0"/>
        <v>28</v>
      </c>
      <c r="D13" s="168">
        <v>39868</v>
      </c>
      <c r="E13" s="138">
        <f>B13-D13+1</f>
        <v>5</v>
      </c>
      <c r="F13" s="191">
        <v>4.5199999999999997E-2</v>
      </c>
      <c r="G13" s="193">
        <v>6600000</v>
      </c>
      <c r="H13" s="192"/>
      <c r="I13" s="154">
        <f>(((K11+H13)*C13)+(G13*E13)+(G12*E12))*(F13/365)</f>
        <v>10757.99474992774</v>
      </c>
      <c r="J13" s="154">
        <f t="shared" si="2"/>
        <v>13722471.605174648</v>
      </c>
      <c r="K13" s="138">
        <f>IF(A13=3,J13,IF(A13=1,J13-I13,J13-I13-I12-I11))</f>
        <v>13709756.703321448</v>
      </c>
      <c r="L13" s="138"/>
      <c r="N13" s="163"/>
      <c r="O13" s="190"/>
    </row>
    <row r="14" spans="1:15">
      <c r="A14" s="187">
        <v>3</v>
      </c>
      <c r="B14" s="168">
        <v>39903</v>
      </c>
      <c r="C14" s="138">
        <f t="shared" si="0"/>
        <v>31</v>
      </c>
      <c r="F14" s="191">
        <v>4.5199999999999997E-2</v>
      </c>
      <c r="G14" s="154"/>
      <c r="H14" s="192"/>
      <c r="I14" s="154">
        <f>(((K13+H14)*C14)+(G14*E14))*(F14/365)</f>
        <v>52630.441349846602</v>
      </c>
      <c r="J14" s="154">
        <f t="shared" si="2"/>
        <v>13775102.046524495</v>
      </c>
      <c r="K14" s="138">
        <f t="shared" ref="K14:K28" si="4">IF(A14=3,J14,IF(A14=1,J14-I14,J14-I14-I13))</f>
        <v>13775102.046524495</v>
      </c>
      <c r="L14" s="138"/>
    </row>
    <row r="15" spans="1:15">
      <c r="A15" s="187">
        <v>1</v>
      </c>
      <c r="B15" s="168">
        <v>39933</v>
      </c>
      <c r="C15" s="138">
        <f t="shared" si="0"/>
        <v>30</v>
      </c>
      <c r="F15" s="191">
        <v>3.3700000000000001E-2</v>
      </c>
      <c r="G15" s="154"/>
      <c r="H15" s="192"/>
      <c r="I15" s="154">
        <f>(((K14+H15)*C15)+(G15*E15))*(F15/365)</f>
        <v>38155.145668592508</v>
      </c>
      <c r="J15" s="154">
        <f t="shared" si="2"/>
        <v>13813257.192193087</v>
      </c>
      <c r="K15" s="138">
        <f t="shared" si="4"/>
        <v>13775102.046524495</v>
      </c>
      <c r="L15" s="138"/>
    </row>
    <row r="16" spans="1:15">
      <c r="A16" s="187">
        <v>2</v>
      </c>
      <c r="B16" s="168">
        <v>39964</v>
      </c>
      <c r="C16" s="138">
        <f t="shared" si="0"/>
        <v>31</v>
      </c>
      <c r="F16" s="191">
        <v>3.3700000000000001E-2</v>
      </c>
      <c r="G16" s="154"/>
      <c r="H16" s="192"/>
      <c r="I16" s="154">
        <f t="shared" ref="I16:I26" si="5">(((K15+H16)*C16)+(G16*E16))*(F16/365)</f>
        <v>39426.983857545587</v>
      </c>
      <c r="J16" s="154">
        <f t="shared" si="2"/>
        <v>13852684.176050633</v>
      </c>
      <c r="K16" s="138">
        <f t="shared" si="4"/>
        <v>13775102.046524495</v>
      </c>
      <c r="L16" s="138"/>
    </row>
    <row r="17" spans="1:12">
      <c r="A17" s="187">
        <v>3</v>
      </c>
      <c r="B17" s="168">
        <v>39994</v>
      </c>
      <c r="C17" s="138">
        <f t="shared" si="0"/>
        <v>30</v>
      </c>
      <c r="D17" s="168">
        <v>39966</v>
      </c>
      <c r="E17" s="138">
        <f>B17-D17+1</f>
        <v>29</v>
      </c>
      <c r="F17" s="191">
        <v>3.3700000000000001E-2</v>
      </c>
      <c r="G17" s="154">
        <v>3500000</v>
      </c>
      <c r="H17" s="192"/>
      <c r="I17" s="154">
        <f t="shared" si="5"/>
        <v>47526.515531606208</v>
      </c>
      <c r="J17" s="154">
        <f t="shared" si="2"/>
        <v>17400210.69158224</v>
      </c>
      <c r="K17" s="138">
        <f t="shared" si="4"/>
        <v>17400210.69158224</v>
      </c>
      <c r="L17" s="138"/>
    </row>
    <row r="18" spans="1:12">
      <c r="A18" s="187">
        <v>1</v>
      </c>
      <c r="B18" s="168">
        <v>40025</v>
      </c>
      <c r="C18" s="138">
        <f t="shared" si="0"/>
        <v>31</v>
      </c>
      <c r="F18" s="191">
        <v>3.2500000000000001E-2</v>
      </c>
      <c r="G18" s="154"/>
      <c r="H18" s="192"/>
      <c r="I18" s="154">
        <f t="shared" si="5"/>
        <v>48029.348689778381</v>
      </c>
      <c r="J18" s="154">
        <f t="shared" si="2"/>
        <v>17448240.04027202</v>
      </c>
      <c r="K18" s="138">
        <f t="shared" si="4"/>
        <v>17400210.69158224</v>
      </c>
      <c r="L18" s="138"/>
    </row>
    <row r="19" spans="1:12">
      <c r="A19" s="187">
        <v>2</v>
      </c>
      <c r="B19" s="168">
        <v>40056</v>
      </c>
      <c r="C19" s="138">
        <f t="shared" si="0"/>
        <v>31</v>
      </c>
      <c r="D19" s="168">
        <v>40056</v>
      </c>
      <c r="E19" s="138">
        <f>B19-D19+1</f>
        <v>1</v>
      </c>
      <c r="F19" s="191">
        <v>3.2500000000000001E-2</v>
      </c>
      <c r="G19" s="154">
        <v>10500000</v>
      </c>
      <c r="H19" s="192"/>
      <c r="I19" s="154">
        <f t="shared" si="5"/>
        <v>48964.280196627697</v>
      </c>
      <c r="J19" s="154">
        <f t="shared" si="2"/>
        <v>27997204.320468649</v>
      </c>
      <c r="K19" s="138">
        <f t="shared" si="4"/>
        <v>27900210.69158224</v>
      </c>
      <c r="L19" s="138"/>
    </row>
    <row r="20" spans="1:12">
      <c r="A20" s="187">
        <v>3</v>
      </c>
      <c r="B20" s="168">
        <v>40086</v>
      </c>
      <c r="C20" s="138">
        <f t="shared" si="0"/>
        <v>30</v>
      </c>
      <c r="D20" s="168">
        <v>40086</v>
      </c>
      <c r="E20" s="138">
        <f>B20-D20+1</f>
        <v>1</v>
      </c>
      <c r="F20" s="191">
        <v>3.2500000000000001E-2</v>
      </c>
      <c r="G20" s="154">
        <v>10500000</v>
      </c>
      <c r="H20" s="192"/>
      <c r="I20" s="154">
        <f t="shared" si="5"/>
        <v>75462.891573404602</v>
      </c>
      <c r="J20" s="154">
        <f t="shared" si="2"/>
        <v>38572667.212042056</v>
      </c>
      <c r="K20" s="138">
        <f t="shared" si="4"/>
        <v>38572667.212042056</v>
      </c>
      <c r="L20" s="138"/>
    </row>
    <row r="21" spans="1:12">
      <c r="A21" s="187">
        <v>1</v>
      </c>
      <c r="B21" s="168">
        <v>40117</v>
      </c>
      <c r="C21" s="138">
        <f t="shared" si="0"/>
        <v>31</v>
      </c>
      <c r="F21" s="191">
        <v>3.2500000000000001E-2</v>
      </c>
      <c r="G21" s="154"/>
      <c r="H21" s="192"/>
      <c r="I21" s="154">
        <f t="shared" si="5"/>
        <v>106471.12935926676</v>
      </c>
      <c r="J21" s="154">
        <f t="shared" si="2"/>
        <v>38679138.341401324</v>
      </c>
      <c r="K21" s="138">
        <f t="shared" si="4"/>
        <v>38572667.212042056</v>
      </c>
      <c r="L21" s="138"/>
    </row>
    <row r="22" spans="1:12">
      <c r="A22" s="187">
        <v>2</v>
      </c>
      <c r="B22" s="168">
        <v>40147</v>
      </c>
      <c r="C22" s="138">
        <f t="shared" si="0"/>
        <v>30</v>
      </c>
      <c r="F22" s="191">
        <v>3.2500000000000001E-2</v>
      </c>
      <c r="G22" s="154"/>
      <c r="H22" s="192"/>
      <c r="I22" s="154">
        <f t="shared" si="5"/>
        <v>103036.57679929041</v>
      </c>
      <c r="J22" s="154">
        <f t="shared" si="2"/>
        <v>38782174.918200612</v>
      </c>
      <c r="K22" s="138">
        <f t="shared" si="4"/>
        <v>38572667.212042056</v>
      </c>
      <c r="L22" s="138"/>
    </row>
    <row r="23" spans="1:12">
      <c r="A23" s="187">
        <v>3</v>
      </c>
      <c r="B23" s="168">
        <v>40178</v>
      </c>
      <c r="C23" s="138">
        <f t="shared" si="0"/>
        <v>31</v>
      </c>
      <c r="F23" s="191">
        <v>3.2500000000000001E-2</v>
      </c>
      <c r="G23" s="154"/>
      <c r="H23" s="192"/>
      <c r="I23" s="154">
        <f t="shared" si="5"/>
        <v>106471.12935926676</v>
      </c>
      <c r="J23" s="154">
        <f t="shared" si="2"/>
        <v>38888646.04755988</v>
      </c>
      <c r="K23" s="138">
        <f t="shared" si="4"/>
        <v>38888646.04755988</v>
      </c>
      <c r="L23" s="138"/>
    </row>
    <row r="24" spans="1:12">
      <c r="A24" s="187">
        <v>1</v>
      </c>
      <c r="B24" s="168">
        <v>40209</v>
      </c>
      <c r="C24" s="138">
        <f t="shared" si="0"/>
        <v>31</v>
      </c>
      <c r="F24" s="191">
        <v>3.2500000000000001E-2</v>
      </c>
      <c r="G24" s="154"/>
      <c r="H24" s="192"/>
      <c r="I24" s="154">
        <f t="shared" si="5"/>
        <v>107343.31751483993</v>
      </c>
      <c r="J24" s="154">
        <f t="shared" si="2"/>
        <v>38995989.365074717</v>
      </c>
      <c r="K24" s="138">
        <f t="shared" si="4"/>
        <v>38888646.04755988</v>
      </c>
      <c r="L24" s="138"/>
    </row>
    <row r="25" spans="1:12">
      <c r="A25" s="187">
        <v>2</v>
      </c>
      <c r="B25" s="168">
        <v>40237</v>
      </c>
      <c r="C25" s="138">
        <f t="shared" si="0"/>
        <v>28</v>
      </c>
      <c r="F25" s="191">
        <v>3.2500000000000001E-2</v>
      </c>
      <c r="G25" s="154"/>
      <c r="H25" s="192"/>
      <c r="I25" s="154">
        <f t="shared" si="5"/>
        <v>96955.25452953286</v>
      </c>
      <c r="J25" s="154">
        <f t="shared" si="2"/>
        <v>39092944.619604252</v>
      </c>
      <c r="K25" s="138">
        <f t="shared" si="4"/>
        <v>38888646.04755988</v>
      </c>
      <c r="L25" s="138"/>
    </row>
    <row r="26" spans="1:12">
      <c r="A26" s="187">
        <v>3</v>
      </c>
      <c r="B26" s="168">
        <v>40268</v>
      </c>
      <c r="C26" s="138">
        <f t="shared" si="0"/>
        <v>31</v>
      </c>
      <c r="F26" s="191">
        <v>3.2500000000000001E-2</v>
      </c>
      <c r="G26" s="188"/>
      <c r="H26" s="192"/>
      <c r="I26" s="154">
        <f t="shared" si="5"/>
        <v>107343.31751483993</v>
      </c>
      <c r="J26" s="154">
        <f t="shared" si="2"/>
        <v>39200287.937119089</v>
      </c>
      <c r="K26" s="138">
        <f t="shared" si="4"/>
        <v>39200287.937119089</v>
      </c>
      <c r="L26" s="138"/>
    </row>
    <row r="27" spans="1:12">
      <c r="A27" s="187">
        <v>1</v>
      </c>
      <c r="B27" s="168">
        <v>40298</v>
      </c>
      <c r="C27" s="138">
        <f t="shared" si="0"/>
        <v>30</v>
      </c>
      <c r="F27" s="191">
        <v>3.2500000000000001E-2</v>
      </c>
      <c r="G27" s="188"/>
      <c r="H27" s="192"/>
      <c r="I27" s="154">
        <f>(((K26+H27)*C27)+(G27*E27))*(F27/365)</f>
        <v>104713.09791422222</v>
      </c>
      <c r="J27" s="154">
        <f t="shared" si="2"/>
        <v>39305001.035033308</v>
      </c>
      <c r="K27" s="138">
        <f t="shared" si="4"/>
        <v>39200287.937119089</v>
      </c>
      <c r="L27" s="138"/>
    </row>
    <row r="28" spans="1:12">
      <c r="A28" s="187">
        <v>2</v>
      </c>
      <c r="B28" s="168">
        <v>40317</v>
      </c>
      <c r="C28" s="138">
        <f t="shared" si="0"/>
        <v>19</v>
      </c>
      <c r="F28" s="191">
        <v>3.2500000000000001E-2</v>
      </c>
      <c r="G28" s="188"/>
      <c r="H28" s="192"/>
      <c r="I28" s="154">
        <f>(((K27+H28)*C28)+(G28*E28))*(F28/365)</f>
        <v>66318.29534567408</v>
      </c>
      <c r="J28" s="154">
        <f t="shared" si="2"/>
        <v>39371319.330378979</v>
      </c>
      <c r="K28" s="138">
        <f t="shared" si="4"/>
        <v>39200287.937119089</v>
      </c>
      <c r="L28" s="138"/>
    </row>
    <row r="29" spans="1:12">
      <c r="A29" s="187">
        <v>2</v>
      </c>
      <c r="B29" s="168">
        <v>40329</v>
      </c>
      <c r="C29" s="138">
        <f t="shared" si="0"/>
        <v>31</v>
      </c>
      <c r="F29" s="191">
        <v>3.2500000000000001E-2</v>
      </c>
      <c r="G29" s="188"/>
      <c r="H29" s="192"/>
      <c r="I29" s="154">
        <f>(((K28+H29)*(C29-C28))+(G29*E29))*(F29/365)</f>
        <v>41885.239165688887</v>
      </c>
      <c r="J29" s="154">
        <f t="shared" si="2"/>
        <v>39413204.569544666</v>
      </c>
      <c r="K29" s="138">
        <f>IF(A29=3,J29,IF(A29=1,J29-I29,J29-I29-I28-I27))</f>
        <v>39200287.937119089</v>
      </c>
      <c r="L29" s="138"/>
    </row>
    <row r="30" spans="1:12" s="153" customFormat="1">
      <c r="A30" s="194">
        <v>3</v>
      </c>
      <c r="B30" s="195">
        <v>40359</v>
      </c>
      <c r="C30" s="154">
        <f t="shared" si="0"/>
        <v>30</v>
      </c>
      <c r="D30" s="195">
        <v>40330</v>
      </c>
      <c r="E30" s="154">
        <f>B30-D30+1</f>
        <v>30</v>
      </c>
      <c r="F30" s="196">
        <v>3.5665000000000002E-2</v>
      </c>
      <c r="G30" s="188">
        <v>10000000</v>
      </c>
      <c r="H30" s="192"/>
      <c r="I30" s="154">
        <f>(((K29+H30)*C30)+(G30*E30))*(F30/365)</f>
        <v>144224.24131046733</v>
      </c>
      <c r="J30" s="154">
        <f>J29+G30+H30+I30</f>
        <v>49557428.810855135</v>
      </c>
      <c r="K30" s="154">
        <f t="shared" ref="K30:K61" si="6">IF(A30=3,J30,IF(A30=1,J30-I30,J30-I30-I29))</f>
        <v>49557428.810855135</v>
      </c>
      <c r="L30" s="154"/>
    </row>
    <row r="31" spans="1:12">
      <c r="A31" s="187">
        <v>1</v>
      </c>
      <c r="B31" s="168">
        <v>40390</v>
      </c>
      <c r="C31" s="138">
        <f t="shared" si="0"/>
        <v>31</v>
      </c>
      <c r="D31" s="195">
        <v>40388</v>
      </c>
      <c r="E31" s="154">
        <f>B31-D31+1</f>
        <v>3</v>
      </c>
      <c r="F31" s="196">
        <f>F30</f>
        <v>3.5665000000000002E-2</v>
      </c>
      <c r="G31" s="188">
        <v>10000000</v>
      </c>
      <c r="H31" s="192"/>
      <c r="I31" s="154">
        <f t="shared" ref="I31:I94" si="7">(((K30+H31)*C31)+(G31*E31))*(F31/365)</f>
        <v>153044.89494442084</v>
      </c>
      <c r="J31" s="154">
        <f>J30+G31+H31+I31</f>
        <v>59710473.705799557</v>
      </c>
      <c r="K31" s="138">
        <f t="shared" si="6"/>
        <v>59557428.810855135</v>
      </c>
      <c r="L31" s="138"/>
    </row>
    <row r="32" spans="1:12">
      <c r="A32" s="187">
        <v>2</v>
      </c>
      <c r="B32" s="168">
        <v>40421</v>
      </c>
      <c r="C32" s="138">
        <f t="shared" si="0"/>
        <v>31</v>
      </c>
      <c r="D32" s="195"/>
      <c r="E32" s="154"/>
      <c r="F32" s="196">
        <f>F31</f>
        <v>3.5665000000000002E-2</v>
      </c>
      <c r="G32" s="188"/>
      <c r="H32" s="192"/>
      <c r="I32" s="154">
        <f t="shared" si="7"/>
        <v>180404.34699921537</v>
      </c>
      <c r="J32" s="154">
        <f t="shared" si="2"/>
        <v>59890878.05279877</v>
      </c>
      <c r="K32" s="138">
        <f t="shared" si="6"/>
        <v>59557428.810855135</v>
      </c>
      <c r="L32" s="138"/>
    </row>
    <row r="33" spans="1:14">
      <c r="A33" s="187">
        <v>3</v>
      </c>
      <c r="B33" s="168">
        <v>40451</v>
      </c>
      <c r="C33" s="138">
        <f t="shared" si="0"/>
        <v>30</v>
      </c>
      <c r="D33" s="195"/>
      <c r="E33" s="154"/>
      <c r="F33" s="196">
        <f t="shared" ref="F33:F96" si="8">F32</f>
        <v>3.5665000000000002E-2</v>
      </c>
      <c r="G33" s="188"/>
      <c r="H33" s="192"/>
      <c r="I33" s="154">
        <f t="shared" si="7"/>
        <v>174584.85193472455</v>
      </c>
      <c r="J33" s="154">
        <f t="shared" si="2"/>
        <v>60065462.904733494</v>
      </c>
      <c r="K33" s="138">
        <f t="shared" si="6"/>
        <v>60065462.904733494</v>
      </c>
      <c r="L33" s="138"/>
    </row>
    <row r="34" spans="1:14">
      <c r="A34" s="187">
        <v>1</v>
      </c>
      <c r="B34" s="168">
        <v>40482</v>
      </c>
      <c r="C34" s="138">
        <f t="shared" si="0"/>
        <v>31</v>
      </c>
      <c r="D34" s="195">
        <v>40480</v>
      </c>
      <c r="E34" s="154">
        <f>B34-D34+1</f>
        <v>3</v>
      </c>
      <c r="F34" s="196">
        <f t="shared" si="8"/>
        <v>3.5665000000000002E-2</v>
      </c>
      <c r="G34" s="188">
        <v>14400000</v>
      </c>
      <c r="H34" s="192"/>
      <c r="I34" s="154">
        <f t="shared" si="7"/>
        <v>186164.39662853954</v>
      </c>
      <c r="J34" s="154">
        <f t="shared" si="2"/>
        <v>74651627.301362038</v>
      </c>
      <c r="K34" s="138">
        <f t="shared" si="6"/>
        <v>74465462.904733494</v>
      </c>
      <c r="L34" s="138"/>
    </row>
    <row r="35" spans="1:14">
      <c r="A35" s="187">
        <v>2</v>
      </c>
      <c r="B35" s="168">
        <v>40512</v>
      </c>
      <c r="C35" s="138">
        <f t="shared" si="0"/>
        <v>30</v>
      </c>
      <c r="D35" s="195"/>
      <c r="E35" s="154"/>
      <c r="F35" s="196">
        <f t="shared" si="8"/>
        <v>3.5665000000000002E-2</v>
      </c>
      <c r="G35" s="188"/>
      <c r="H35" s="192"/>
      <c r="I35" s="154">
        <f t="shared" si="7"/>
        <v>218285.81379430031</v>
      </c>
      <c r="J35" s="154">
        <f t="shared" si="2"/>
        <v>74869913.115156338</v>
      </c>
      <c r="K35" s="138">
        <f t="shared" si="6"/>
        <v>74465462.904733494</v>
      </c>
      <c r="L35" s="138"/>
    </row>
    <row r="36" spans="1:14">
      <c r="A36" s="187">
        <v>3</v>
      </c>
      <c r="B36" s="168">
        <v>40543</v>
      </c>
      <c r="C36" s="138">
        <f t="shared" si="0"/>
        <v>31</v>
      </c>
      <c r="D36" s="195"/>
      <c r="E36" s="154"/>
      <c r="F36" s="196">
        <f t="shared" si="8"/>
        <v>3.5665000000000002E-2</v>
      </c>
      <c r="G36" s="188"/>
      <c r="H36" s="192"/>
      <c r="I36" s="154">
        <f t="shared" si="7"/>
        <v>225562.00758744363</v>
      </c>
      <c r="J36" s="154">
        <f t="shared" si="2"/>
        <v>75095475.122743785</v>
      </c>
      <c r="K36" s="138">
        <f t="shared" si="6"/>
        <v>75095475.122743785</v>
      </c>
      <c r="L36" s="138"/>
    </row>
    <row r="37" spans="1:14">
      <c r="A37" s="187">
        <v>1</v>
      </c>
      <c r="B37" s="168">
        <v>40574</v>
      </c>
      <c r="C37" s="138">
        <f t="shared" si="0"/>
        <v>31</v>
      </c>
      <c r="D37" s="195"/>
      <c r="E37" s="154"/>
      <c r="F37" s="196">
        <f t="shared" si="8"/>
        <v>3.5665000000000002E-2</v>
      </c>
      <c r="G37" s="188"/>
      <c r="H37" s="192"/>
      <c r="I37" s="154">
        <f t="shared" si="7"/>
        <v>227470.36637762297</v>
      </c>
      <c r="J37" s="154">
        <f t="shared" si="2"/>
        <v>75322945.489121407</v>
      </c>
      <c r="K37" s="138">
        <f t="shared" si="6"/>
        <v>75095475.122743785</v>
      </c>
      <c r="L37" s="138"/>
    </row>
    <row r="38" spans="1:14">
      <c r="A38" s="187">
        <v>2</v>
      </c>
      <c r="B38" s="168">
        <v>40602</v>
      </c>
      <c r="C38" s="138">
        <f t="shared" si="0"/>
        <v>28</v>
      </c>
      <c r="D38" s="195"/>
      <c r="E38" s="154"/>
      <c r="F38" s="196">
        <f t="shared" si="8"/>
        <v>3.5665000000000002E-2</v>
      </c>
      <c r="G38" s="188"/>
      <c r="H38" s="192"/>
      <c r="I38" s="154">
        <f t="shared" si="7"/>
        <v>205457.10511527234</v>
      </c>
      <c r="J38" s="154">
        <f t="shared" si="2"/>
        <v>75528402.594236687</v>
      </c>
      <c r="K38" s="138">
        <f t="shared" si="6"/>
        <v>75095475.122743785</v>
      </c>
      <c r="L38" s="138"/>
    </row>
    <row r="39" spans="1:14">
      <c r="A39" s="187">
        <v>3</v>
      </c>
      <c r="B39" s="168">
        <v>40633</v>
      </c>
      <c r="C39" s="138">
        <f t="shared" si="0"/>
        <v>31</v>
      </c>
      <c r="D39" s="195">
        <v>40617</v>
      </c>
      <c r="E39" s="154">
        <f>B39-D39+1</f>
        <v>17</v>
      </c>
      <c r="F39" s="196">
        <f t="shared" si="8"/>
        <v>3.5665000000000002E-2</v>
      </c>
      <c r="G39" s="188">
        <v>18200000</v>
      </c>
      <c r="H39" s="192"/>
      <c r="I39" s="154">
        <f t="shared" si="7"/>
        <v>257702.56089817092</v>
      </c>
      <c r="J39" s="154">
        <f t="shared" si="2"/>
        <v>93986105.155134857</v>
      </c>
      <c r="K39" s="138">
        <f t="shared" si="6"/>
        <v>93986105.155134857</v>
      </c>
      <c r="L39" s="138"/>
    </row>
    <row r="40" spans="1:14">
      <c r="A40" s="187">
        <v>1</v>
      </c>
      <c r="B40" s="168">
        <v>40663</v>
      </c>
      <c r="C40" s="138">
        <f t="shared" si="0"/>
        <v>30</v>
      </c>
      <c r="D40" s="195"/>
      <c r="E40" s="154"/>
      <c r="F40" s="196">
        <f t="shared" si="8"/>
        <v>3.5665000000000002E-2</v>
      </c>
      <c r="G40" s="188"/>
      <c r="H40" s="192"/>
      <c r="I40" s="154">
        <f t="shared" si="7"/>
        <v>275508.03619379876</v>
      </c>
      <c r="J40" s="154">
        <f>J39+G40+H40+I40</f>
        <v>94261613.19132866</v>
      </c>
      <c r="K40" s="138">
        <f t="shared" si="6"/>
        <v>93986105.155134857</v>
      </c>
      <c r="L40" s="138"/>
    </row>
    <row r="41" spans="1:14">
      <c r="A41" s="187">
        <v>2</v>
      </c>
      <c r="B41" s="168">
        <v>40694</v>
      </c>
      <c r="C41" s="138">
        <f t="shared" si="0"/>
        <v>31</v>
      </c>
      <c r="F41" s="196">
        <f t="shared" si="8"/>
        <v>3.5665000000000002E-2</v>
      </c>
      <c r="G41" s="188"/>
      <c r="H41" s="192"/>
      <c r="I41" s="154">
        <f t="shared" si="7"/>
        <v>284691.63740025874</v>
      </c>
      <c r="J41" s="154">
        <f>J40+G41+H41+I41</f>
        <v>94546304.828728914</v>
      </c>
      <c r="K41" s="138">
        <f t="shared" si="6"/>
        <v>93986105.155134857</v>
      </c>
      <c r="L41" s="138"/>
    </row>
    <row r="42" spans="1:14">
      <c r="A42" s="187">
        <v>3</v>
      </c>
      <c r="B42" s="168">
        <v>40724</v>
      </c>
      <c r="C42" s="138">
        <f t="shared" si="0"/>
        <v>30</v>
      </c>
      <c r="F42" s="196">
        <f t="shared" si="8"/>
        <v>3.5665000000000002E-2</v>
      </c>
      <c r="G42" s="188"/>
      <c r="H42" s="192"/>
      <c r="I42" s="154">
        <f t="shared" si="7"/>
        <v>275508.03619379876</v>
      </c>
      <c r="J42" s="154">
        <f>J41+G42+H42+I42</f>
        <v>94821812.864922717</v>
      </c>
      <c r="K42" s="138">
        <f t="shared" si="6"/>
        <v>94821812.864922717</v>
      </c>
      <c r="L42" s="138"/>
    </row>
    <row r="43" spans="1:14">
      <c r="A43" s="187">
        <v>1</v>
      </c>
      <c r="B43" s="168">
        <v>40755</v>
      </c>
      <c r="C43" s="138">
        <f t="shared" si="0"/>
        <v>31</v>
      </c>
      <c r="F43" s="196">
        <f t="shared" si="8"/>
        <v>3.5665000000000002E-2</v>
      </c>
      <c r="G43" s="188"/>
      <c r="H43" s="192"/>
      <c r="I43" s="154">
        <f t="shared" si="7"/>
        <v>287223.06474151107</v>
      </c>
      <c r="J43" s="154">
        <f>J42+G43+H43+I43</f>
        <v>95109035.929664224</v>
      </c>
      <c r="K43" s="138">
        <f t="shared" si="6"/>
        <v>94821812.864922717</v>
      </c>
      <c r="L43" s="138"/>
    </row>
    <row r="44" spans="1:14">
      <c r="A44" s="187">
        <v>2</v>
      </c>
      <c r="B44" s="168">
        <v>40786</v>
      </c>
      <c r="C44" s="138">
        <f t="shared" si="0"/>
        <v>31</v>
      </c>
      <c r="D44" s="168">
        <v>40756</v>
      </c>
      <c r="E44" s="138">
        <f>B44-D44+1</f>
        <v>31</v>
      </c>
      <c r="F44" s="196">
        <f t="shared" si="8"/>
        <v>3.5665000000000002E-2</v>
      </c>
      <c r="G44" s="197">
        <f>9000000-34210.74</f>
        <v>8965789.2599999998</v>
      </c>
      <c r="H44" s="192"/>
      <c r="I44" s="154">
        <f t="shared" si="7"/>
        <v>314381.17732423684</v>
      </c>
      <c r="J44" s="154">
        <f>J43+G44+H44+I44</f>
        <v>104389206.36698847</v>
      </c>
      <c r="K44" s="138">
        <f t="shared" si="6"/>
        <v>103787602.12492272</v>
      </c>
      <c r="L44" s="138"/>
    </row>
    <row r="45" spans="1:14" ht="15.75" thickBot="1">
      <c r="A45" s="187">
        <v>3</v>
      </c>
      <c r="B45" s="168">
        <v>40816</v>
      </c>
      <c r="C45" s="138">
        <f t="shared" si="0"/>
        <v>30</v>
      </c>
      <c r="F45" s="198">
        <f t="shared" si="8"/>
        <v>3.5665000000000002E-2</v>
      </c>
      <c r="G45" s="188"/>
      <c r="H45" s="192"/>
      <c r="I45" s="154">
        <f t="shared" si="7"/>
        <v>304239.849023455</v>
      </c>
      <c r="J45" s="154">
        <f t="shared" ref="J45:J108" si="9">J44+G45+H45+I45</f>
        <v>104693446.21601193</v>
      </c>
      <c r="K45" s="138">
        <f t="shared" si="6"/>
        <v>104693446.21601193</v>
      </c>
      <c r="L45" s="138"/>
      <c r="N45" s="163"/>
    </row>
    <row r="46" spans="1:14">
      <c r="A46" s="199">
        <v>1</v>
      </c>
      <c r="B46" s="200">
        <v>40847</v>
      </c>
      <c r="C46" s="201">
        <f t="shared" si="0"/>
        <v>31</v>
      </c>
      <c r="D46" s="200"/>
      <c r="E46" s="201"/>
      <c r="F46" s="196">
        <f t="shared" si="8"/>
        <v>3.5665000000000002E-2</v>
      </c>
      <c r="G46" s="202"/>
      <c r="H46" s="203"/>
      <c r="I46" s="204">
        <f>(((K45+H46)*C46)+(G46*E46))*(F46/365)</f>
        <v>317125.05352908501</v>
      </c>
      <c r="J46" s="204">
        <f t="shared" si="9"/>
        <v>105010571.26954101</v>
      </c>
      <c r="K46" s="201">
        <f t="shared" si="6"/>
        <v>104693446.21601193</v>
      </c>
      <c r="L46" s="138"/>
    </row>
    <row r="47" spans="1:14" s="153" customFormat="1">
      <c r="A47" s="194">
        <v>2</v>
      </c>
      <c r="B47" s="195">
        <v>40877</v>
      </c>
      <c r="C47" s="312">
        <f t="shared" si="0"/>
        <v>30</v>
      </c>
      <c r="D47" s="195"/>
      <c r="E47" s="312"/>
      <c r="F47" s="196">
        <f t="shared" si="8"/>
        <v>3.5665000000000002E-2</v>
      </c>
      <c r="G47" s="188"/>
      <c r="H47" s="192"/>
      <c r="I47" s="312">
        <f t="shared" si="7"/>
        <v>306895.21309266292</v>
      </c>
      <c r="J47" s="312">
        <f t="shared" si="9"/>
        <v>105317466.48263368</v>
      </c>
      <c r="K47" s="312">
        <f t="shared" si="6"/>
        <v>104693446.21601193</v>
      </c>
      <c r="L47" s="312"/>
    </row>
    <row r="48" spans="1:14" s="153" customFormat="1">
      <c r="A48" s="194">
        <v>3</v>
      </c>
      <c r="B48" s="195">
        <v>40908</v>
      </c>
      <c r="C48" s="312">
        <f t="shared" si="0"/>
        <v>31</v>
      </c>
      <c r="D48" s="195"/>
      <c r="E48" s="312"/>
      <c r="F48" s="196">
        <f t="shared" si="8"/>
        <v>3.5665000000000002E-2</v>
      </c>
      <c r="G48" s="188"/>
      <c r="H48" s="192">
        <v>0</v>
      </c>
      <c r="I48" s="312">
        <f>(((K47+H48)*C48)+(G48*E48))*(F48/365)</f>
        <v>317125.05352908501</v>
      </c>
      <c r="J48" s="312">
        <f>J47+G48+H48+I48</f>
        <v>105634591.53616276</v>
      </c>
      <c r="K48" s="312">
        <f t="shared" si="6"/>
        <v>105634591.53616276</v>
      </c>
      <c r="L48" s="312"/>
    </row>
    <row r="49" spans="1:13" s="206" customFormat="1">
      <c r="A49" s="927">
        <v>1</v>
      </c>
      <c r="B49" s="258">
        <v>40939</v>
      </c>
      <c r="C49" s="205">
        <f t="shared" si="0"/>
        <v>31</v>
      </c>
      <c r="D49" s="258"/>
      <c r="E49" s="205"/>
      <c r="F49" s="196">
        <f t="shared" si="8"/>
        <v>3.5665000000000002E-2</v>
      </c>
      <c r="G49" s="197"/>
      <c r="H49" s="192">
        <f>-'LSR Prepaid Bill Credits'!N15</f>
        <v>0</v>
      </c>
      <c r="I49" s="205">
        <f>(((K48+H49)*C49)+(G49*E49))*(F49/365)</f>
        <v>319975.8600582318</v>
      </c>
      <c r="J49" s="205">
        <f>J48+G49+H49+I49</f>
        <v>105954567.396221</v>
      </c>
      <c r="K49" s="205">
        <f t="shared" si="6"/>
        <v>105634591.53616276</v>
      </c>
      <c r="L49" s="205"/>
    </row>
    <row r="50" spans="1:13" s="153" customFormat="1">
      <c r="A50" s="194">
        <v>2</v>
      </c>
      <c r="B50" s="195">
        <v>40968</v>
      </c>
      <c r="C50" s="312">
        <f t="shared" si="0"/>
        <v>29</v>
      </c>
      <c r="D50" s="195"/>
      <c r="E50" s="312"/>
      <c r="F50" s="196">
        <f t="shared" si="8"/>
        <v>3.5665000000000002E-2</v>
      </c>
      <c r="G50" s="188"/>
      <c r="H50" s="192">
        <f>-'LSR Prepaid Bill Credits'!N16</f>
        <v>0</v>
      </c>
      <c r="I50" s="205">
        <f>(((K49+H50)*C50)+(G50*E50))*(F50/365)</f>
        <v>299332.25618350715</v>
      </c>
      <c r="J50" s="312">
        <f>J49+G50+H50+I50</f>
        <v>106253899.6524045</v>
      </c>
      <c r="K50" s="312">
        <f t="shared" si="6"/>
        <v>105634591.53616276</v>
      </c>
      <c r="L50" s="312"/>
    </row>
    <row r="51" spans="1:13" s="153" customFormat="1">
      <c r="A51" s="194">
        <v>3</v>
      </c>
      <c r="B51" s="195">
        <v>40999</v>
      </c>
      <c r="C51" s="312">
        <f t="shared" si="0"/>
        <v>31</v>
      </c>
      <c r="D51" s="195"/>
      <c r="E51" s="312"/>
      <c r="F51" s="196">
        <f t="shared" si="8"/>
        <v>3.5665000000000002E-2</v>
      </c>
      <c r="G51" s="188"/>
      <c r="H51" s="192">
        <f>-'LSR Prepaid Bill Credits'!N17</f>
        <v>-259600</v>
      </c>
      <c r="I51" s="205">
        <f>(((K50+H51)*C51)+(G51*E51))*(F51/365)</f>
        <v>319189.51032124547</v>
      </c>
      <c r="J51" s="312">
        <f>J50+G51+H51+I51</f>
        <v>106313489.16272575</v>
      </c>
      <c r="K51" s="312">
        <f t="shared" si="6"/>
        <v>106313489.16272575</v>
      </c>
      <c r="L51" s="312"/>
      <c r="M51" s="243"/>
    </row>
    <row r="52" spans="1:13" s="153" customFormat="1">
      <c r="A52" s="194">
        <v>1</v>
      </c>
      <c r="B52" s="195">
        <v>41029</v>
      </c>
      <c r="C52" s="312">
        <f t="shared" si="0"/>
        <v>30</v>
      </c>
      <c r="D52" s="195"/>
      <c r="E52" s="312"/>
      <c r="F52" s="196">
        <f t="shared" si="8"/>
        <v>3.5665000000000002E-2</v>
      </c>
      <c r="G52" s="188"/>
      <c r="H52" s="192">
        <f>-'LSR Prepaid Bill Credits'!N18</f>
        <v>-434632</v>
      </c>
      <c r="I52" s="312">
        <f t="shared" si="7"/>
        <v>310370.09101714636</v>
      </c>
      <c r="J52" s="312">
        <f t="shared" si="9"/>
        <v>106189227.25374289</v>
      </c>
      <c r="K52" s="312">
        <f t="shared" si="6"/>
        <v>105878857.16272575</v>
      </c>
      <c r="L52" s="312"/>
      <c r="M52" s="243"/>
    </row>
    <row r="53" spans="1:13" s="153" customFormat="1">
      <c r="A53" s="194">
        <v>2</v>
      </c>
      <c r="B53" s="195">
        <v>41060</v>
      </c>
      <c r="C53" s="312">
        <f t="shared" si="0"/>
        <v>31</v>
      </c>
      <c r="D53" s="195"/>
      <c r="E53" s="312"/>
      <c r="F53" s="196">
        <f t="shared" si="8"/>
        <v>3.5665000000000002E-2</v>
      </c>
      <c r="G53" s="188"/>
      <c r="H53" s="192">
        <f>-'LSR Prepaid Bill Credits'!N19</f>
        <v>-421127</v>
      </c>
      <c r="I53" s="312">
        <f t="shared" si="7"/>
        <v>319440.13242153981</v>
      </c>
      <c r="J53" s="312">
        <f t="shared" si="9"/>
        <v>106087540.38616443</v>
      </c>
      <c r="K53" s="312">
        <f t="shared" si="6"/>
        <v>105457730.16272575</v>
      </c>
      <c r="L53" s="312"/>
      <c r="M53" s="243"/>
    </row>
    <row r="54" spans="1:13" s="153" customFormat="1">
      <c r="A54" s="194">
        <v>3</v>
      </c>
      <c r="B54" s="195">
        <v>41090</v>
      </c>
      <c r="C54" s="312">
        <f t="shared" si="0"/>
        <v>30</v>
      </c>
      <c r="D54" s="195"/>
      <c r="E54" s="312"/>
      <c r="F54" s="196">
        <f t="shared" si="8"/>
        <v>3.5665000000000002E-2</v>
      </c>
      <c r="G54" s="188"/>
      <c r="H54" s="192">
        <f>-'LSR Prepaid Bill Credits'!N20</f>
        <v>-426723</v>
      </c>
      <c r="I54" s="312">
        <f>(((K53+H54)*C54)+(G54*E54))*(F54/365)</f>
        <v>307884.72907879023</v>
      </c>
      <c r="J54" s="312">
        <f t="shared" si="9"/>
        <v>105968702.11524321</v>
      </c>
      <c r="K54" s="312">
        <f t="shared" si="6"/>
        <v>105968702.11524321</v>
      </c>
      <c r="L54" s="312"/>
      <c r="M54" s="243"/>
    </row>
    <row r="55" spans="1:13" s="153" customFormat="1">
      <c r="A55" s="194">
        <v>1</v>
      </c>
      <c r="B55" s="195">
        <v>41121</v>
      </c>
      <c r="C55" s="312">
        <f t="shared" si="0"/>
        <v>31</v>
      </c>
      <c r="D55" s="195"/>
      <c r="E55" s="312"/>
      <c r="F55" s="196">
        <f t="shared" si="8"/>
        <v>3.5665000000000002E-2</v>
      </c>
      <c r="G55" s="188"/>
      <c r="H55" s="192">
        <f>-'LSR Prepaid Bill Credits'!N21</f>
        <v>-462527</v>
      </c>
      <c r="I55" s="312">
        <f t="shared" si="7"/>
        <v>319586.8761644921</v>
      </c>
      <c r="J55" s="312">
        <f t="shared" si="9"/>
        <v>105825761.99140771</v>
      </c>
      <c r="K55" s="312">
        <f t="shared" si="6"/>
        <v>105506175.11524321</v>
      </c>
      <c r="L55" s="312"/>
      <c r="M55" s="243"/>
    </row>
    <row r="56" spans="1:13" s="153" customFormat="1">
      <c r="A56" s="194">
        <v>2</v>
      </c>
      <c r="B56" s="195">
        <v>41152</v>
      </c>
      <c r="C56" s="312">
        <f t="shared" si="0"/>
        <v>31</v>
      </c>
      <c r="D56" s="195"/>
      <c r="E56" s="312"/>
      <c r="F56" s="196">
        <f t="shared" si="8"/>
        <v>3.5665000000000002E-2</v>
      </c>
      <c r="G56" s="188"/>
      <c r="H56" s="192">
        <f>-'LSR Prepaid Bill Credits'!N22</f>
        <v>-457118</v>
      </c>
      <c r="I56" s="312">
        <f t="shared" si="7"/>
        <v>318202.22817114968</v>
      </c>
      <c r="J56" s="312">
        <f t="shared" si="9"/>
        <v>105686846.21957886</v>
      </c>
      <c r="K56" s="312">
        <f t="shared" si="6"/>
        <v>105049057.11524321</v>
      </c>
      <c r="L56" s="312"/>
      <c r="M56" s="243"/>
    </row>
    <row r="57" spans="1:13" s="153" customFormat="1">
      <c r="A57" s="194">
        <v>3</v>
      </c>
      <c r="B57" s="195">
        <v>41182</v>
      </c>
      <c r="C57" s="312">
        <f t="shared" si="0"/>
        <v>30</v>
      </c>
      <c r="D57" s="195"/>
      <c r="E57" s="312"/>
      <c r="F57" s="196">
        <f t="shared" si="8"/>
        <v>3.5665000000000002E-2</v>
      </c>
      <c r="G57" s="188"/>
      <c r="H57" s="192">
        <f>-'LSR Prepaid Bill Credits'!N23</f>
        <v>-457118</v>
      </c>
      <c r="I57" s="312">
        <f>(((K56+H57)*C57)+(G57*E57))*(F57/365)</f>
        <v>306597.65823658765</v>
      </c>
      <c r="J57" s="312">
        <f t="shared" si="9"/>
        <v>105536325.87781546</v>
      </c>
      <c r="K57" s="312">
        <f t="shared" si="6"/>
        <v>105536325.87781546</v>
      </c>
      <c r="L57" s="312"/>
      <c r="M57" s="243"/>
    </row>
    <row r="58" spans="1:13" s="153" customFormat="1">
      <c r="A58" s="194">
        <v>1</v>
      </c>
      <c r="B58" s="195">
        <v>41213</v>
      </c>
      <c r="C58" s="312">
        <f t="shared" si="0"/>
        <v>31</v>
      </c>
      <c r="D58" s="195"/>
      <c r="E58" s="312"/>
      <c r="F58" s="196">
        <f t="shared" si="8"/>
        <v>3.5665000000000002E-2</v>
      </c>
      <c r="G58" s="188"/>
      <c r="H58" s="192">
        <f>-'LSR Prepaid Bill Credits'!N24</f>
        <v>-452840</v>
      </c>
      <c r="I58" s="312">
        <f t="shared" si="7"/>
        <v>318306.51572274236</v>
      </c>
      <c r="J58" s="312">
        <f t="shared" si="9"/>
        <v>105401792.39353819</v>
      </c>
      <c r="K58" s="312">
        <f t="shared" si="6"/>
        <v>105083485.87781546</v>
      </c>
      <c r="L58" s="312"/>
      <c r="M58" s="243"/>
    </row>
    <row r="59" spans="1:13" s="153" customFormat="1">
      <c r="A59" s="194">
        <v>2</v>
      </c>
      <c r="B59" s="195">
        <v>41243</v>
      </c>
      <c r="C59" s="312">
        <f t="shared" si="0"/>
        <v>30</v>
      </c>
      <c r="D59" s="195"/>
      <c r="E59" s="312"/>
      <c r="F59" s="196">
        <f t="shared" si="8"/>
        <v>3.5665000000000002E-2</v>
      </c>
      <c r="G59" s="188"/>
      <c r="H59" s="192">
        <f>-'LSR Prepaid Bill Credits'!N25</f>
        <v>-457866</v>
      </c>
      <c r="I59" s="312">
        <f t="shared" si="7"/>
        <v>306696.38900895522</v>
      </c>
      <c r="J59" s="312">
        <f t="shared" si="9"/>
        <v>105250622.78254715</v>
      </c>
      <c r="K59" s="312">
        <f t="shared" si="6"/>
        <v>104625619.87781546</v>
      </c>
      <c r="L59" s="312"/>
      <c r="M59" s="243"/>
    </row>
    <row r="60" spans="1:13" s="153" customFormat="1">
      <c r="A60" s="194">
        <v>3</v>
      </c>
      <c r="B60" s="195">
        <v>41274</v>
      </c>
      <c r="C60" s="312">
        <f t="shared" si="0"/>
        <v>31</v>
      </c>
      <c r="D60" s="195"/>
      <c r="E60" s="312"/>
      <c r="F60" s="196">
        <f t="shared" si="8"/>
        <v>3.5665000000000002E-2</v>
      </c>
      <c r="G60" s="188"/>
      <c r="H60" s="192">
        <f>-'LSR Prepaid Bill Credits'!N26</f>
        <v>-416358</v>
      </c>
      <c r="I60" s="312">
        <f t="shared" si="7"/>
        <v>315658.41937271494</v>
      </c>
      <c r="J60" s="312">
        <f t="shared" si="9"/>
        <v>105149923.20191985</v>
      </c>
      <c r="K60" s="312">
        <f t="shared" si="6"/>
        <v>105149923.20191985</v>
      </c>
      <c r="L60" s="312"/>
      <c r="M60" s="243"/>
    </row>
    <row r="61" spans="1:13" s="153" customFormat="1">
      <c r="A61" s="194">
        <v>1</v>
      </c>
      <c r="B61" s="195">
        <v>41305</v>
      </c>
      <c r="C61" s="312">
        <f t="shared" si="0"/>
        <v>31</v>
      </c>
      <c r="D61" s="195"/>
      <c r="E61" s="312"/>
      <c r="F61" s="196">
        <f t="shared" si="8"/>
        <v>3.5665000000000002E-2</v>
      </c>
      <c r="G61" s="188"/>
      <c r="H61" s="192">
        <f>-'LSR Prepaid Bill Credits'!N27</f>
        <v>-458060</v>
      </c>
      <c r="I61" s="312">
        <f t="shared" si="7"/>
        <v>317120.25844928937</v>
      </c>
      <c r="J61" s="312">
        <f t="shared" si="9"/>
        <v>105008983.46036914</v>
      </c>
      <c r="K61" s="312">
        <f t="shared" si="6"/>
        <v>104691863.20191985</v>
      </c>
      <c r="L61" s="312"/>
      <c r="M61" s="243"/>
    </row>
    <row r="62" spans="1:13" s="153" customFormat="1">
      <c r="A62" s="194">
        <v>2</v>
      </c>
      <c r="B62" s="195">
        <v>41333</v>
      </c>
      <c r="C62" s="312">
        <f t="shared" si="0"/>
        <v>28</v>
      </c>
      <c r="D62" s="195"/>
      <c r="E62" s="312"/>
      <c r="F62" s="196">
        <f t="shared" si="8"/>
        <v>3.5665000000000002E-2</v>
      </c>
      <c r="G62" s="188"/>
      <c r="H62" s="192">
        <f>-'LSR Prepaid Bill Credits'!N28</f>
        <v>-441320</v>
      </c>
      <c r="I62" s="312">
        <f t="shared" si="7"/>
        <v>285223.77384192118</v>
      </c>
      <c r="J62" s="312">
        <f t="shared" si="9"/>
        <v>104852887.23421106</v>
      </c>
      <c r="K62" s="312">
        <f t="shared" ref="K62:K93" si="10">IF(A62=3,J62,IF(A62=1,J62-I62,J62-I62-I61))</f>
        <v>104250543.20191985</v>
      </c>
      <c r="L62" s="312"/>
      <c r="M62" s="243"/>
    </row>
    <row r="63" spans="1:13" s="153" customFormat="1">
      <c r="A63" s="194">
        <v>3</v>
      </c>
      <c r="B63" s="195">
        <v>41364</v>
      </c>
      <c r="C63" s="312">
        <f t="shared" si="0"/>
        <v>31</v>
      </c>
      <c r="D63" s="195"/>
      <c r="E63" s="312"/>
      <c r="F63" s="196">
        <f t="shared" si="8"/>
        <v>3.5665000000000002E-2</v>
      </c>
      <c r="G63" s="188"/>
      <c r="H63" s="192">
        <f>-'LSR Prepaid Bill Credits'!N29</f>
        <v>-441320</v>
      </c>
      <c r="I63" s="312">
        <f t="shared" si="7"/>
        <v>314446.66934353596</v>
      </c>
      <c r="J63" s="312">
        <f t="shared" si="9"/>
        <v>104726013.90355459</v>
      </c>
      <c r="K63" s="312">
        <f t="shared" si="10"/>
        <v>104726013.90355459</v>
      </c>
      <c r="L63" s="312"/>
      <c r="M63" s="243"/>
    </row>
    <row r="64" spans="1:13" s="153" customFormat="1">
      <c r="A64" s="194">
        <v>1</v>
      </c>
      <c r="B64" s="195">
        <v>41394</v>
      </c>
      <c r="C64" s="312">
        <f t="shared" si="0"/>
        <v>30</v>
      </c>
      <c r="D64" s="195"/>
      <c r="E64" s="312"/>
      <c r="F64" s="196">
        <f t="shared" si="8"/>
        <v>3.5665000000000002E-2</v>
      </c>
      <c r="G64" s="188"/>
      <c r="H64" s="192">
        <f>-'LSR Prepaid Bill Credits'!N30</f>
        <v>-441320</v>
      </c>
      <c r="I64" s="312">
        <f t="shared" si="7"/>
        <v>305697.0088824883</v>
      </c>
      <c r="J64" s="312">
        <f t="shared" si="9"/>
        <v>104590390.91243708</v>
      </c>
      <c r="K64" s="312">
        <f t="shared" si="10"/>
        <v>104284693.90355459</v>
      </c>
      <c r="L64" s="312"/>
      <c r="M64" s="243"/>
    </row>
    <row r="65" spans="1:13" s="153" customFormat="1">
      <c r="A65" s="194">
        <v>2</v>
      </c>
      <c r="B65" s="195">
        <v>41425</v>
      </c>
      <c r="C65" s="312">
        <f t="shared" si="0"/>
        <v>31</v>
      </c>
      <c r="D65" s="195"/>
      <c r="E65" s="312"/>
      <c r="F65" s="196">
        <f t="shared" si="8"/>
        <v>3.5665000000000002E-2</v>
      </c>
      <c r="G65" s="188"/>
      <c r="H65" s="192">
        <f>-'LSR Prepaid Bill Credits'!N31</f>
        <v>-441380</v>
      </c>
      <c r="I65" s="312">
        <f t="shared" si="7"/>
        <v>314549.93288076308</v>
      </c>
      <c r="J65" s="312">
        <f t="shared" si="9"/>
        <v>104463560.84531784</v>
      </c>
      <c r="K65" s="312">
        <f t="shared" si="10"/>
        <v>103843313.90355459</v>
      </c>
      <c r="L65" s="312"/>
      <c r="M65" s="243"/>
    </row>
    <row r="66" spans="1:13" s="153" customFormat="1">
      <c r="A66" s="194">
        <v>3</v>
      </c>
      <c r="B66" s="195">
        <v>41455</v>
      </c>
      <c r="C66" s="312">
        <f t="shared" si="0"/>
        <v>30</v>
      </c>
      <c r="D66" s="195"/>
      <c r="E66" s="312"/>
      <c r="F66" s="196">
        <f t="shared" si="8"/>
        <v>3.5665000000000002E-2</v>
      </c>
      <c r="G66" s="188"/>
      <c r="H66" s="192">
        <f>-'LSR Prepaid Bill Credits'!N32</f>
        <v>-441320</v>
      </c>
      <c r="I66" s="312">
        <f t="shared" si="7"/>
        <v>303109.48870440613</v>
      </c>
      <c r="J66" s="312">
        <f t="shared" si="9"/>
        <v>104325350.33402225</v>
      </c>
      <c r="K66" s="312">
        <f t="shared" si="10"/>
        <v>104325350.33402225</v>
      </c>
      <c r="L66" s="312"/>
      <c r="M66" s="243"/>
    </row>
    <row r="67" spans="1:13" s="153" customFormat="1">
      <c r="A67" s="194">
        <v>1</v>
      </c>
      <c r="B67" s="195">
        <v>41486</v>
      </c>
      <c r="C67" s="312">
        <f t="shared" si="0"/>
        <v>31</v>
      </c>
      <c r="D67" s="195"/>
      <c r="E67" s="312"/>
      <c r="F67" s="196">
        <f t="shared" si="8"/>
        <v>3.5665000000000002E-2</v>
      </c>
      <c r="G67" s="188"/>
      <c r="H67" s="192">
        <f>-'LSR Prepaid Bill Credits'!N33</f>
        <v>-441320</v>
      </c>
      <c r="I67" s="312">
        <f t="shared" si="7"/>
        <v>314673.26629520557</v>
      </c>
      <c r="J67" s="312">
        <f t="shared" si="9"/>
        <v>104198703.60031746</v>
      </c>
      <c r="K67" s="312">
        <f t="shared" si="10"/>
        <v>103884030.33402225</v>
      </c>
      <c r="L67" s="312"/>
      <c r="M67" s="243"/>
    </row>
    <row r="68" spans="1:13" s="153" customFormat="1">
      <c r="A68" s="194">
        <v>2</v>
      </c>
      <c r="B68" s="195">
        <v>41517</v>
      </c>
      <c r="C68" s="312">
        <f t="shared" si="0"/>
        <v>31</v>
      </c>
      <c r="D68" s="195"/>
      <c r="E68" s="312"/>
      <c r="F68" s="196">
        <f t="shared" si="8"/>
        <v>3.5665000000000002E-2</v>
      </c>
      <c r="G68" s="188"/>
      <c r="H68" s="192">
        <f>-'LSR Prepaid Bill Credits'!N34</f>
        <v>-441320</v>
      </c>
      <c r="I68" s="312">
        <f t="shared" si="7"/>
        <v>313336.47174232884</v>
      </c>
      <c r="J68" s="312">
        <f t="shared" si="9"/>
        <v>104070720.0720598</v>
      </c>
      <c r="K68" s="312">
        <f t="shared" si="10"/>
        <v>103442710.33402225</v>
      </c>
      <c r="L68" s="312"/>
      <c r="M68" s="243"/>
    </row>
    <row r="69" spans="1:13" s="153" customFormat="1">
      <c r="A69" s="194">
        <v>3</v>
      </c>
      <c r="B69" s="195">
        <v>41547</v>
      </c>
      <c r="C69" s="312">
        <f t="shared" si="0"/>
        <v>30</v>
      </c>
      <c r="D69" s="195"/>
      <c r="E69" s="312"/>
      <c r="F69" s="196">
        <f t="shared" si="8"/>
        <v>3.5665000000000002E-2</v>
      </c>
      <c r="G69" s="188"/>
      <c r="H69" s="192">
        <f>-'LSR Prepaid Bill Credits'!N35</f>
        <v>-441320</v>
      </c>
      <c r="I69" s="312">
        <f>(((K68+H69)*C69)+(G69*E69))*(F69/365)</f>
        <v>301935.17147366336</v>
      </c>
      <c r="J69" s="312">
        <f t="shared" si="9"/>
        <v>103931335.24353346</v>
      </c>
      <c r="K69" s="312">
        <f t="shared" si="10"/>
        <v>103931335.24353346</v>
      </c>
      <c r="L69" s="312"/>
      <c r="M69" s="243"/>
    </row>
    <row r="70" spans="1:13" s="153" customFormat="1">
      <c r="A70" s="194">
        <v>1</v>
      </c>
      <c r="B70" s="195">
        <v>41578</v>
      </c>
      <c r="C70" s="312">
        <f t="shared" ref="C70:C133" si="11">DAY(B70)</f>
        <v>31</v>
      </c>
      <c r="D70" s="195"/>
      <c r="E70" s="312"/>
      <c r="F70" s="196">
        <f t="shared" si="8"/>
        <v>3.5665000000000002E-2</v>
      </c>
      <c r="G70" s="312">
        <v>-22386834.66</v>
      </c>
      <c r="H70" s="192">
        <f>-'LSR Prepaid Bill Credits'!N36</f>
        <v>-441320</v>
      </c>
      <c r="I70" s="312">
        <v>248618.07</v>
      </c>
      <c r="J70" s="312">
        <f t="shared" si="9"/>
        <v>81351798.653533459</v>
      </c>
      <c r="K70" s="312">
        <f t="shared" si="10"/>
        <v>81103180.583533466</v>
      </c>
      <c r="L70" s="312"/>
      <c r="M70" s="243"/>
    </row>
    <row r="71" spans="1:13" s="153" customFormat="1">
      <c r="A71" s="194">
        <v>2</v>
      </c>
      <c r="B71" s="195">
        <v>41608</v>
      </c>
      <c r="C71" s="312">
        <f t="shared" si="11"/>
        <v>30</v>
      </c>
      <c r="D71" s="195"/>
      <c r="E71" s="312"/>
      <c r="F71" s="196">
        <f t="shared" si="8"/>
        <v>3.5665000000000002E-2</v>
      </c>
      <c r="G71" s="188"/>
      <c r="H71" s="192">
        <f>-'LSR Prepaid Bill Credits'!N37</f>
        <v>-502860</v>
      </c>
      <c r="I71" s="312">
        <f t="shared" si="7"/>
        <v>236269.3507078127</v>
      </c>
      <c r="J71" s="312">
        <f t="shared" si="9"/>
        <v>81085208.004241273</v>
      </c>
      <c r="K71" s="312">
        <f t="shared" si="10"/>
        <v>80600320.583533466</v>
      </c>
      <c r="L71" s="312"/>
      <c r="M71" s="243"/>
    </row>
    <row r="72" spans="1:13" s="153" customFormat="1">
      <c r="A72" s="194">
        <v>3</v>
      </c>
      <c r="B72" s="195">
        <v>41639</v>
      </c>
      <c r="C72" s="312">
        <f t="shared" si="11"/>
        <v>31</v>
      </c>
      <c r="D72" s="195"/>
      <c r="E72" s="312"/>
      <c r="F72" s="196">
        <f t="shared" si="8"/>
        <v>3.5665000000000002E-2</v>
      </c>
      <c r="G72" s="188"/>
      <c r="H72" s="192">
        <f>-'LSR Prepaid Bill Credits'!N38</f>
        <v>-502860</v>
      </c>
      <c r="I72" s="312">
        <f t="shared" si="7"/>
        <v>242621.79146044757</v>
      </c>
      <c r="J72" s="312">
        <f t="shared" si="9"/>
        <v>80824969.795701727</v>
      </c>
      <c r="K72" s="312">
        <f t="shared" si="10"/>
        <v>80824969.795701727</v>
      </c>
      <c r="L72" s="312"/>
      <c r="M72" s="243"/>
    </row>
    <row r="73" spans="1:13" s="153" customFormat="1">
      <c r="A73" s="194">
        <v>1</v>
      </c>
      <c r="B73" s="195">
        <v>41670</v>
      </c>
      <c r="C73" s="312">
        <f t="shared" si="11"/>
        <v>31</v>
      </c>
      <c r="D73" s="195"/>
      <c r="E73" s="312"/>
      <c r="F73" s="196">
        <f t="shared" si="8"/>
        <v>3.5665000000000002E-2</v>
      </c>
      <c r="G73" s="188"/>
      <c r="H73" s="192">
        <f>-'LSR Prepaid Bill Credits'!N39</f>
        <v>-502860</v>
      </c>
      <c r="I73" s="312">
        <f t="shared" si="7"/>
        <v>243302.27238842405</v>
      </c>
      <c r="J73" s="312">
        <f t="shared" si="9"/>
        <v>80565412.068090156</v>
      </c>
      <c r="K73" s="312">
        <f t="shared" si="10"/>
        <v>80322109.795701727</v>
      </c>
      <c r="L73" s="312"/>
      <c r="M73" s="243"/>
    </row>
    <row r="74" spans="1:13" s="153" customFormat="1">
      <c r="A74" s="194">
        <v>2</v>
      </c>
      <c r="B74" s="195">
        <v>41698</v>
      </c>
      <c r="C74" s="312">
        <f t="shared" si="11"/>
        <v>28</v>
      </c>
      <c r="D74" s="195"/>
      <c r="E74" s="312"/>
      <c r="F74" s="196">
        <f t="shared" si="8"/>
        <v>3.5665000000000002E-2</v>
      </c>
      <c r="G74" s="312">
        <v>-105098.23</v>
      </c>
      <c r="H74" s="192">
        <f>-'LSR Prepaid Bill Credits'!N40</f>
        <v>-502860</v>
      </c>
      <c r="I74" s="312">
        <v>218216.78</v>
      </c>
      <c r="J74" s="312">
        <f t="shared" si="9"/>
        <v>80175670.618090153</v>
      </c>
      <c r="K74" s="312">
        <f t="shared" si="10"/>
        <v>79714151.565701723</v>
      </c>
      <c r="L74" s="928"/>
      <c r="M74" s="243"/>
    </row>
    <row r="75" spans="1:13" s="153" customFormat="1">
      <c r="A75" s="194">
        <v>3</v>
      </c>
      <c r="B75" s="195">
        <v>41729</v>
      </c>
      <c r="C75" s="312">
        <f t="shared" si="11"/>
        <v>31</v>
      </c>
      <c r="D75" s="195"/>
      <c r="E75" s="312"/>
      <c r="F75" s="196">
        <f t="shared" si="8"/>
        <v>3.5665000000000002E-2</v>
      </c>
      <c r="G75" s="188"/>
      <c r="H75" s="192">
        <f>-'LSR Prepaid Bill Credits'!N41</f>
        <v>-502860</v>
      </c>
      <c r="I75" s="312">
        <f t="shared" si="7"/>
        <v>239937.51266962555</v>
      </c>
      <c r="J75" s="312">
        <f t="shared" si="9"/>
        <v>79912748.130759776</v>
      </c>
      <c r="K75" s="312">
        <f t="shared" si="10"/>
        <v>79912748.130759776</v>
      </c>
      <c r="L75" s="312"/>
      <c r="M75" s="243"/>
    </row>
    <row r="76" spans="1:13" s="153" customFormat="1">
      <c r="A76" s="194">
        <v>1</v>
      </c>
      <c r="B76" s="195">
        <v>41759</v>
      </c>
      <c r="C76" s="312">
        <f t="shared" si="11"/>
        <v>30</v>
      </c>
      <c r="D76" s="195"/>
      <c r="E76" s="312"/>
      <c r="F76" s="196">
        <f t="shared" si="8"/>
        <v>3.5665000000000002E-2</v>
      </c>
      <c r="G76" s="188"/>
      <c r="H76" s="192">
        <f>-'LSR Prepaid Bill Credits'!N42</f>
        <v>-502860</v>
      </c>
      <c r="I76" s="312">
        <f t="shared" si="7"/>
        <v>232779.75289179845</v>
      </c>
      <c r="J76" s="312">
        <f t="shared" si="9"/>
        <v>79642667.883651569</v>
      </c>
      <c r="K76" s="312">
        <f t="shared" si="10"/>
        <v>79409888.130759776</v>
      </c>
      <c r="L76" s="312"/>
      <c r="M76" s="243"/>
    </row>
    <row r="77" spans="1:13" s="153" customFormat="1">
      <c r="A77" s="194">
        <v>2</v>
      </c>
      <c r="B77" s="195">
        <v>41790</v>
      </c>
      <c r="C77" s="312">
        <f t="shared" si="11"/>
        <v>31</v>
      </c>
      <c r="D77" s="195"/>
      <c r="E77" s="312"/>
      <c r="F77" s="196">
        <f t="shared" si="8"/>
        <v>3.5665000000000002E-2</v>
      </c>
      <c r="G77" s="188"/>
      <c r="H77" s="192">
        <f>-'LSR Prepaid Bill Credits'!N43</f>
        <v>-502860</v>
      </c>
      <c r="I77" s="312">
        <f t="shared" si="7"/>
        <v>239015.87371723281</v>
      </c>
      <c r="J77" s="312">
        <f t="shared" si="9"/>
        <v>79378823.757368803</v>
      </c>
      <c r="K77" s="312">
        <f t="shared" si="10"/>
        <v>78907028.130759776</v>
      </c>
      <c r="L77" s="312"/>
      <c r="M77" s="243"/>
    </row>
    <row r="78" spans="1:13" s="153" customFormat="1">
      <c r="A78" s="194">
        <v>3</v>
      </c>
      <c r="B78" s="195">
        <v>41820</v>
      </c>
      <c r="C78" s="312">
        <f t="shared" si="11"/>
        <v>30</v>
      </c>
      <c r="D78" s="195"/>
      <c r="E78" s="312"/>
      <c r="F78" s="196">
        <f t="shared" si="8"/>
        <v>3.5665000000000002E-2</v>
      </c>
      <c r="G78" s="188"/>
      <c r="H78" s="192">
        <f>-'LSR Prepaid Bill Credits'!N44</f>
        <v>-502860</v>
      </c>
      <c r="I78" s="312">
        <f t="shared" si="7"/>
        <v>229831.6155931683</v>
      </c>
      <c r="J78" s="312">
        <f t="shared" si="9"/>
        <v>79105795.372961968</v>
      </c>
      <c r="K78" s="312">
        <f t="shared" si="10"/>
        <v>79105795.372961968</v>
      </c>
      <c r="L78" s="312"/>
      <c r="M78" s="243"/>
    </row>
    <row r="79" spans="1:13" s="153" customFormat="1">
      <c r="A79" s="194">
        <v>1</v>
      </c>
      <c r="B79" s="195">
        <v>41851</v>
      </c>
      <c r="C79" s="312">
        <f t="shared" si="11"/>
        <v>31</v>
      </c>
      <c r="D79" s="195"/>
      <c r="E79" s="312"/>
      <c r="F79" s="196">
        <f t="shared" si="8"/>
        <v>3.5665000000000002E-2</v>
      </c>
      <c r="G79" s="188"/>
      <c r="H79" s="192">
        <f>-'LSR Prepaid Bill Credits'!N45</f>
        <v>-502860</v>
      </c>
      <c r="I79" s="312">
        <f t="shared" si="7"/>
        <v>238094.75175993796</v>
      </c>
      <c r="J79" s="312">
        <f t="shared" si="9"/>
        <v>78841030.1247219</v>
      </c>
      <c r="K79" s="312">
        <f t="shared" si="10"/>
        <v>78602935.372961968</v>
      </c>
      <c r="L79" s="312"/>
      <c r="M79" s="243"/>
    </row>
    <row r="80" spans="1:13" s="153" customFormat="1">
      <c r="A80" s="194">
        <v>2</v>
      </c>
      <c r="B80" s="195">
        <v>41882</v>
      </c>
      <c r="C80" s="312">
        <f t="shared" si="11"/>
        <v>31</v>
      </c>
      <c r="D80" s="195"/>
      <c r="E80" s="312"/>
      <c r="F80" s="196">
        <f t="shared" si="8"/>
        <v>3.5665000000000002E-2</v>
      </c>
      <c r="G80" s="188"/>
      <c r="H80" s="192">
        <f>-'LSR Prepaid Bill Credits'!N46</f>
        <v>-502860</v>
      </c>
      <c r="I80" s="312">
        <f t="shared" si="7"/>
        <v>236571.54748897903</v>
      </c>
      <c r="J80" s="312">
        <f t="shared" si="9"/>
        <v>78574741.672210872</v>
      </c>
      <c r="K80" s="312">
        <f t="shared" si="10"/>
        <v>78100075.372961968</v>
      </c>
      <c r="L80" s="312"/>
      <c r="M80" s="243"/>
    </row>
    <row r="81" spans="1:13" s="153" customFormat="1">
      <c r="A81" s="194">
        <v>3</v>
      </c>
      <c r="B81" s="195">
        <v>41912</v>
      </c>
      <c r="C81" s="312">
        <f t="shared" si="11"/>
        <v>30</v>
      </c>
      <c r="D81" s="195"/>
      <c r="E81" s="312"/>
      <c r="F81" s="196">
        <f t="shared" si="8"/>
        <v>3.5665000000000002E-2</v>
      </c>
      <c r="G81" s="188"/>
      <c r="H81" s="192">
        <f>-'LSR Prepaid Bill Credits'!N47</f>
        <v>-502860</v>
      </c>
      <c r="I81" s="312">
        <f t="shared" si="7"/>
        <v>227466.13859808401</v>
      </c>
      <c r="J81" s="312">
        <f t="shared" si="9"/>
        <v>78299347.810808957</v>
      </c>
      <c r="K81" s="312">
        <f t="shared" si="10"/>
        <v>78299347.810808957</v>
      </c>
      <c r="L81" s="312"/>
      <c r="M81" s="243"/>
    </row>
    <row r="82" spans="1:13" s="153" customFormat="1">
      <c r="A82" s="194">
        <v>1</v>
      </c>
      <c r="B82" s="195">
        <v>41943</v>
      </c>
      <c r="C82" s="312">
        <f t="shared" si="11"/>
        <v>31</v>
      </c>
      <c r="D82" s="195"/>
      <c r="E82" s="312"/>
      <c r="F82" s="196">
        <f t="shared" si="8"/>
        <v>3.5665000000000002E-2</v>
      </c>
      <c r="G82" s="188"/>
      <c r="H82" s="192">
        <f>-'LSR Prepaid Bill Credits'!N48</f>
        <v>-502860</v>
      </c>
      <c r="I82" s="312">
        <f t="shared" si="7"/>
        <v>235651.95581081518</v>
      </c>
      <c r="J82" s="312">
        <f t="shared" si="9"/>
        <v>78032139.766619772</v>
      </c>
      <c r="K82" s="312">
        <f t="shared" si="10"/>
        <v>77796487.810808957</v>
      </c>
      <c r="L82" s="312"/>
      <c r="M82" s="243"/>
    </row>
    <row r="83" spans="1:13" s="153" customFormat="1">
      <c r="A83" s="194">
        <v>2</v>
      </c>
      <c r="B83" s="195">
        <v>41973</v>
      </c>
      <c r="C83" s="312">
        <f t="shared" si="11"/>
        <v>30</v>
      </c>
      <c r="D83" s="195"/>
      <c r="E83" s="312"/>
      <c r="F83" s="196">
        <f t="shared" si="8"/>
        <v>3.5665000000000002E-2</v>
      </c>
      <c r="G83" s="188"/>
      <c r="H83" s="192">
        <f>-'LSR Prepaid Bill Credits'!N49</f>
        <v>-502860</v>
      </c>
      <c r="I83" s="312">
        <f t="shared" si="7"/>
        <v>226576.21116760289</v>
      </c>
      <c r="J83" s="312">
        <f t="shared" si="9"/>
        <v>77755855.977787375</v>
      </c>
      <c r="K83" s="312">
        <f t="shared" si="10"/>
        <v>77293627.810808957</v>
      </c>
      <c r="L83" s="312"/>
      <c r="M83" s="243"/>
    </row>
    <row r="84" spans="1:13" s="153" customFormat="1">
      <c r="A84" s="194">
        <v>3</v>
      </c>
      <c r="B84" s="195">
        <v>42004</v>
      </c>
      <c r="C84" s="312">
        <f t="shared" si="11"/>
        <v>31</v>
      </c>
      <c r="D84" s="195"/>
      <c r="E84" s="312"/>
      <c r="F84" s="196">
        <f t="shared" si="8"/>
        <v>3.5665000000000002E-2</v>
      </c>
      <c r="G84" s="188"/>
      <c r="H84" s="192">
        <f>-'LSR Prepaid Bill Credits'!N50</f>
        <v>-502860</v>
      </c>
      <c r="I84" s="312">
        <f t="shared" si="7"/>
        <v>232605.54726889738</v>
      </c>
      <c r="J84" s="312">
        <f t="shared" si="9"/>
        <v>77485601.525056273</v>
      </c>
      <c r="K84" s="312">
        <f t="shared" si="10"/>
        <v>77485601.525056273</v>
      </c>
      <c r="L84" s="312"/>
      <c r="M84" s="243"/>
    </row>
    <row r="85" spans="1:13" s="153" customFormat="1">
      <c r="A85" s="194">
        <v>1</v>
      </c>
      <c r="B85" s="195">
        <v>42035</v>
      </c>
      <c r="C85" s="312">
        <f t="shared" si="11"/>
        <v>31</v>
      </c>
      <c r="D85" s="195"/>
      <c r="E85" s="312"/>
      <c r="F85" s="196">
        <f t="shared" si="8"/>
        <v>3.5665000000000002E-2</v>
      </c>
      <c r="G85" s="188"/>
      <c r="H85" s="192">
        <f>-'LSR Prepaid Bill Credits'!N51</f>
        <v>-502860</v>
      </c>
      <c r="I85" s="312">
        <f t="shared" si="7"/>
        <v>233187.05142801395</v>
      </c>
      <c r="J85" s="312">
        <f t="shared" si="9"/>
        <v>77215928.576484293</v>
      </c>
      <c r="K85" s="312">
        <f t="shared" si="10"/>
        <v>76982741.525056273</v>
      </c>
      <c r="L85" s="312"/>
      <c r="M85" s="243"/>
    </row>
    <row r="86" spans="1:13" s="153" customFormat="1">
      <c r="A86" s="194">
        <v>2</v>
      </c>
      <c r="B86" s="195">
        <v>42063</v>
      </c>
      <c r="C86" s="312">
        <f t="shared" si="11"/>
        <v>28</v>
      </c>
      <c r="D86" s="195"/>
      <c r="E86" s="312"/>
      <c r="F86" s="196">
        <f t="shared" si="8"/>
        <v>3.5665000000000002E-2</v>
      </c>
      <c r="G86" s="188"/>
      <c r="H86" s="192">
        <f>-'LSR Prepaid Bill Credits'!N52</f>
        <v>-502860</v>
      </c>
      <c r="I86" s="312">
        <f t="shared" si="7"/>
        <v>209244.76517411426</v>
      </c>
      <c r="J86" s="312">
        <f t="shared" si="9"/>
        <v>76922313.341658413</v>
      </c>
      <c r="K86" s="312">
        <f t="shared" si="10"/>
        <v>76479881.525056273</v>
      </c>
      <c r="L86" s="312"/>
      <c r="M86" s="243"/>
    </row>
    <row r="87" spans="1:13" s="153" customFormat="1">
      <c r="A87" s="194">
        <v>3</v>
      </c>
      <c r="B87" s="195">
        <v>42094</v>
      </c>
      <c r="C87" s="312">
        <f t="shared" si="11"/>
        <v>31</v>
      </c>
      <c r="D87" s="195"/>
      <c r="E87" s="312"/>
      <c r="F87" s="196">
        <f t="shared" si="8"/>
        <v>3.5665000000000002E-2</v>
      </c>
      <c r="G87" s="188"/>
      <c r="H87" s="192">
        <f>-'LSR Prepaid Bill Credits'!N53</f>
        <v>-502860</v>
      </c>
      <c r="I87" s="312">
        <f t="shared" si="7"/>
        <v>230140.64288609615</v>
      </c>
      <c r="J87" s="312">
        <f t="shared" si="9"/>
        <v>76649593.984544516</v>
      </c>
      <c r="K87" s="312">
        <f t="shared" si="10"/>
        <v>76649593.984544516</v>
      </c>
      <c r="L87" s="312"/>
      <c r="M87" s="243"/>
    </row>
    <row r="88" spans="1:13" s="153" customFormat="1">
      <c r="A88" s="194">
        <v>1</v>
      </c>
      <c r="B88" s="195">
        <v>42124</v>
      </c>
      <c r="C88" s="312">
        <f t="shared" si="11"/>
        <v>30</v>
      </c>
      <c r="D88" s="195"/>
      <c r="E88" s="312"/>
      <c r="F88" s="196">
        <f t="shared" si="8"/>
        <v>3.5665000000000002E-2</v>
      </c>
      <c r="G88" s="188"/>
      <c r="H88" s="192">
        <f>-'LSR Prepaid Bill Credits'!N54</f>
        <v>-502860</v>
      </c>
      <c r="I88" s="312">
        <f t="shared" si="7"/>
        <v>223214.24116921483</v>
      </c>
      <c r="J88" s="312">
        <f t="shared" si="9"/>
        <v>76369948.22571373</v>
      </c>
      <c r="K88" s="312">
        <f t="shared" si="10"/>
        <v>76146733.984544516</v>
      </c>
      <c r="L88" s="312"/>
      <c r="M88" s="243"/>
    </row>
    <row r="89" spans="1:13" s="153" customFormat="1">
      <c r="A89" s="194">
        <v>2</v>
      </c>
      <c r="B89" s="195">
        <v>42155</v>
      </c>
      <c r="C89" s="312">
        <f t="shared" si="11"/>
        <v>31</v>
      </c>
      <c r="D89" s="195"/>
      <c r="E89" s="312"/>
      <c r="F89" s="196">
        <f t="shared" si="8"/>
        <v>3.5665000000000002E-2</v>
      </c>
      <c r="G89" s="188"/>
      <c r="H89" s="192">
        <f>-'LSR Prepaid Bill Credits'!N55</f>
        <v>-502860</v>
      </c>
      <c r="I89" s="312">
        <f t="shared" si="7"/>
        <v>229131.51160389639</v>
      </c>
      <c r="J89" s="312">
        <f t="shared" si="9"/>
        <v>76096219.737317622</v>
      </c>
      <c r="K89" s="312">
        <f t="shared" si="10"/>
        <v>75643873.984544516</v>
      </c>
      <c r="L89" s="312"/>
      <c r="M89" s="243"/>
    </row>
    <row r="90" spans="1:13" s="153" customFormat="1">
      <c r="A90" s="194">
        <v>3</v>
      </c>
      <c r="B90" s="195">
        <v>42185</v>
      </c>
      <c r="C90" s="312">
        <f t="shared" si="11"/>
        <v>30</v>
      </c>
      <c r="D90" s="195"/>
      <c r="E90" s="312"/>
      <c r="F90" s="196">
        <f t="shared" si="8"/>
        <v>3.5665000000000002E-2</v>
      </c>
      <c r="G90" s="188"/>
      <c r="H90" s="192">
        <f>-'LSR Prepaid Bill Credits'!N56</f>
        <v>-502860</v>
      </c>
      <c r="I90" s="312">
        <f t="shared" si="7"/>
        <v>220266.10387058469</v>
      </c>
      <c r="J90" s="312">
        <f t="shared" si="9"/>
        <v>75813625.841188207</v>
      </c>
      <c r="K90" s="312">
        <f t="shared" si="10"/>
        <v>75813625.841188207</v>
      </c>
      <c r="L90" s="312"/>
      <c r="M90" s="243"/>
    </row>
    <row r="91" spans="1:13" s="153" customFormat="1">
      <c r="A91" s="194">
        <v>1</v>
      </c>
      <c r="B91" s="195">
        <v>42216</v>
      </c>
      <c r="C91" s="312">
        <f t="shared" si="11"/>
        <v>31</v>
      </c>
      <c r="D91" s="195"/>
      <c r="E91" s="312"/>
      <c r="F91" s="196">
        <f t="shared" si="8"/>
        <v>3.5665000000000002E-2</v>
      </c>
      <c r="G91" s="188"/>
      <c r="H91" s="192">
        <f>-'LSR Prepaid Bill Credits'!N57</f>
        <v>-502860</v>
      </c>
      <c r="I91" s="312">
        <f t="shared" si="7"/>
        <v>228122.49965891862</v>
      </c>
      <c r="J91" s="312">
        <f t="shared" si="9"/>
        <v>75538888.34084712</v>
      </c>
      <c r="K91" s="312">
        <f t="shared" si="10"/>
        <v>75310765.841188207</v>
      </c>
      <c r="L91" s="312"/>
      <c r="M91" s="243"/>
    </row>
    <row r="92" spans="1:13" s="153" customFormat="1">
      <c r="A92" s="194">
        <v>2</v>
      </c>
      <c r="B92" s="195">
        <v>42247</v>
      </c>
      <c r="C92" s="312">
        <f t="shared" si="11"/>
        <v>31</v>
      </c>
      <c r="D92" s="195"/>
      <c r="E92" s="312"/>
      <c r="F92" s="196">
        <f t="shared" si="8"/>
        <v>3.5665000000000002E-2</v>
      </c>
      <c r="G92" s="188"/>
      <c r="H92" s="192">
        <f>-'LSR Prepaid Bill Credits'!N58</f>
        <v>-502860</v>
      </c>
      <c r="I92" s="312">
        <f t="shared" si="7"/>
        <v>226599.29538795972</v>
      </c>
      <c r="J92" s="312">
        <f t="shared" si="9"/>
        <v>75262627.636235073</v>
      </c>
      <c r="K92" s="312">
        <f t="shared" si="10"/>
        <v>74807905.841188207</v>
      </c>
      <c r="L92" s="312"/>
      <c r="M92" s="243"/>
    </row>
    <row r="93" spans="1:13" s="153" customFormat="1">
      <c r="A93" s="194">
        <v>3</v>
      </c>
      <c r="B93" s="195">
        <v>42277</v>
      </c>
      <c r="C93" s="312">
        <f t="shared" si="11"/>
        <v>30</v>
      </c>
      <c r="D93" s="195"/>
      <c r="E93" s="312"/>
      <c r="F93" s="196">
        <f t="shared" si="8"/>
        <v>3.5665000000000002E-2</v>
      </c>
      <c r="G93" s="188"/>
      <c r="H93" s="192">
        <f>-'LSR Prepaid Bill Credits'!N59</f>
        <v>-502860</v>
      </c>
      <c r="I93" s="312">
        <f t="shared" si="7"/>
        <v>217815.57204871048</v>
      </c>
      <c r="J93" s="312">
        <f t="shared" si="9"/>
        <v>74977583.208283782</v>
      </c>
      <c r="K93" s="312">
        <f t="shared" si="10"/>
        <v>74977583.208283782</v>
      </c>
      <c r="L93" s="312"/>
      <c r="M93" s="243"/>
    </row>
    <row r="94" spans="1:13" s="153" customFormat="1">
      <c r="A94" s="194">
        <v>1</v>
      </c>
      <c r="B94" s="195">
        <v>42308</v>
      </c>
      <c r="C94" s="312">
        <f t="shared" si="11"/>
        <v>31</v>
      </c>
      <c r="D94" s="195"/>
      <c r="E94" s="312"/>
      <c r="F94" s="196">
        <f t="shared" si="8"/>
        <v>3.5665000000000002E-2</v>
      </c>
      <c r="G94" s="188"/>
      <c r="H94" s="192">
        <f>-'LSR Prepaid Bill Credits'!N60</f>
        <v>-502860</v>
      </c>
      <c r="I94" s="312">
        <f t="shared" si="7"/>
        <v>225590.05780801829</v>
      </c>
      <c r="J94" s="312">
        <f t="shared" si="9"/>
        <v>74700313.266091794</v>
      </c>
      <c r="K94" s="312">
        <f t="shared" ref="K94:K125" si="12">IF(A94=3,J94,IF(A94=1,J94-I94,J94-I94-I93))</f>
        <v>74474723.208283782</v>
      </c>
      <c r="L94" s="312"/>
      <c r="M94" s="243"/>
    </row>
    <row r="95" spans="1:13" s="153" customFormat="1">
      <c r="A95" s="194">
        <v>2</v>
      </c>
      <c r="B95" s="195">
        <v>42338</v>
      </c>
      <c r="C95" s="312">
        <f t="shared" si="11"/>
        <v>30</v>
      </c>
      <c r="D95" s="195"/>
      <c r="E95" s="312"/>
      <c r="F95" s="196">
        <f t="shared" si="8"/>
        <v>3.5665000000000002E-2</v>
      </c>
      <c r="G95" s="188"/>
      <c r="H95" s="192">
        <f>-'LSR Prepaid Bill Credits'!N61</f>
        <v>-506260</v>
      </c>
      <c r="I95" s="312">
        <f t="shared" ref="I95:I158" si="13">(((K94+H95)*C95)+(G95*E95))*(F95/365)</f>
        <v>216828.92386220064</v>
      </c>
      <c r="J95" s="312">
        <f t="shared" si="9"/>
        <v>74410882.189953998</v>
      </c>
      <c r="K95" s="312">
        <f t="shared" si="12"/>
        <v>73968463.208283782</v>
      </c>
      <c r="L95" s="312"/>
      <c r="M95" s="243"/>
    </row>
    <row r="96" spans="1:13" s="153" customFormat="1">
      <c r="A96" s="194">
        <v>3</v>
      </c>
      <c r="B96" s="195">
        <v>42369</v>
      </c>
      <c r="C96" s="312">
        <f t="shared" si="11"/>
        <v>31</v>
      </c>
      <c r="D96" s="195"/>
      <c r="E96" s="312"/>
      <c r="F96" s="196">
        <f t="shared" si="8"/>
        <v>3.5665000000000002E-2</v>
      </c>
      <c r="G96" s="188"/>
      <c r="H96" s="192">
        <f>-'LSR Prepaid Bill Credits'!N62</f>
        <v>-506260</v>
      </c>
      <c r="I96" s="312">
        <f t="shared" si="13"/>
        <v>222523.05150719636</v>
      </c>
      <c r="J96" s="312">
        <f t="shared" si="9"/>
        <v>74127145.241461188</v>
      </c>
      <c r="K96" s="312">
        <f t="shared" si="12"/>
        <v>74127145.241461188</v>
      </c>
      <c r="L96" s="312"/>
      <c r="M96" s="243"/>
    </row>
    <row r="97" spans="1:13" s="153" customFormat="1">
      <c r="A97" s="194">
        <v>1</v>
      </c>
      <c r="B97" s="195">
        <v>42400</v>
      </c>
      <c r="C97" s="312">
        <f t="shared" si="11"/>
        <v>31</v>
      </c>
      <c r="D97" s="195"/>
      <c r="E97" s="312"/>
      <c r="F97" s="196">
        <f t="shared" ref="F97:F160" si="14">F96</f>
        <v>3.5665000000000002E-2</v>
      </c>
      <c r="G97" s="188"/>
      <c r="H97" s="192">
        <f>-'LSR Prepaid Bill Credits'!N63</f>
        <v>-506260</v>
      </c>
      <c r="I97" s="312">
        <f>(((K96+H97)*C97)+(G97*E97))*(F97/365)</f>
        <v>223003.71242804962</v>
      </c>
      <c r="J97" s="312">
        <f t="shared" si="9"/>
        <v>73843888.953889236</v>
      </c>
      <c r="K97" s="312">
        <f t="shared" si="12"/>
        <v>73620885.241461188</v>
      </c>
      <c r="L97" s="312"/>
      <c r="M97" s="243"/>
    </row>
    <row r="98" spans="1:13" s="153" customFormat="1">
      <c r="A98" s="194">
        <v>2</v>
      </c>
      <c r="B98" s="195">
        <v>42429</v>
      </c>
      <c r="C98" s="312">
        <f t="shared" si="11"/>
        <v>29</v>
      </c>
      <c r="D98" s="195"/>
      <c r="E98" s="312"/>
      <c r="F98" s="196">
        <f t="shared" si="14"/>
        <v>3.5665000000000002E-2</v>
      </c>
      <c r="G98" s="188"/>
      <c r="H98" s="192">
        <f>-'LSR Prepaid Bill Credits'!N64</f>
        <v>-506260</v>
      </c>
      <c r="I98" s="312">
        <f t="shared" si="13"/>
        <v>207181.80867908135</v>
      </c>
      <c r="J98" s="312">
        <f t="shared" si="9"/>
        <v>73544810.76256831</v>
      </c>
      <c r="K98" s="312">
        <f t="shared" si="12"/>
        <v>73114625.241461188</v>
      </c>
      <c r="L98" s="312"/>
      <c r="M98" s="243"/>
    </row>
    <row r="99" spans="1:13" s="153" customFormat="1">
      <c r="A99" s="194">
        <v>3</v>
      </c>
      <c r="B99" s="195">
        <v>42460</v>
      </c>
      <c r="C99" s="312">
        <f t="shared" si="11"/>
        <v>31</v>
      </c>
      <c r="D99" s="195"/>
      <c r="E99" s="312"/>
      <c r="F99" s="196">
        <f t="shared" si="14"/>
        <v>3.5665000000000002E-2</v>
      </c>
      <c r="G99" s="188"/>
      <c r="H99" s="192">
        <f>-'LSR Prepaid Bill Credits'!N65</f>
        <v>-506260</v>
      </c>
      <c r="I99" s="312">
        <f t="shared" si="13"/>
        <v>219936.70612722772</v>
      </c>
      <c r="J99" s="312">
        <f t="shared" si="9"/>
        <v>73258487.468695536</v>
      </c>
      <c r="K99" s="312">
        <f t="shared" si="12"/>
        <v>73258487.468695536</v>
      </c>
      <c r="L99" s="312"/>
      <c r="M99" s="243"/>
    </row>
    <row r="100" spans="1:13" s="153" customFormat="1">
      <c r="A100" s="194">
        <v>1</v>
      </c>
      <c r="B100" s="195">
        <v>42490</v>
      </c>
      <c r="C100" s="312">
        <f t="shared" si="11"/>
        <v>30</v>
      </c>
      <c r="D100" s="195"/>
      <c r="E100" s="312"/>
      <c r="F100" s="196">
        <f t="shared" si="14"/>
        <v>3.5665000000000002E-2</v>
      </c>
      <c r="G100" s="188"/>
      <c r="H100" s="192">
        <f>-'LSR Prepaid Bill Credits'!N66</f>
        <v>-506260</v>
      </c>
      <c r="I100" s="312">
        <f>(((K99+H100)*C100)+(G100*E100))*(F100/365)</f>
        <v>213263.68706885146</v>
      </c>
      <c r="J100" s="312">
        <f>J99+G100+H100+I100</f>
        <v>72965491.155764386</v>
      </c>
      <c r="K100" s="312">
        <f t="shared" si="12"/>
        <v>72752227.468695536</v>
      </c>
      <c r="L100" s="312"/>
      <c r="M100" s="243"/>
    </row>
    <row r="101" spans="1:13" s="153" customFormat="1">
      <c r="A101" s="194">
        <v>2</v>
      </c>
      <c r="B101" s="195">
        <v>42521</v>
      </c>
      <c r="C101" s="312">
        <f t="shared" si="11"/>
        <v>31</v>
      </c>
      <c r="D101" s="195"/>
      <c r="E101" s="312"/>
      <c r="F101" s="196">
        <f t="shared" si="14"/>
        <v>3.5665000000000002E-2</v>
      </c>
      <c r="G101" s="188"/>
      <c r="H101" s="192">
        <f>-'LSR Prepaid Bill Credits'!N67</f>
        <v>-506260</v>
      </c>
      <c r="I101" s="312">
        <f t="shared" si="13"/>
        <v>218838.97348740225</v>
      </c>
      <c r="J101" s="312">
        <f t="shared" si="9"/>
        <v>72678070.129251793</v>
      </c>
      <c r="K101" s="312">
        <f t="shared" si="12"/>
        <v>72245967.468695536</v>
      </c>
      <c r="L101" s="312"/>
      <c r="M101" s="243"/>
    </row>
    <row r="102" spans="1:13" s="153" customFormat="1">
      <c r="A102" s="194">
        <v>3</v>
      </c>
      <c r="B102" s="195">
        <v>42551</v>
      </c>
      <c r="C102" s="312">
        <f t="shared" si="11"/>
        <v>30</v>
      </c>
      <c r="D102" s="195"/>
      <c r="E102" s="312"/>
      <c r="F102" s="196">
        <f t="shared" si="14"/>
        <v>3.5665000000000002E-2</v>
      </c>
      <c r="G102" s="188"/>
      <c r="H102" s="192">
        <f>-'LSR Prepaid Bill Credits'!N68</f>
        <v>-506260</v>
      </c>
      <c r="I102" s="312">
        <f t="shared" si="13"/>
        <v>210295.61645515283</v>
      </c>
      <c r="J102" s="312">
        <f t="shared" si="9"/>
        <v>72382105.745706946</v>
      </c>
      <c r="K102" s="312">
        <f t="shared" si="12"/>
        <v>72382105.745706946</v>
      </c>
      <c r="L102" s="312"/>
      <c r="M102" s="243"/>
    </row>
    <row r="103" spans="1:13" s="153" customFormat="1">
      <c r="A103" s="194">
        <v>1</v>
      </c>
      <c r="B103" s="195">
        <v>42582</v>
      </c>
      <c r="C103" s="312">
        <f t="shared" si="11"/>
        <v>31</v>
      </c>
      <c r="D103" s="195"/>
      <c r="E103" s="312"/>
      <c r="F103" s="196">
        <f t="shared" si="14"/>
        <v>3.5665000000000002E-2</v>
      </c>
      <c r="G103" s="188"/>
      <c r="H103" s="192">
        <f>-'LSR Prepaid Bill Credits'!N69</f>
        <v>-506260</v>
      </c>
      <c r="I103" s="312">
        <f t="shared" si="13"/>
        <v>217717.84436750627</v>
      </c>
      <c r="J103" s="312">
        <f t="shared" si="9"/>
        <v>72093563.59007445</v>
      </c>
      <c r="K103" s="312">
        <f t="shared" si="12"/>
        <v>71875845.745706946</v>
      </c>
      <c r="L103" s="312"/>
      <c r="M103" s="243"/>
    </row>
    <row r="104" spans="1:13" s="153" customFormat="1">
      <c r="A104" s="194">
        <v>2</v>
      </c>
      <c r="B104" s="195">
        <v>42613</v>
      </c>
      <c r="C104" s="312">
        <f t="shared" si="11"/>
        <v>31</v>
      </c>
      <c r="D104" s="195"/>
      <c r="E104" s="312"/>
      <c r="F104" s="196">
        <f t="shared" si="14"/>
        <v>3.5665000000000002E-2</v>
      </c>
      <c r="G104" s="188"/>
      <c r="H104" s="192">
        <f>-'LSR Prepaid Bill Credits'!N70</f>
        <v>-506260</v>
      </c>
      <c r="I104" s="312">
        <f t="shared" si="13"/>
        <v>216184.34121709532</v>
      </c>
      <c r="J104" s="312">
        <f t="shared" si="9"/>
        <v>71803487.93129155</v>
      </c>
      <c r="K104" s="312">
        <f t="shared" si="12"/>
        <v>71369585.745706946</v>
      </c>
      <c r="L104" s="312"/>
      <c r="M104" s="243"/>
    </row>
    <row r="105" spans="1:13" s="153" customFormat="1">
      <c r="A105" s="194">
        <v>3</v>
      </c>
      <c r="B105" s="195">
        <v>42643</v>
      </c>
      <c r="C105" s="312">
        <f t="shared" si="11"/>
        <v>30</v>
      </c>
      <c r="D105" s="195"/>
      <c r="E105" s="312"/>
      <c r="F105" s="196">
        <f t="shared" si="14"/>
        <v>3.5665000000000002E-2</v>
      </c>
      <c r="G105" s="188"/>
      <c r="H105" s="192">
        <f>-'LSR Prepaid Bill Credits'!N71</f>
        <v>-506260</v>
      </c>
      <c r="I105" s="312">
        <f>(((K104+H105)*C105)+(G105*E105))*(F105/365)</f>
        <v>207726.61748388808</v>
      </c>
      <c r="J105" s="312">
        <f t="shared" si="9"/>
        <v>71504954.548775434</v>
      </c>
      <c r="K105" s="312">
        <f t="shared" si="12"/>
        <v>71504954.548775434</v>
      </c>
      <c r="L105" s="312"/>
      <c r="M105" s="243"/>
    </row>
    <row r="106" spans="1:13" s="153" customFormat="1">
      <c r="A106" s="194">
        <v>1</v>
      </c>
      <c r="B106" s="195">
        <v>42674</v>
      </c>
      <c r="C106" s="312">
        <f t="shared" si="11"/>
        <v>31</v>
      </c>
      <c r="D106" s="195"/>
      <c r="E106" s="312"/>
      <c r="F106" s="196">
        <f t="shared" si="14"/>
        <v>3.5665000000000002E-2</v>
      </c>
      <c r="G106" s="188"/>
      <c r="H106" s="192">
        <f>-'LSR Prepaid Bill Credits'!L72</f>
        <v>-506260</v>
      </c>
      <c r="I106" s="312">
        <f t="shared" si="13"/>
        <v>215060.88129738177</v>
      </c>
      <c r="J106" s="312">
        <f t="shared" si="9"/>
        <v>71213755.430072814</v>
      </c>
      <c r="K106" s="312">
        <f t="shared" si="12"/>
        <v>70998694.548775434</v>
      </c>
      <c r="L106" s="312"/>
      <c r="M106" s="243"/>
    </row>
    <row r="107" spans="1:13" s="153" customFormat="1">
      <c r="A107" s="194">
        <v>2</v>
      </c>
      <c r="B107" s="195">
        <v>42704</v>
      </c>
      <c r="C107" s="312">
        <f t="shared" si="11"/>
        <v>30</v>
      </c>
      <c r="D107" s="195"/>
      <c r="E107" s="312"/>
      <c r="F107" s="196">
        <f t="shared" si="14"/>
        <v>3.5665000000000002E-2</v>
      </c>
      <c r="G107" s="188"/>
      <c r="H107" s="192">
        <f>-'LSR Prepaid Bill Credits'!L73</f>
        <v>-506260</v>
      </c>
      <c r="I107" s="312">
        <f t="shared" si="13"/>
        <v>206639.39820674597</v>
      </c>
      <c r="J107" s="312">
        <f t="shared" si="9"/>
        <v>70914134.828279555</v>
      </c>
      <c r="K107" s="312">
        <f t="shared" si="12"/>
        <v>70492434.548775434</v>
      </c>
      <c r="L107" s="312"/>
      <c r="M107" s="243"/>
    </row>
    <row r="108" spans="1:13" s="153" customFormat="1">
      <c r="A108" s="194">
        <v>3</v>
      </c>
      <c r="B108" s="195">
        <v>42735</v>
      </c>
      <c r="C108" s="312">
        <f t="shared" si="11"/>
        <v>31</v>
      </c>
      <c r="D108" s="195"/>
      <c r="E108" s="312"/>
      <c r="F108" s="196">
        <f t="shared" si="14"/>
        <v>3.5665000000000002E-2</v>
      </c>
      <c r="G108" s="188"/>
      <c r="H108" s="192">
        <f>-'LSR Prepaid Bill Credits'!L74</f>
        <v>-506260</v>
      </c>
      <c r="I108" s="312">
        <f t="shared" si="13"/>
        <v>211993.87499655987</v>
      </c>
      <c r="J108" s="312">
        <f t="shared" si="9"/>
        <v>70619868.703276113</v>
      </c>
      <c r="K108" s="312">
        <f>IF(A108=3,J108,IF(A108=1,J108-I108,J108-I108-I107))</f>
        <v>70619868.703276113</v>
      </c>
      <c r="L108" s="312"/>
      <c r="M108" s="243"/>
    </row>
    <row r="109" spans="1:13" s="153" customFormat="1">
      <c r="A109" s="194">
        <v>1</v>
      </c>
      <c r="B109" s="195">
        <v>42766</v>
      </c>
      <c r="C109" s="312">
        <f t="shared" si="11"/>
        <v>31</v>
      </c>
      <c r="D109" s="195"/>
      <c r="E109" s="312"/>
      <c r="F109" s="196">
        <f t="shared" si="14"/>
        <v>3.5665000000000002E-2</v>
      </c>
      <c r="G109" s="188"/>
      <c r="H109" s="192">
        <f>-'LSR Prepaid Bill Credits'!L75</f>
        <v>-506260</v>
      </c>
      <c r="I109" s="312">
        <f t="shared" si="13"/>
        <v>212379.88352458255</v>
      </c>
      <c r="J109" s="312">
        <f t="shared" ref="J109:J172" si="15">J108+G109+H109+I109</f>
        <v>70325988.586800694</v>
      </c>
      <c r="K109" s="312">
        <f t="shared" si="12"/>
        <v>70113608.703276113</v>
      </c>
      <c r="L109" s="312"/>
      <c r="M109" s="243"/>
    </row>
    <row r="110" spans="1:13" s="153" customFormat="1">
      <c r="A110" s="194">
        <v>2</v>
      </c>
      <c r="B110" s="195">
        <v>42794</v>
      </c>
      <c r="C110" s="312">
        <f t="shared" si="11"/>
        <v>28</v>
      </c>
      <c r="D110" s="195"/>
      <c r="E110" s="312"/>
      <c r="F110" s="196">
        <f t="shared" si="14"/>
        <v>3.5665000000000002E-2</v>
      </c>
      <c r="G110" s="188"/>
      <c r="H110" s="192">
        <f>-'LSR Prepaid Bill Credits'!L76</f>
        <v>-506260</v>
      </c>
      <c r="I110" s="312">
        <f t="shared" si="13"/>
        <v>190441.89195086466</v>
      </c>
      <c r="J110" s="312">
        <f t="shared" si="15"/>
        <v>70010170.478751555</v>
      </c>
      <c r="K110" s="312">
        <f t="shared" si="12"/>
        <v>69607348.703276113</v>
      </c>
      <c r="L110" s="312"/>
      <c r="M110" s="243"/>
    </row>
    <row r="111" spans="1:13" s="153" customFormat="1">
      <c r="A111" s="194">
        <v>3</v>
      </c>
      <c r="B111" s="195">
        <v>42825</v>
      </c>
      <c r="C111" s="312">
        <f t="shared" si="11"/>
        <v>31</v>
      </c>
      <c r="D111" s="195"/>
      <c r="E111" s="312"/>
      <c r="F111" s="196">
        <f t="shared" si="14"/>
        <v>3.5665000000000002E-2</v>
      </c>
      <c r="G111" s="188"/>
      <c r="H111" s="192">
        <f>-'LSR Prepaid Bill Credits'!L77</f>
        <v>-506260</v>
      </c>
      <c r="I111" s="312">
        <f t="shared" si="13"/>
        <v>209312.87722376062</v>
      </c>
      <c r="J111" s="312">
        <f t="shared" si="15"/>
        <v>69713223.355975315</v>
      </c>
      <c r="K111" s="312">
        <f t="shared" si="12"/>
        <v>69713223.355975315</v>
      </c>
      <c r="L111" s="312"/>
      <c r="M111" s="243"/>
    </row>
    <row r="112" spans="1:13" s="153" customFormat="1">
      <c r="A112" s="194">
        <v>1</v>
      </c>
      <c r="B112" s="195">
        <v>42855</v>
      </c>
      <c r="C112" s="312">
        <f t="shared" si="11"/>
        <v>30</v>
      </c>
      <c r="D112" s="195"/>
      <c r="E112" s="312"/>
      <c r="F112" s="196">
        <f t="shared" si="14"/>
        <v>3.5665000000000002E-2</v>
      </c>
      <c r="G112" s="188"/>
      <c r="H112" s="192">
        <f>-'LSR Prepaid Bill Credits'!L78</f>
        <v>-506260</v>
      </c>
      <c r="I112" s="312">
        <f t="shared" si="13"/>
        <v>202871.20669239946</v>
      </c>
      <c r="J112" s="312">
        <f t="shared" si="15"/>
        <v>69409834.562667713</v>
      </c>
      <c r="K112" s="312">
        <f t="shared" si="12"/>
        <v>69206963.355975315</v>
      </c>
      <c r="L112" s="312"/>
      <c r="M112" s="243"/>
    </row>
    <row r="113" spans="1:13" s="153" customFormat="1">
      <c r="A113" s="194">
        <v>2</v>
      </c>
      <c r="B113" s="195">
        <v>42886</v>
      </c>
      <c r="C113" s="312">
        <f t="shared" si="11"/>
        <v>31</v>
      </c>
      <c r="D113" s="195"/>
      <c r="E113" s="312"/>
      <c r="F113" s="196">
        <f t="shared" si="14"/>
        <v>3.5665000000000002E-2</v>
      </c>
      <c r="G113" s="188"/>
      <c r="H113" s="192">
        <f>-'LSR Prepaid Bill Credits'!L79</f>
        <v>-506260</v>
      </c>
      <c r="I113" s="312">
        <f t="shared" si="13"/>
        <v>208100.07709840179</v>
      </c>
      <c r="J113" s="312">
        <f t="shared" si="15"/>
        <v>69111674.639766112</v>
      </c>
      <c r="K113" s="312">
        <f t="shared" si="12"/>
        <v>68700703.355975315</v>
      </c>
      <c r="L113" s="312"/>
      <c r="M113" s="243"/>
    </row>
    <row r="114" spans="1:13" s="153" customFormat="1">
      <c r="A114" s="194">
        <v>3</v>
      </c>
      <c r="B114" s="195">
        <v>42916</v>
      </c>
      <c r="C114" s="312">
        <f t="shared" si="11"/>
        <v>30</v>
      </c>
      <c r="D114" s="195"/>
      <c r="E114" s="312"/>
      <c r="F114" s="196">
        <f t="shared" si="14"/>
        <v>3.5665000000000002E-2</v>
      </c>
      <c r="G114" s="188"/>
      <c r="H114" s="192">
        <f>-'LSR Prepaid Bill Credits'!L80</f>
        <v>-506260</v>
      </c>
      <c r="I114" s="312">
        <f t="shared" si="13"/>
        <v>199903.1360787008</v>
      </c>
      <c r="J114" s="312">
        <f t="shared" si="15"/>
        <v>68805317.775844812</v>
      </c>
      <c r="K114" s="312">
        <f t="shared" si="12"/>
        <v>68805317.775844812</v>
      </c>
      <c r="L114" s="312"/>
      <c r="M114" s="243"/>
    </row>
    <row r="115" spans="1:13" s="153" customFormat="1">
      <c r="A115" s="194">
        <v>1</v>
      </c>
      <c r="B115" s="195">
        <v>42947</v>
      </c>
      <c r="C115" s="312">
        <f t="shared" si="11"/>
        <v>31</v>
      </c>
      <c r="D115" s="195"/>
      <c r="E115" s="312"/>
      <c r="F115" s="196">
        <f t="shared" si="14"/>
        <v>3.5665000000000002E-2</v>
      </c>
      <c r="G115" s="188"/>
      <c r="H115" s="192">
        <f>-'LSR Prepaid Bill Credits'!L81</f>
        <v>-506260</v>
      </c>
      <c r="I115" s="312">
        <f t="shared" si="13"/>
        <v>206883.45962422102</v>
      </c>
      <c r="J115" s="312">
        <f t="shared" si="15"/>
        <v>68505941.235469028</v>
      </c>
      <c r="K115" s="312">
        <f t="shared" si="12"/>
        <v>68299057.775844812</v>
      </c>
      <c r="L115" s="312"/>
      <c r="M115" s="243"/>
    </row>
    <row r="116" spans="1:13">
      <c r="A116" s="187">
        <v>2</v>
      </c>
      <c r="B116" s="168">
        <v>42978</v>
      </c>
      <c r="C116" s="138">
        <f t="shared" si="11"/>
        <v>31</v>
      </c>
      <c r="F116" s="196">
        <f t="shared" si="14"/>
        <v>3.5665000000000002E-2</v>
      </c>
      <c r="G116" s="188"/>
      <c r="H116" s="192">
        <f>-'LSR Prepaid Bill Credits'!L82</f>
        <v>-506260</v>
      </c>
      <c r="I116" s="154">
        <f t="shared" si="13"/>
        <v>205349.95647381005</v>
      </c>
      <c r="J116" s="154">
        <f t="shared" si="15"/>
        <v>68205031.191942841</v>
      </c>
      <c r="K116" s="138">
        <f t="shared" si="12"/>
        <v>67792797.775844812</v>
      </c>
      <c r="L116" s="138"/>
      <c r="M116" s="243"/>
    </row>
    <row r="117" spans="1:13">
      <c r="A117" s="187">
        <v>3</v>
      </c>
      <c r="B117" s="168">
        <v>43008</v>
      </c>
      <c r="C117" s="138">
        <f t="shared" si="11"/>
        <v>30</v>
      </c>
      <c r="F117" s="196">
        <f t="shared" si="14"/>
        <v>3.5665000000000002E-2</v>
      </c>
      <c r="G117" s="188"/>
      <c r="H117" s="192">
        <f>-'LSR Prepaid Bill Credits'!L83</f>
        <v>-506260</v>
      </c>
      <c r="I117" s="154">
        <f t="shared" si="13"/>
        <v>197241.72902264429</v>
      </c>
      <c r="J117" s="154">
        <f t="shared" si="15"/>
        <v>67896012.920965478</v>
      </c>
      <c r="K117" s="138">
        <f t="shared" si="12"/>
        <v>67896012.920965478</v>
      </c>
      <c r="L117" s="138"/>
      <c r="M117" s="243"/>
    </row>
    <row r="118" spans="1:13">
      <c r="A118" s="187">
        <v>1</v>
      </c>
      <c r="B118" s="168">
        <v>43039</v>
      </c>
      <c r="C118" s="138">
        <f t="shared" si="11"/>
        <v>31</v>
      </c>
      <c r="F118" s="196">
        <v>3.56618E-2</v>
      </c>
      <c r="G118" s="188"/>
      <c r="H118" s="192">
        <f>-'LSR Prepaid Bill Credits'!L84</f>
        <v>-500140</v>
      </c>
      <c r="I118" s="154">
        <f t="shared" si="13"/>
        <v>204129.32155868353</v>
      </c>
      <c r="J118" s="154">
        <f t="shared" si="15"/>
        <v>67600002.242524162</v>
      </c>
      <c r="K118" s="138">
        <f t="shared" si="12"/>
        <v>67395872.920965478</v>
      </c>
      <c r="L118" s="138"/>
      <c r="M118" s="243"/>
    </row>
    <row r="119" spans="1:13">
      <c r="A119" s="187">
        <v>2</v>
      </c>
      <c r="B119" s="168">
        <v>43069</v>
      </c>
      <c r="C119" s="138">
        <f t="shared" si="11"/>
        <v>30</v>
      </c>
      <c r="F119" s="196">
        <f t="shared" si="14"/>
        <v>3.56618E-2</v>
      </c>
      <c r="G119" s="188"/>
      <c r="H119" s="192">
        <f>-'LSR Prepaid Bill Credits'!L85</f>
        <v>-500140</v>
      </c>
      <c r="I119" s="154">
        <f t="shared" si="13"/>
        <v>196078.54095459342</v>
      </c>
      <c r="J119" s="154">
        <f t="shared" si="15"/>
        <v>67295940.783478752</v>
      </c>
      <c r="K119" s="138">
        <f t="shared" si="12"/>
        <v>66895732.920965478</v>
      </c>
      <c r="L119" s="138"/>
      <c r="M119" s="243"/>
    </row>
    <row r="120" spans="1:13">
      <c r="A120" s="187">
        <v>3</v>
      </c>
      <c r="B120" s="168">
        <v>43100</v>
      </c>
      <c r="C120" s="138">
        <f t="shared" si="11"/>
        <v>31</v>
      </c>
      <c r="F120" s="196">
        <f t="shared" si="14"/>
        <v>3.56618E-2</v>
      </c>
      <c r="G120" s="188"/>
      <c r="H120" s="192">
        <f>-'LSR Prepaid Bill Credits'!L86</f>
        <v>-500140</v>
      </c>
      <c r="I120" s="154">
        <f t="shared" si="13"/>
        <v>201099.66308080955</v>
      </c>
      <c r="J120" s="154">
        <f t="shared" si="15"/>
        <v>66996900.446559563</v>
      </c>
      <c r="K120" s="138">
        <f t="shared" si="12"/>
        <v>66996900.446559563</v>
      </c>
      <c r="L120" s="138"/>
      <c r="M120" s="243"/>
    </row>
    <row r="121" spans="1:13">
      <c r="A121" s="187">
        <v>1</v>
      </c>
      <c r="B121" s="168">
        <v>43131</v>
      </c>
      <c r="C121" s="138">
        <f t="shared" si="11"/>
        <v>31</v>
      </c>
      <c r="F121" s="196">
        <f t="shared" si="14"/>
        <v>3.56618E-2</v>
      </c>
      <c r="G121" s="188"/>
      <c r="H121" s="192">
        <f>-'LSR Prepaid Bill Credits'!L87</f>
        <v>-500140</v>
      </c>
      <c r="I121" s="154">
        <f t="shared" si="13"/>
        <v>201406.08033557987</v>
      </c>
      <c r="J121" s="154">
        <f t="shared" si="15"/>
        <v>66698166.526895143</v>
      </c>
      <c r="K121" s="138">
        <f t="shared" si="12"/>
        <v>66496760.446559563</v>
      </c>
      <c r="L121" s="138"/>
      <c r="M121" s="243"/>
    </row>
    <row r="122" spans="1:13">
      <c r="A122" s="187">
        <v>2</v>
      </c>
      <c r="B122" s="168">
        <v>43159</v>
      </c>
      <c r="C122" s="138">
        <f t="shared" si="11"/>
        <v>28</v>
      </c>
      <c r="F122" s="196">
        <f t="shared" si="14"/>
        <v>3.56618E-2</v>
      </c>
      <c r="G122" s="188"/>
      <c r="H122" s="192">
        <f>-'LSR Prepaid Bill Credits'!L88</f>
        <v>-500140</v>
      </c>
      <c r="I122" s="154">
        <f t="shared" si="13"/>
        <v>180546.93647438713</v>
      </c>
      <c r="J122" s="154">
        <f t="shared" si="15"/>
        <v>66378573.463369533</v>
      </c>
      <c r="K122" s="138">
        <f t="shared" si="12"/>
        <v>65996620.446559563</v>
      </c>
      <c r="L122" s="138"/>
      <c r="M122" s="243"/>
    </row>
    <row r="123" spans="1:13">
      <c r="A123" s="187">
        <v>3</v>
      </c>
      <c r="B123" s="168">
        <v>43190</v>
      </c>
      <c r="C123" s="138">
        <f t="shared" si="11"/>
        <v>31</v>
      </c>
      <c r="F123" s="196">
        <f t="shared" si="14"/>
        <v>3.56618E-2</v>
      </c>
      <c r="G123" s="188"/>
      <c r="H123" s="192">
        <f>-'LSR Prepaid Bill Credits'!L89</f>
        <v>-500140</v>
      </c>
      <c r="I123" s="154">
        <f t="shared" si="13"/>
        <v>198376.42185770589</v>
      </c>
      <c r="J123" s="154">
        <f t="shared" si="15"/>
        <v>66076809.885227241</v>
      </c>
      <c r="K123" s="138">
        <f t="shared" si="12"/>
        <v>66076809.885227241</v>
      </c>
      <c r="L123" s="138"/>
      <c r="M123" s="243"/>
    </row>
    <row r="124" spans="1:13">
      <c r="A124" s="187">
        <v>1</v>
      </c>
      <c r="B124" s="168">
        <v>43220</v>
      </c>
      <c r="C124" s="138">
        <f t="shared" si="11"/>
        <v>30</v>
      </c>
      <c r="F124" s="196">
        <f t="shared" si="14"/>
        <v>3.56618E-2</v>
      </c>
      <c r="G124" s="188"/>
      <c r="H124" s="192">
        <f>-'LSR Prepaid Bill Credits'!L90</f>
        <v>-500140</v>
      </c>
      <c r="I124" s="154">
        <f t="shared" si="13"/>
        <v>192212.22625586277</v>
      </c>
      <c r="J124" s="154">
        <f t="shared" si="15"/>
        <v>65768882.111483105</v>
      </c>
      <c r="K124" s="138">
        <f t="shared" si="12"/>
        <v>65576669.885227241</v>
      </c>
      <c r="L124" s="138"/>
      <c r="M124" s="243"/>
    </row>
    <row r="125" spans="1:13" s="153" customFormat="1">
      <c r="A125" s="194">
        <v>2</v>
      </c>
      <c r="B125" s="195">
        <v>43251</v>
      </c>
      <c r="C125" s="312">
        <f t="shared" si="11"/>
        <v>31</v>
      </c>
      <c r="D125" s="195"/>
      <c r="E125" s="312"/>
      <c r="F125" s="196">
        <f t="shared" si="14"/>
        <v>3.56618E-2</v>
      </c>
      <c r="G125" s="188"/>
      <c r="H125" s="192">
        <f>-'LSR Prepaid Bill Credits'!L91</f>
        <v>-500140</v>
      </c>
      <c r="I125" s="312">
        <f t="shared" si="13"/>
        <v>197104.47122545453</v>
      </c>
      <c r="J125" s="312">
        <f t="shared" si="15"/>
        <v>65465846.58270856</v>
      </c>
      <c r="K125" s="312">
        <f t="shared" si="12"/>
        <v>65076529.885227241</v>
      </c>
      <c r="L125" s="312"/>
      <c r="M125" s="243"/>
    </row>
    <row r="126" spans="1:13" s="153" customFormat="1">
      <c r="A126" s="194">
        <v>3</v>
      </c>
      <c r="B126" s="195">
        <v>43281</v>
      </c>
      <c r="C126" s="312">
        <f t="shared" si="11"/>
        <v>30</v>
      </c>
      <c r="D126" s="195"/>
      <c r="E126" s="312"/>
      <c r="F126" s="196">
        <f t="shared" si="14"/>
        <v>3.56618E-2</v>
      </c>
      <c r="G126" s="188"/>
      <c r="H126" s="192">
        <f>-'LSR Prepaid Bill Credits'!L92</f>
        <v>-500140</v>
      </c>
      <c r="I126" s="312">
        <f t="shared" si="13"/>
        <v>189280.29869662988</v>
      </c>
      <c r="J126" s="312">
        <f t="shared" si="15"/>
        <v>65154986.88140519</v>
      </c>
      <c r="K126" s="312">
        <f t="shared" ref="K126:K157" si="16">IF(A126=3,J126,IF(A126=1,J126-I126,J126-I126-I125))</f>
        <v>65154986.88140519</v>
      </c>
      <c r="L126" s="929"/>
      <c r="M126" s="243"/>
    </row>
    <row r="127" spans="1:13" s="153" customFormat="1">
      <c r="A127" s="194">
        <v>1</v>
      </c>
      <c r="B127" s="195">
        <v>43312</v>
      </c>
      <c r="C127" s="312">
        <f t="shared" si="11"/>
        <v>31</v>
      </c>
      <c r="D127" s="195"/>
      <c r="E127" s="312"/>
      <c r="F127" s="196">
        <f t="shared" si="14"/>
        <v>3.56618E-2</v>
      </c>
      <c r="G127" s="188"/>
      <c r="H127" s="192">
        <f>-'LSR Prepaid Bill Credits'!L93</f>
        <v>-500140</v>
      </c>
      <c r="I127" s="312">
        <f t="shared" si="13"/>
        <v>195827.27335335387</v>
      </c>
      <c r="J127" s="312">
        <f t="shared" si="15"/>
        <v>64850674.154758543</v>
      </c>
      <c r="K127" s="312">
        <f t="shared" si="16"/>
        <v>64654846.88140519</v>
      </c>
      <c r="L127" s="312"/>
      <c r="M127" s="243"/>
    </row>
    <row r="128" spans="1:13" s="153" customFormat="1">
      <c r="A128" s="194">
        <v>2</v>
      </c>
      <c r="B128" s="195">
        <v>43343</v>
      </c>
      <c r="C128" s="312">
        <f t="shared" si="11"/>
        <v>31</v>
      </c>
      <c r="D128" s="195"/>
      <c r="E128" s="312"/>
      <c r="F128" s="196">
        <f t="shared" si="14"/>
        <v>3.56618E-2</v>
      </c>
      <c r="G128" s="188"/>
      <c r="H128" s="192">
        <f>-'LSR Prepaid Bill Credits'!L94</f>
        <v>-500140</v>
      </c>
      <c r="I128" s="312">
        <f t="shared" si="13"/>
        <v>194312.4441144169</v>
      </c>
      <c r="J128" s="312">
        <f t="shared" si="15"/>
        <v>64544846.59887296</v>
      </c>
      <c r="K128" s="312">
        <f t="shared" si="16"/>
        <v>64154706.88140519</v>
      </c>
      <c r="L128" s="312"/>
      <c r="M128" s="243"/>
    </row>
    <row r="129" spans="1:13" s="153" customFormat="1">
      <c r="A129" s="194">
        <v>3</v>
      </c>
      <c r="B129" s="195">
        <v>43373</v>
      </c>
      <c r="C129" s="312">
        <f t="shared" si="11"/>
        <v>30</v>
      </c>
      <c r="D129" s="195"/>
      <c r="E129" s="312"/>
      <c r="F129" s="196">
        <f t="shared" si="14"/>
        <v>3.56618E-2</v>
      </c>
      <c r="G129" s="188"/>
      <c r="H129" s="192">
        <f>-'LSR Prepaid Bill Credits'!L95</f>
        <v>-500140</v>
      </c>
      <c r="I129" s="312">
        <f t="shared" si="13"/>
        <v>186578.33697627086</v>
      </c>
      <c r="J129" s="312">
        <f t="shared" si="15"/>
        <v>64231284.935849227</v>
      </c>
      <c r="K129" s="312">
        <f t="shared" si="16"/>
        <v>64231284.935849227</v>
      </c>
      <c r="L129" s="312"/>
      <c r="M129" s="243"/>
    </row>
    <row r="130" spans="1:13" s="153" customFormat="1">
      <c r="A130" s="194">
        <v>1</v>
      </c>
      <c r="B130" s="195">
        <v>43404</v>
      </c>
      <c r="C130" s="312">
        <f t="shared" si="11"/>
        <v>31</v>
      </c>
      <c r="D130" s="195"/>
      <c r="E130" s="312"/>
      <c r="F130" s="196">
        <f t="shared" si="14"/>
        <v>3.56618E-2</v>
      </c>
      <c r="G130" s="188"/>
      <c r="H130" s="192">
        <f>-'LSR Prepaid Bill Credits'!L96</f>
        <v>-500140</v>
      </c>
      <c r="I130" s="312">
        <f t="shared" si="13"/>
        <v>193029.55528403097</v>
      </c>
      <c r="J130" s="312">
        <f t="shared" si="15"/>
        <v>63924174.491133258</v>
      </c>
      <c r="K130" s="312">
        <f t="shared" si="16"/>
        <v>63731144.935849227</v>
      </c>
      <c r="L130" s="312"/>
      <c r="M130" s="243"/>
    </row>
    <row r="131" spans="1:13" s="153" customFormat="1">
      <c r="A131" s="194">
        <v>2</v>
      </c>
      <c r="B131" s="195">
        <v>43434</v>
      </c>
      <c r="C131" s="312">
        <f t="shared" si="11"/>
        <v>30</v>
      </c>
      <c r="D131" s="195"/>
      <c r="E131" s="312"/>
      <c r="F131" s="196">
        <f t="shared" si="14"/>
        <v>3.56618E-2</v>
      </c>
      <c r="G131" s="188"/>
      <c r="H131" s="192">
        <f>-'LSR Prepaid Bill Credits'!L97</f>
        <v>-500140</v>
      </c>
      <c r="I131" s="312">
        <f t="shared" si="13"/>
        <v>185336.83165654258</v>
      </c>
      <c r="J131" s="312">
        <f t="shared" si="15"/>
        <v>63609371.322789803</v>
      </c>
      <c r="K131" s="312">
        <f t="shared" si="16"/>
        <v>63231004.935849227</v>
      </c>
      <c r="L131" s="312"/>
      <c r="M131" s="243"/>
    </row>
    <row r="132" spans="1:13" s="153" customFormat="1">
      <c r="A132" s="194">
        <v>3</v>
      </c>
      <c r="B132" s="195">
        <v>43465</v>
      </c>
      <c r="C132" s="312">
        <f t="shared" si="11"/>
        <v>31</v>
      </c>
      <c r="D132" s="195"/>
      <c r="E132" s="312"/>
      <c r="F132" s="196">
        <f t="shared" si="14"/>
        <v>3.56618E-2</v>
      </c>
      <c r="G132" s="188"/>
      <c r="H132" s="192">
        <f>-'LSR Prepaid Bill Credits'!L98</f>
        <v>-500140</v>
      </c>
      <c r="I132" s="312">
        <f t="shared" si="13"/>
        <v>189999.89680615702</v>
      </c>
      <c r="J132" s="312">
        <f t="shared" si="15"/>
        <v>63299231.219595961</v>
      </c>
      <c r="K132" s="312">
        <f t="shared" si="16"/>
        <v>63299231.219595961</v>
      </c>
      <c r="L132" s="312"/>
      <c r="M132" s="243"/>
    </row>
    <row r="133" spans="1:13" s="153" customFormat="1">
      <c r="A133" s="194">
        <v>1</v>
      </c>
      <c r="B133" s="195">
        <v>43496</v>
      </c>
      <c r="C133" s="312">
        <f t="shared" si="11"/>
        <v>31</v>
      </c>
      <c r="D133" s="195"/>
      <c r="E133" s="312"/>
      <c r="F133" s="196">
        <f t="shared" si="14"/>
        <v>3.56618E-2</v>
      </c>
      <c r="G133" s="188"/>
      <c r="H133" s="192">
        <f>-'LSR Prepaid Bill Credits'!L99</f>
        <v>-500140</v>
      </c>
      <c r="I133" s="312">
        <f t="shared" si="13"/>
        <v>190206.54128467015</v>
      </c>
      <c r="J133" s="312">
        <f t="shared" si="15"/>
        <v>62989297.760880634</v>
      </c>
      <c r="K133" s="312">
        <f t="shared" si="16"/>
        <v>62799091.219595961</v>
      </c>
      <c r="L133" s="312"/>
      <c r="M133" s="243"/>
    </row>
    <row r="134" spans="1:13" s="153" customFormat="1">
      <c r="A134" s="194">
        <v>2</v>
      </c>
      <c r="B134" s="195">
        <v>43524</v>
      </c>
      <c r="C134" s="312">
        <f t="shared" ref="C134:C197" si="17">DAY(B134)</f>
        <v>28</v>
      </c>
      <c r="D134" s="195"/>
      <c r="E134" s="312"/>
      <c r="F134" s="196">
        <f t="shared" si="14"/>
        <v>3.56618E-2</v>
      </c>
      <c r="G134" s="188"/>
      <c r="H134" s="192">
        <f>-'LSR Prepaid Bill Credits'!L100</f>
        <v>-500140</v>
      </c>
      <c r="I134" s="312">
        <f t="shared" si="13"/>
        <v>170431.22378324287</v>
      </c>
      <c r="J134" s="312">
        <f t="shared" si="15"/>
        <v>62659588.984663874</v>
      </c>
      <c r="K134" s="312">
        <f t="shared" si="16"/>
        <v>62298951.219595961</v>
      </c>
      <c r="L134" s="312"/>
      <c r="M134" s="243"/>
    </row>
    <row r="135" spans="1:13" s="153" customFormat="1">
      <c r="A135" s="194">
        <v>3</v>
      </c>
      <c r="B135" s="195">
        <v>43555</v>
      </c>
      <c r="C135" s="312">
        <f t="shared" si="17"/>
        <v>31</v>
      </c>
      <c r="D135" s="195"/>
      <c r="E135" s="312"/>
      <c r="F135" s="196">
        <f t="shared" si="14"/>
        <v>3.56618E-2</v>
      </c>
      <c r="G135" s="188"/>
      <c r="H135" s="192">
        <f>-'LSR Prepaid Bill Credits'!L101</f>
        <v>-500140</v>
      </c>
      <c r="I135" s="312">
        <f t="shared" si="13"/>
        <v>187176.88280679617</v>
      </c>
      <c r="J135" s="312">
        <f t="shared" si="15"/>
        <v>62346625.867470667</v>
      </c>
      <c r="K135" s="312">
        <f t="shared" si="16"/>
        <v>62346625.867470667</v>
      </c>
      <c r="L135" s="312"/>
      <c r="M135" s="243"/>
    </row>
    <row r="136" spans="1:13" s="153" customFormat="1">
      <c r="A136" s="194">
        <v>1</v>
      </c>
      <c r="B136" s="195">
        <v>43585</v>
      </c>
      <c r="C136" s="312">
        <f t="shared" si="17"/>
        <v>30</v>
      </c>
      <c r="D136" s="195"/>
      <c r="E136" s="312"/>
      <c r="F136" s="196">
        <f t="shared" si="14"/>
        <v>3.56618E-2</v>
      </c>
      <c r="G136" s="188"/>
      <c r="H136" s="192">
        <f>-'LSR Prepaid Bill Credits'!L102</f>
        <v>-500140</v>
      </c>
      <c r="I136" s="312">
        <f t="shared" si="13"/>
        <v>181278.65833221088</v>
      </c>
      <c r="J136" s="312">
        <f t="shared" si="15"/>
        <v>62027764.525802881</v>
      </c>
      <c r="K136" s="312">
        <f t="shared" si="16"/>
        <v>61846485.867470667</v>
      </c>
      <c r="L136" s="312"/>
      <c r="M136" s="243"/>
    </row>
    <row r="137" spans="1:13" s="153" customFormat="1">
      <c r="A137" s="194">
        <v>2</v>
      </c>
      <c r="B137" s="195">
        <v>43616</v>
      </c>
      <c r="C137" s="312">
        <f t="shared" si="17"/>
        <v>31</v>
      </c>
      <c r="D137" s="195"/>
      <c r="E137" s="312"/>
      <c r="F137" s="196">
        <f t="shared" si="14"/>
        <v>3.56618E-2</v>
      </c>
      <c r="G137" s="188"/>
      <c r="H137" s="192">
        <f>-'LSR Prepaid Bill Credits'!L103</f>
        <v>-500140</v>
      </c>
      <c r="I137" s="312">
        <f t="shared" si="13"/>
        <v>185806.45103768088</v>
      </c>
      <c r="J137" s="312">
        <f t="shared" si="15"/>
        <v>61713430.976840563</v>
      </c>
      <c r="K137" s="312">
        <f t="shared" si="16"/>
        <v>61346345.867470667</v>
      </c>
      <c r="L137" s="312"/>
      <c r="M137" s="243"/>
    </row>
    <row r="138" spans="1:13" s="153" customFormat="1">
      <c r="A138" s="194">
        <v>3</v>
      </c>
      <c r="B138" s="195">
        <v>43646</v>
      </c>
      <c r="C138" s="312">
        <f t="shared" si="17"/>
        <v>30</v>
      </c>
      <c r="D138" s="195"/>
      <c r="E138" s="312"/>
      <c r="F138" s="196">
        <f t="shared" si="14"/>
        <v>3.56618E-2</v>
      </c>
      <c r="G138" s="188"/>
      <c r="H138" s="192">
        <f>-'LSR Prepaid Bill Credits'!L104</f>
        <v>-500140</v>
      </c>
      <c r="I138" s="312">
        <f t="shared" si="13"/>
        <v>178346.73077297799</v>
      </c>
      <c r="J138" s="312">
        <f t="shared" si="15"/>
        <v>61391637.707613543</v>
      </c>
      <c r="K138" s="312">
        <f t="shared" si="16"/>
        <v>61391637.707613543</v>
      </c>
      <c r="L138" s="312"/>
      <c r="M138" s="243"/>
    </row>
    <row r="139" spans="1:13" s="153" customFormat="1">
      <c r="A139" s="194">
        <v>1</v>
      </c>
      <c r="B139" s="195">
        <v>43677</v>
      </c>
      <c r="C139" s="312">
        <f t="shared" si="17"/>
        <v>31</v>
      </c>
      <c r="D139" s="195"/>
      <c r="E139" s="312"/>
      <c r="F139" s="196">
        <f t="shared" si="14"/>
        <v>3.56618E-2</v>
      </c>
      <c r="G139" s="188"/>
      <c r="H139" s="192">
        <f>-'LSR Prepaid Bill Credits'!L105</f>
        <v>-500140</v>
      </c>
      <c r="I139" s="312">
        <f t="shared" si="13"/>
        <v>184428.80219570015</v>
      </c>
      <c r="J139" s="312">
        <f t="shared" si="15"/>
        <v>61075926.509809241</v>
      </c>
      <c r="K139" s="312">
        <f t="shared" si="16"/>
        <v>60891497.707613543</v>
      </c>
      <c r="L139" s="312"/>
      <c r="M139" s="243"/>
    </row>
    <row r="140" spans="1:13" s="153" customFormat="1">
      <c r="A140" s="194">
        <v>2</v>
      </c>
      <c r="B140" s="195">
        <v>43708</v>
      </c>
      <c r="C140" s="312">
        <f t="shared" si="17"/>
        <v>31</v>
      </c>
      <c r="D140" s="195"/>
      <c r="E140" s="312"/>
      <c r="F140" s="196">
        <f t="shared" si="14"/>
        <v>3.56618E-2</v>
      </c>
      <c r="G140" s="188"/>
      <c r="H140" s="192">
        <f>-'LSR Prepaid Bill Credits'!L106</f>
        <v>-500140</v>
      </c>
      <c r="I140" s="312">
        <f t="shared" si="13"/>
        <v>182913.97295676317</v>
      </c>
      <c r="J140" s="312">
        <f t="shared" si="15"/>
        <v>60758700.482766002</v>
      </c>
      <c r="K140" s="312">
        <f t="shared" si="16"/>
        <v>60391357.707613543</v>
      </c>
      <c r="L140" s="312"/>
      <c r="M140" s="243"/>
    </row>
    <row r="141" spans="1:13" s="153" customFormat="1">
      <c r="A141" s="194">
        <v>3</v>
      </c>
      <c r="B141" s="195">
        <v>43738</v>
      </c>
      <c r="C141" s="312">
        <f t="shared" si="17"/>
        <v>30</v>
      </c>
      <c r="D141" s="195"/>
      <c r="E141" s="312"/>
      <c r="F141" s="196">
        <f t="shared" si="14"/>
        <v>3.56618E-2</v>
      </c>
      <c r="G141" s="188"/>
      <c r="H141" s="192">
        <f>-'LSR Prepaid Bill Credits'!L107</f>
        <v>-500140</v>
      </c>
      <c r="I141" s="312">
        <f t="shared" si="13"/>
        <v>175547.55843660596</v>
      </c>
      <c r="J141" s="312">
        <f t="shared" si="15"/>
        <v>60434108.041202605</v>
      </c>
      <c r="K141" s="312">
        <f t="shared" si="16"/>
        <v>60434108.041202605</v>
      </c>
      <c r="L141" s="312"/>
      <c r="M141" s="243"/>
    </row>
    <row r="142" spans="1:13" s="153" customFormat="1">
      <c r="A142" s="194">
        <v>1</v>
      </c>
      <c r="B142" s="195">
        <v>43769</v>
      </c>
      <c r="C142" s="312">
        <f t="shared" si="17"/>
        <v>31</v>
      </c>
      <c r="D142" s="195"/>
      <c r="E142" s="312"/>
      <c r="F142" s="196">
        <f t="shared" si="14"/>
        <v>3.56618E-2</v>
      </c>
      <c r="G142" s="188"/>
      <c r="H142" s="192">
        <f>-'LSR Prepaid Bill Credits'!L108</f>
        <v>-531048.65200000012</v>
      </c>
      <c r="I142" s="312">
        <f t="shared" si="13"/>
        <v>181435.00992630637</v>
      </c>
      <c r="J142" s="312">
        <f t="shared" si="15"/>
        <v>60084494.399128906</v>
      </c>
      <c r="K142" s="312">
        <f t="shared" si="16"/>
        <v>59903059.389202602</v>
      </c>
      <c r="L142" s="312"/>
      <c r="M142" s="243"/>
    </row>
    <row r="143" spans="1:13" s="153" customFormat="1">
      <c r="A143" s="194">
        <v>2</v>
      </c>
      <c r="B143" s="195">
        <v>43799</v>
      </c>
      <c r="C143" s="312">
        <f t="shared" si="17"/>
        <v>30</v>
      </c>
      <c r="D143" s="195"/>
      <c r="E143" s="312"/>
      <c r="F143" s="196">
        <f t="shared" si="14"/>
        <v>3.56618E-2</v>
      </c>
      <c r="G143" s="188"/>
      <c r="H143" s="192">
        <f>-'LSR Prepaid Bill Credits'!L109</f>
        <v>-531048.65200000012</v>
      </c>
      <c r="I143" s="312">
        <f t="shared" si="13"/>
        <v>174025.70732942232</v>
      </c>
      <c r="J143" s="312">
        <f t="shared" si="15"/>
        <v>59727471.454458326</v>
      </c>
      <c r="K143" s="312">
        <f t="shared" si="16"/>
        <v>59372010.7372026</v>
      </c>
      <c r="L143" s="312"/>
      <c r="M143" s="243"/>
    </row>
    <row r="144" spans="1:13" s="153" customFormat="1">
      <c r="A144" s="194">
        <v>3</v>
      </c>
      <c r="B144" s="195">
        <v>43830</v>
      </c>
      <c r="C144" s="312">
        <f t="shared" si="17"/>
        <v>31</v>
      </c>
      <c r="D144" s="195"/>
      <c r="E144" s="312"/>
      <c r="F144" s="196">
        <f t="shared" si="14"/>
        <v>3.56618E-2</v>
      </c>
      <c r="G144" s="188"/>
      <c r="H144" s="192">
        <f>-'LSR Prepaid Bill Credits'!L110</f>
        <v>-531048.65200000012</v>
      </c>
      <c r="I144" s="312">
        <f t="shared" si="13"/>
        <v>178218.11855449976</v>
      </c>
      <c r="J144" s="312">
        <f t="shared" si="15"/>
        <v>59374640.921012826</v>
      </c>
      <c r="K144" s="312">
        <f t="shared" si="16"/>
        <v>59374640.921012826</v>
      </c>
      <c r="L144" s="312"/>
      <c r="M144" s="243"/>
    </row>
    <row r="145" spans="1:13" s="153" customFormat="1">
      <c r="A145" s="194">
        <v>1</v>
      </c>
      <c r="B145" s="195">
        <v>43861</v>
      </c>
      <c r="C145" s="312">
        <f t="shared" si="17"/>
        <v>31</v>
      </c>
      <c r="D145" s="195"/>
      <c r="E145" s="312"/>
      <c r="F145" s="196">
        <f t="shared" si="14"/>
        <v>3.56618E-2</v>
      </c>
      <c r="G145" s="188"/>
      <c r="H145" s="192">
        <f>-'LSR Prepaid Bill Credits'!L111</f>
        <v>-531048.65200000012</v>
      </c>
      <c r="I145" s="312">
        <f t="shared" si="13"/>
        <v>178226.0848826069</v>
      </c>
      <c r="J145" s="312">
        <f t="shared" si="15"/>
        <v>59021818.353895433</v>
      </c>
      <c r="K145" s="312">
        <f t="shared" si="16"/>
        <v>58843592.269012824</v>
      </c>
      <c r="L145" s="312"/>
      <c r="M145" s="243"/>
    </row>
    <row r="146" spans="1:13" s="153" customFormat="1">
      <c r="A146" s="194">
        <v>2</v>
      </c>
      <c r="B146" s="195">
        <v>43890</v>
      </c>
      <c r="C146" s="312">
        <f t="shared" si="17"/>
        <v>29</v>
      </c>
      <c r="D146" s="195"/>
      <c r="E146" s="312"/>
      <c r="F146" s="196">
        <f t="shared" si="14"/>
        <v>3.56618E-2</v>
      </c>
      <c r="G146" s="188"/>
      <c r="H146" s="192">
        <f>-'LSR Prepaid Bill Credits'!L112</f>
        <v>-531048.65200000012</v>
      </c>
      <c r="I146" s="312">
        <f t="shared" si="13"/>
        <v>165222.9527969163</v>
      </c>
      <c r="J146" s="312">
        <f t="shared" si="15"/>
        <v>58655992.654692344</v>
      </c>
      <c r="K146" s="312">
        <f t="shared" si="16"/>
        <v>58312543.617012821</v>
      </c>
      <c r="L146" s="312"/>
      <c r="M146" s="243"/>
    </row>
    <row r="147" spans="1:13" s="153" customFormat="1">
      <c r="A147" s="194">
        <v>3</v>
      </c>
      <c r="B147" s="195">
        <v>43921</v>
      </c>
      <c r="C147" s="312">
        <f t="shared" si="17"/>
        <v>31</v>
      </c>
      <c r="D147" s="195"/>
      <c r="E147" s="312"/>
      <c r="F147" s="196">
        <f t="shared" si="14"/>
        <v>3.56618E-2</v>
      </c>
      <c r="G147" s="188"/>
      <c r="H147" s="192">
        <f>-'LSR Prepaid Bill Credits'!L113</f>
        <v>-531048.65200000012</v>
      </c>
      <c r="I147" s="312">
        <f t="shared" si="13"/>
        <v>175009.19351080034</v>
      </c>
      <c r="J147" s="312">
        <f t="shared" si="15"/>
        <v>58299953.196203142</v>
      </c>
      <c r="K147" s="312">
        <f t="shared" si="16"/>
        <v>58299953.196203142</v>
      </c>
      <c r="L147" s="312"/>
      <c r="M147" s="243"/>
    </row>
    <row r="148" spans="1:13">
      <c r="A148" s="187">
        <v>1</v>
      </c>
      <c r="B148" s="168">
        <v>43951</v>
      </c>
      <c r="C148" s="138">
        <f t="shared" si="17"/>
        <v>30</v>
      </c>
      <c r="F148" s="196">
        <f t="shared" si="14"/>
        <v>3.56618E-2</v>
      </c>
      <c r="G148" s="188"/>
      <c r="H148" s="192">
        <f>-'LSR Prepaid Bill Credits'!L114</f>
        <v>-531048.65200000012</v>
      </c>
      <c r="I148" s="154">
        <f t="shared" si="13"/>
        <v>169326.8317869422</v>
      </c>
      <c r="J148" s="154">
        <f t="shared" si="15"/>
        <v>57938231.375990085</v>
      </c>
      <c r="K148" s="138">
        <f t="shared" si="16"/>
        <v>57768904.54420314</v>
      </c>
      <c r="L148" s="138"/>
      <c r="M148" s="243"/>
    </row>
    <row r="149" spans="1:13">
      <c r="A149" s="187">
        <v>2</v>
      </c>
      <c r="B149" s="168">
        <v>43982</v>
      </c>
      <c r="C149" s="138">
        <f t="shared" si="17"/>
        <v>31</v>
      </c>
      <c r="F149" s="196">
        <f t="shared" si="14"/>
        <v>3.56618E-2</v>
      </c>
      <c r="G149" s="188"/>
      <c r="H149" s="192">
        <f>-'LSR Prepaid Bill Credits'!L115</f>
        <v>-531048.65200000012</v>
      </c>
      <c r="I149" s="154">
        <f t="shared" si="13"/>
        <v>173362.61382727031</v>
      </c>
      <c r="J149" s="154">
        <f t="shared" si="15"/>
        <v>57580545.337817356</v>
      </c>
      <c r="K149" s="138">
        <f t="shared" si="16"/>
        <v>57237855.892203137</v>
      </c>
      <c r="L149" s="138"/>
      <c r="M149" s="243"/>
    </row>
    <row r="150" spans="1:13">
      <c r="A150" s="187">
        <v>3</v>
      </c>
      <c r="B150" s="168">
        <v>44012</v>
      </c>
      <c r="C150" s="138">
        <f t="shared" si="17"/>
        <v>30</v>
      </c>
      <c r="F150" s="196">
        <f t="shared" si="14"/>
        <v>3.56618E-2</v>
      </c>
      <c r="G150" s="188"/>
      <c r="H150" s="192">
        <f>-'LSR Prepaid Bill Credits'!L116</f>
        <v>-531048.65200000012</v>
      </c>
      <c r="I150" s="154">
        <f t="shared" si="13"/>
        <v>166213.71110454871</v>
      </c>
      <c r="J150" s="154">
        <f t="shared" si="15"/>
        <v>57215710.396921903</v>
      </c>
      <c r="K150" s="138">
        <f t="shared" si="16"/>
        <v>57215710.396921903</v>
      </c>
      <c r="L150" s="138"/>
      <c r="M150" s="243"/>
    </row>
    <row r="151" spans="1:13">
      <c r="A151" s="187">
        <v>1</v>
      </c>
      <c r="B151" s="168">
        <v>44043</v>
      </c>
      <c r="C151" s="138">
        <f t="shared" si="17"/>
        <v>31</v>
      </c>
      <c r="F151" s="196">
        <f t="shared" si="14"/>
        <v>3.56618E-2</v>
      </c>
      <c r="G151" s="188"/>
      <c r="H151" s="192">
        <f>-'LSR Prepaid Bill Credits'!L117</f>
        <v>-531048.65200000012</v>
      </c>
      <c r="I151" s="154">
        <f t="shared" si="13"/>
        <v>171687.09363470337</v>
      </c>
      <c r="J151" s="154">
        <f t="shared" si="15"/>
        <v>56856348.838556603</v>
      </c>
      <c r="K151" s="138">
        <f t="shared" si="16"/>
        <v>56684661.7449219</v>
      </c>
      <c r="L151" s="138"/>
      <c r="M151" s="243"/>
    </row>
    <row r="152" spans="1:13">
      <c r="A152" s="187">
        <v>2</v>
      </c>
      <c r="B152" s="168">
        <v>44074</v>
      </c>
      <c r="C152" s="138">
        <f t="shared" si="17"/>
        <v>31</v>
      </c>
      <c r="F152" s="196">
        <f t="shared" si="14"/>
        <v>3.56618E-2</v>
      </c>
      <c r="G152" s="188"/>
      <c r="H152" s="192">
        <f>-'LSR Prepaid Bill Credits'!L118</f>
        <v>-531048.65200000012</v>
      </c>
      <c r="I152" s="154">
        <f t="shared" si="13"/>
        <v>170078.64794880006</v>
      </c>
      <c r="J152" s="154">
        <f t="shared" si="15"/>
        <v>56495378.834505402</v>
      </c>
      <c r="K152" s="138">
        <f t="shared" si="16"/>
        <v>56153613.092921898</v>
      </c>
      <c r="L152" s="138"/>
      <c r="M152" s="243"/>
    </row>
    <row r="153" spans="1:13">
      <c r="A153" s="187">
        <v>3</v>
      </c>
      <c r="B153" s="168">
        <v>44104</v>
      </c>
      <c r="C153" s="138">
        <f t="shared" si="17"/>
        <v>30</v>
      </c>
      <c r="F153" s="196">
        <f t="shared" si="14"/>
        <v>3.56618E-2</v>
      </c>
      <c r="G153" s="188"/>
      <c r="H153" s="192">
        <f>-'LSR Prepaid Bill Credits'!L119</f>
        <v>-531048.65200000012</v>
      </c>
      <c r="I153" s="154">
        <f t="shared" si="13"/>
        <v>163035.67960925493</v>
      </c>
      <c r="J153" s="154">
        <f t="shared" si="15"/>
        <v>56127365.862114653</v>
      </c>
      <c r="K153" s="138">
        <f t="shared" si="16"/>
        <v>56127365.862114653</v>
      </c>
      <c r="L153" s="138"/>
      <c r="M153" s="243"/>
    </row>
    <row r="154" spans="1:13">
      <c r="A154" s="187">
        <v>1</v>
      </c>
      <c r="B154" s="168">
        <v>44135</v>
      </c>
      <c r="C154" s="138">
        <f t="shared" si="17"/>
        <v>31</v>
      </c>
      <c r="F154" s="196">
        <f t="shared" si="14"/>
        <v>3.56618E-2</v>
      </c>
      <c r="G154" s="188"/>
      <c r="H154" s="192">
        <f>-'LSR Prepaid Bill Credits'!L120</f>
        <v>-531048.65200000012</v>
      </c>
      <c r="I154" s="154">
        <f t="shared" si="13"/>
        <v>168390.70437696893</v>
      </c>
      <c r="J154" s="154">
        <f t="shared" si="15"/>
        <v>55764707.914491616</v>
      </c>
      <c r="K154" s="138">
        <f t="shared" si="16"/>
        <v>55596317.21011465</v>
      </c>
      <c r="L154" s="138"/>
      <c r="M154" s="243"/>
    </row>
    <row r="155" spans="1:13">
      <c r="A155" s="187">
        <v>2</v>
      </c>
      <c r="B155" s="168">
        <v>44165</v>
      </c>
      <c r="C155" s="138">
        <f t="shared" si="17"/>
        <v>30</v>
      </c>
      <c r="F155" s="196">
        <f t="shared" si="14"/>
        <v>3.56618E-2</v>
      </c>
      <c r="G155" s="188"/>
      <c r="H155" s="192">
        <f>-'LSR Prepaid Bill Credits'!L121</f>
        <v>-531048.65200000012</v>
      </c>
      <c r="I155" s="154">
        <f t="shared" si="13"/>
        <v>161402.18583006354</v>
      </c>
      <c r="J155" s="154">
        <f t="shared" si="15"/>
        <v>55395061.448321678</v>
      </c>
      <c r="K155" s="138">
        <f t="shared" si="16"/>
        <v>55065268.558114648</v>
      </c>
      <c r="L155" s="138"/>
      <c r="M155" s="243"/>
    </row>
    <row r="156" spans="1:13">
      <c r="A156" s="187">
        <v>3</v>
      </c>
      <c r="B156" s="168">
        <v>44196</v>
      </c>
      <c r="C156" s="138">
        <f t="shared" si="17"/>
        <v>31</v>
      </c>
      <c r="F156" s="196">
        <f t="shared" si="14"/>
        <v>3.56618E-2</v>
      </c>
      <c r="G156" s="188"/>
      <c r="H156" s="192">
        <f>-'LSR Prepaid Bill Credits'!L122</f>
        <v>-531048.65200000012</v>
      </c>
      <c r="I156" s="154">
        <f t="shared" si="13"/>
        <v>165173.81300516234</v>
      </c>
      <c r="J156" s="154">
        <f t="shared" si="15"/>
        <v>55029186.609326839</v>
      </c>
      <c r="K156" s="138">
        <f t="shared" si="16"/>
        <v>55029186.609326839</v>
      </c>
      <c r="L156" s="138"/>
      <c r="M156" s="243"/>
    </row>
    <row r="157" spans="1:13">
      <c r="A157" s="187">
        <v>1</v>
      </c>
      <c r="B157" s="168">
        <v>44227</v>
      </c>
      <c r="C157" s="138">
        <f t="shared" si="17"/>
        <v>31</v>
      </c>
      <c r="F157" s="196">
        <f t="shared" si="14"/>
        <v>3.56618E-2</v>
      </c>
      <c r="G157" s="188"/>
      <c r="H157" s="192">
        <f>-'LSR Prepaid Bill Credits'!L123</f>
        <v>-531048.65200000012</v>
      </c>
      <c r="I157" s="154">
        <f t="shared" si="13"/>
        <v>165064.52762302614</v>
      </c>
      <c r="J157" s="154">
        <f t="shared" si="15"/>
        <v>54663202.484949864</v>
      </c>
      <c r="K157" s="138">
        <f t="shared" si="16"/>
        <v>54498137.957326837</v>
      </c>
      <c r="L157" s="138"/>
      <c r="M157" s="243"/>
    </row>
    <row r="158" spans="1:13">
      <c r="A158" s="187">
        <v>2</v>
      </c>
      <c r="B158" s="168">
        <v>44255</v>
      </c>
      <c r="C158" s="138">
        <f t="shared" si="17"/>
        <v>28</v>
      </c>
      <c r="F158" s="196">
        <f t="shared" si="14"/>
        <v>3.56618E-2</v>
      </c>
      <c r="G158" s="188"/>
      <c r="H158" s="192">
        <f>-'LSR Prepaid Bill Credits'!L124</f>
        <v>-531048.65200000012</v>
      </c>
      <c r="I158" s="154">
        <f t="shared" si="13"/>
        <v>147637.75142707871</v>
      </c>
      <c r="J158" s="154">
        <f t="shared" si="15"/>
        <v>54279791.584376939</v>
      </c>
      <c r="K158" s="138">
        <f t="shared" ref="K158:K189" si="18">IF(A158=3,J158,IF(A158=1,J158-I158,J158-I158-I157))</f>
        <v>53967089.305326834</v>
      </c>
      <c r="L158" s="138"/>
      <c r="M158" s="243"/>
    </row>
    <row r="159" spans="1:13">
      <c r="A159" s="187">
        <v>3</v>
      </c>
      <c r="B159" s="168">
        <v>44286</v>
      </c>
      <c r="C159" s="138">
        <f t="shared" si="17"/>
        <v>31</v>
      </c>
      <c r="F159" s="196">
        <f t="shared" si="14"/>
        <v>3.56618E-2</v>
      </c>
      <c r="G159" s="188"/>
      <c r="H159" s="192">
        <f>-'LSR Prepaid Bill Credits'!L125</f>
        <v>-531048.65200000012</v>
      </c>
      <c r="I159" s="154">
        <f t="shared" ref="I159:I200" si="19">(((K158+H159)*C159)+(G159*E159))*(F159/365)</f>
        <v>161847.63625121955</v>
      </c>
      <c r="J159" s="154">
        <f t="shared" si="15"/>
        <v>53910590.568628155</v>
      </c>
      <c r="K159" s="138">
        <f t="shared" si="18"/>
        <v>53910590.568628155</v>
      </c>
      <c r="L159" s="138"/>
      <c r="M159" s="243"/>
    </row>
    <row r="160" spans="1:13">
      <c r="A160" s="187">
        <v>1</v>
      </c>
      <c r="B160" s="168">
        <v>44316</v>
      </c>
      <c r="C160" s="138">
        <f t="shared" si="17"/>
        <v>30</v>
      </c>
      <c r="F160" s="196">
        <f t="shared" si="14"/>
        <v>3.56618E-2</v>
      </c>
      <c r="G160" s="188"/>
      <c r="H160" s="192">
        <f>-'LSR Prepaid Bill Credits'!L126</f>
        <v>-531048.65200000012</v>
      </c>
      <c r="I160" s="154">
        <f t="shared" si="19"/>
        <v>156461.14092512958</v>
      </c>
      <c r="J160" s="154">
        <f t="shared" si="15"/>
        <v>53536003.057553284</v>
      </c>
      <c r="K160" s="138">
        <f t="shared" si="18"/>
        <v>53379541.916628152</v>
      </c>
      <c r="L160" s="138"/>
      <c r="M160" s="243"/>
    </row>
    <row r="161" spans="1:13">
      <c r="A161" s="187">
        <v>2</v>
      </c>
      <c r="B161" s="168">
        <v>44347</v>
      </c>
      <c r="C161" s="138">
        <f t="shared" si="17"/>
        <v>31</v>
      </c>
      <c r="F161" s="196">
        <f t="shared" ref="F161:F224" si="20">F160</f>
        <v>3.56618E-2</v>
      </c>
      <c r="G161" s="188"/>
      <c r="H161" s="192">
        <f>-'LSR Prepaid Bill Credits'!L127</f>
        <v>-531048.65200000012</v>
      </c>
      <c r="I161" s="154">
        <f t="shared" si="19"/>
        <v>160068.06660339725</v>
      </c>
      <c r="J161" s="154">
        <f>J160+G161+H161+I161</f>
        <v>53165022.472156681</v>
      </c>
      <c r="K161" s="138">
        <f t="shared" si="18"/>
        <v>52848493.26462815</v>
      </c>
      <c r="L161" s="138"/>
      <c r="M161" s="243"/>
    </row>
    <row r="162" spans="1:13">
      <c r="A162" s="187">
        <v>3</v>
      </c>
      <c r="B162" s="168">
        <v>44377</v>
      </c>
      <c r="C162" s="138">
        <f t="shared" si="17"/>
        <v>30</v>
      </c>
      <c r="F162" s="196">
        <f t="shared" si="20"/>
        <v>3.56618E-2</v>
      </c>
      <c r="G162" s="188"/>
      <c r="H162" s="192">
        <f>-'LSR Prepaid Bill Credits'!L128</f>
        <v>-531048.65200000012</v>
      </c>
      <c r="I162" s="154">
        <f t="shared" si="19"/>
        <v>153348.02024273609</v>
      </c>
      <c r="J162" s="154">
        <f t="shared" si="15"/>
        <v>52787321.840399414</v>
      </c>
      <c r="K162" s="138">
        <f t="shared" si="18"/>
        <v>52787321.840399414</v>
      </c>
      <c r="L162" s="138"/>
      <c r="M162" s="243"/>
    </row>
    <row r="163" spans="1:13">
      <c r="A163" s="187">
        <v>1</v>
      </c>
      <c r="B163" s="168">
        <v>44408</v>
      </c>
      <c r="C163" s="138">
        <f t="shared" si="17"/>
        <v>31</v>
      </c>
      <c r="F163" s="196">
        <f t="shared" si="20"/>
        <v>3.56618E-2</v>
      </c>
      <c r="G163" s="188"/>
      <c r="H163" s="192">
        <f>-'LSR Prepaid Bill Credits'!L129</f>
        <v>-531048.65200000012</v>
      </c>
      <c r="I163" s="154">
        <f t="shared" si="19"/>
        <v>158274.3442709368</v>
      </c>
      <c r="J163" s="154">
        <f t="shared" si="15"/>
        <v>52414547.532670349</v>
      </c>
      <c r="K163" s="138">
        <f t="shared" si="18"/>
        <v>52256273.188399412</v>
      </c>
      <c r="L163" s="138"/>
      <c r="M163" s="243"/>
    </row>
    <row r="164" spans="1:13">
      <c r="A164" s="187">
        <v>2</v>
      </c>
      <c r="B164" s="168">
        <v>44439</v>
      </c>
      <c r="C164" s="138">
        <f t="shared" si="17"/>
        <v>31</v>
      </c>
      <c r="F164" s="196">
        <f t="shared" si="20"/>
        <v>3.56618E-2</v>
      </c>
      <c r="G164" s="188"/>
      <c r="H164" s="192">
        <f>-'LSR Prepaid Bill Credits'!L130</f>
        <v>-531048.65200000012</v>
      </c>
      <c r="I164" s="154">
        <f t="shared" si="19"/>
        <v>156665.89858503349</v>
      </c>
      <c r="J164" s="154">
        <f t="shared" si="15"/>
        <v>52040164.779255383</v>
      </c>
      <c r="K164" s="138">
        <f t="shared" si="18"/>
        <v>51725224.536399409</v>
      </c>
      <c r="L164" s="138"/>
      <c r="M164" s="243"/>
    </row>
    <row r="165" spans="1:13">
      <c r="A165" s="187">
        <v>3</v>
      </c>
      <c r="B165" s="168">
        <v>44469</v>
      </c>
      <c r="C165" s="138">
        <f t="shared" si="17"/>
        <v>30</v>
      </c>
      <c r="F165" s="196">
        <f t="shared" si="20"/>
        <v>3.56618E-2</v>
      </c>
      <c r="G165" s="188"/>
      <c r="H165" s="192">
        <f>-'LSR Prepaid Bill Credits'!L131</f>
        <v>-531048.65200000012</v>
      </c>
      <c r="I165" s="154">
        <f t="shared" si="19"/>
        <v>150055.59957980341</v>
      </c>
      <c r="J165" s="154">
        <f t="shared" si="15"/>
        <v>51659171.726835184</v>
      </c>
      <c r="K165" s="138">
        <f t="shared" si="18"/>
        <v>51659171.726835184</v>
      </c>
      <c r="L165" s="138"/>
      <c r="M165" s="243"/>
    </row>
    <row r="166" spans="1:13">
      <c r="A166" s="187">
        <v>1</v>
      </c>
      <c r="B166" s="168">
        <v>44500</v>
      </c>
      <c r="C166" s="138">
        <f t="shared" si="17"/>
        <v>31</v>
      </c>
      <c r="F166" s="196">
        <f t="shared" si="20"/>
        <v>3.56618E-2</v>
      </c>
      <c r="G166" s="188"/>
      <c r="H166" s="192">
        <f>-'LSR Prepaid Bill Credits'!L132</f>
        <v>-563867.45869360014</v>
      </c>
      <c r="I166" s="154">
        <f t="shared" si="19"/>
        <v>154757.98951846015</v>
      </c>
      <c r="J166" s="154">
        <f t="shared" si="15"/>
        <v>51250062.257660046</v>
      </c>
      <c r="K166" s="138">
        <f t="shared" si="18"/>
        <v>51095304.268141583</v>
      </c>
      <c r="L166" s="138"/>
      <c r="M166" s="243"/>
    </row>
    <row r="167" spans="1:13">
      <c r="A167" s="187">
        <v>2</v>
      </c>
      <c r="B167" s="168">
        <v>44530</v>
      </c>
      <c r="C167" s="138">
        <f t="shared" si="17"/>
        <v>30</v>
      </c>
      <c r="F167" s="196">
        <f t="shared" si="20"/>
        <v>3.56618E-2</v>
      </c>
      <c r="G167" s="188"/>
      <c r="H167" s="192">
        <f>-'LSR Prepaid Bill Credits'!L133</f>
        <v>-563867.45869360014</v>
      </c>
      <c r="I167" s="154">
        <f t="shared" si="19"/>
        <v>148113.04053790454</v>
      </c>
      <c r="J167" s="154">
        <f t="shared" si="15"/>
        <v>50834307.839504346</v>
      </c>
      <c r="K167" s="138">
        <f t="shared" si="18"/>
        <v>50531436.809447981</v>
      </c>
      <c r="L167" s="138"/>
      <c r="M167" s="243"/>
    </row>
    <row r="168" spans="1:13">
      <c r="A168" s="187">
        <v>3</v>
      </c>
      <c r="B168" s="168">
        <v>44561</v>
      </c>
      <c r="C168" s="138">
        <f t="shared" si="17"/>
        <v>31</v>
      </c>
      <c r="F168" s="196">
        <f t="shared" si="20"/>
        <v>3.56618E-2</v>
      </c>
      <c r="G168" s="188"/>
      <c r="H168" s="192">
        <f>-'LSR Prepaid Bill Credits'!L134</f>
        <v>-563867.45869360014</v>
      </c>
      <c r="I168" s="154">
        <f t="shared" si="19"/>
        <v>151342.29425987593</v>
      </c>
      <c r="J168" s="154">
        <f t="shared" si="15"/>
        <v>50421782.675070621</v>
      </c>
      <c r="K168" s="138">
        <f t="shared" si="18"/>
        <v>50421782.675070621</v>
      </c>
      <c r="L168" s="138"/>
      <c r="M168" s="243"/>
    </row>
    <row r="169" spans="1:13">
      <c r="A169" s="187">
        <v>1</v>
      </c>
      <c r="B169" s="168">
        <v>44592</v>
      </c>
      <c r="C169" s="138">
        <f t="shared" si="17"/>
        <v>31</v>
      </c>
      <c r="F169" s="196">
        <f t="shared" si="20"/>
        <v>3.56618E-2</v>
      </c>
      <c r="G169" s="188"/>
      <c r="H169" s="192">
        <f>-'LSR Prepaid Bill Credits'!L135</f>
        <v>-563867.45869360014</v>
      </c>
      <c r="I169" s="154">
        <f t="shared" si="19"/>
        <v>151010.17267606908</v>
      </c>
      <c r="J169" s="154">
        <f t="shared" si="15"/>
        <v>50008925.389053091</v>
      </c>
      <c r="K169" s="138">
        <f t="shared" si="18"/>
        <v>49857915.21637702</v>
      </c>
      <c r="L169" s="138"/>
      <c r="M169" s="243"/>
    </row>
    <row r="170" spans="1:13">
      <c r="A170" s="187">
        <v>2</v>
      </c>
      <c r="B170" s="168">
        <v>44620</v>
      </c>
      <c r="C170" s="138">
        <f t="shared" si="17"/>
        <v>28</v>
      </c>
      <c r="F170" s="196">
        <f t="shared" si="20"/>
        <v>3.56618E-2</v>
      </c>
      <c r="G170" s="188"/>
      <c r="H170" s="192">
        <f>-'LSR Prepaid Bill Credits'!L136</f>
        <v>-563867.45869360014</v>
      </c>
      <c r="I170" s="154">
        <f t="shared" si="19"/>
        <v>134853.71294547597</v>
      </c>
      <c r="J170" s="154">
        <f t="shared" si="15"/>
        <v>49579911.643304966</v>
      </c>
      <c r="K170" s="138">
        <f t="shared" si="18"/>
        <v>49294047.757683419</v>
      </c>
      <c r="L170" s="138"/>
      <c r="M170" s="243"/>
    </row>
    <row r="171" spans="1:13">
      <c r="A171" s="187">
        <v>3</v>
      </c>
      <c r="B171" s="168">
        <v>44651</v>
      </c>
      <c r="C171" s="138">
        <f t="shared" si="17"/>
        <v>31</v>
      </c>
      <c r="F171" s="196">
        <f t="shared" si="20"/>
        <v>3.56618E-2</v>
      </c>
      <c r="G171" s="188"/>
      <c r="H171" s="192">
        <f>-'LSR Prepaid Bill Credits'!L137</f>
        <v>-563867.45869360014</v>
      </c>
      <c r="I171" s="154">
        <f t="shared" si="19"/>
        <v>147594.47741748486</v>
      </c>
      <c r="J171" s="154">
        <f t="shared" si="15"/>
        <v>49163638.662028849</v>
      </c>
      <c r="K171" s="138">
        <f t="shared" si="18"/>
        <v>49163638.662028849</v>
      </c>
      <c r="L171" s="138"/>
      <c r="M171" s="243"/>
    </row>
    <row r="172" spans="1:13">
      <c r="A172" s="187">
        <v>1</v>
      </c>
      <c r="B172" s="168">
        <v>44681</v>
      </c>
      <c r="C172" s="138">
        <f t="shared" si="17"/>
        <v>30</v>
      </c>
      <c r="F172" s="196">
        <f t="shared" si="20"/>
        <v>3.56618E-2</v>
      </c>
      <c r="G172" s="188"/>
      <c r="H172" s="192">
        <f>-'LSR Prepaid Bill Credits'!L138</f>
        <v>-563867.45869360014</v>
      </c>
      <c r="I172" s="154">
        <f t="shared" si="19"/>
        <v>142451.12224924116</v>
      </c>
      <c r="J172" s="154">
        <f t="shared" si="15"/>
        <v>48742222.325584486</v>
      </c>
      <c r="K172" s="138">
        <f t="shared" si="18"/>
        <v>48599771.203335248</v>
      </c>
      <c r="L172" s="138"/>
      <c r="M172" s="243"/>
    </row>
    <row r="173" spans="1:13">
      <c r="A173" s="187">
        <v>2</v>
      </c>
      <c r="B173" s="168">
        <v>44712</v>
      </c>
      <c r="C173" s="138">
        <f t="shared" si="17"/>
        <v>31</v>
      </c>
      <c r="F173" s="196">
        <f t="shared" si="20"/>
        <v>3.56618E-2</v>
      </c>
      <c r="G173" s="188"/>
      <c r="H173" s="192">
        <f>-'LSR Prepaid Bill Credits'!L139</f>
        <v>-563867.45869360014</v>
      </c>
      <c r="I173" s="154">
        <f t="shared" si="19"/>
        <v>145491.64536159043</v>
      </c>
      <c r="J173" s="154">
        <f t="shared" ref="J173:J199" si="21">J172+G173+H173+I173</f>
        <v>48323846.512252472</v>
      </c>
      <c r="K173" s="138">
        <f t="shared" si="18"/>
        <v>48035903.744641647</v>
      </c>
      <c r="L173" s="138"/>
      <c r="M173" s="243"/>
    </row>
    <row r="174" spans="1:13">
      <c r="A174" s="187">
        <v>3</v>
      </c>
      <c r="B174" s="168">
        <v>44742</v>
      </c>
      <c r="C174" s="138">
        <f t="shared" si="17"/>
        <v>30</v>
      </c>
      <c r="F174" s="196">
        <f t="shared" si="20"/>
        <v>3.56618E-2</v>
      </c>
      <c r="G174" s="188"/>
      <c r="H174" s="192">
        <f>-'LSR Prepaid Bill Credits'!L140</f>
        <v>-563867.45869360014</v>
      </c>
      <c r="I174" s="154">
        <f t="shared" si="19"/>
        <v>139145.61070867578</v>
      </c>
      <c r="J174" s="154">
        <f t="shared" si="21"/>
        <v>47899124.664267547</v>
      </c>
      <c r="K174" s="138">
        <f t="shared" si="18"/>
        <v>47899124.664267547</v>
      </c>
      <c r="L174" s="138"/>
      <c r="M174" s="243"/>
    </row>
    <row r="175" spans="1:13">
      <c r="A175" s="187">
        <v>1</v>
      </c>
      <c r="B175" s="168">
        <v>44773</v>
      </c>
      <c r="C175" s="138">
        <f t="shared" si="17"/>
        <v>31</v>
      </c>
      <c r="F175" s="196">
        <f t="shared" si="20"/>
        <v>3.56618E-2</v>
      </c>
      <c r="G175" s="188"/>
      <c r="H175" s="192">
        <f>-'LSR Prepaid Bill Credits'!L141</f>
        <v>-563867.45869360014</v>
      </c>
      <c r="I175" s="154">
        <f t="shared" si="19"/>
        <v>143369.51982965984</v>
      </c>
      <c r="J175" s="154">
        <f t="shared" si="21"/>
        <v>47478626.725403607</v>
      </c>
      <c r="K175" s="138">
        <f t="shared" si="18"/>
        <v>47335257.205573946</v>
      </c>
      <c r="L175" s="138"/>
      <c r="M175" s="243"/>
    </row>
    <row r="176" spans="1:13">
      <c r="A176" s="187">
        <v>2</v>
      </c>
      <c r="B176" s="168">
        <v>44804</v>
      </c>
      <c r="C176" s="138">
        <f t="shared" si="17"/>
        <v>31</v>
      </c>
      <c r="F176" s="196">
        <f t="shared" si="20"/>
        <v>3.56618E-2</v>
      </c>
      <c r="G176" s="188"/>
      <c r="H176" s="192">
        <f>-'LSR Prepaid Bill Credits'!L142</f>
        <v>-563867.45869360014</v>
      </c>
      <c r="I176" s="154">
        <f t="shared" si="19"/>
        <v>141661.67220036773</v>
      </c>
      <c r="J176" s="154">
        <f t="shared" si="21"/>
        <v>47056420.938910373</v>
      </c>
      <c r="K176" s="138">
        <f t="shared" si="18"/>
        <v>46771389.746880345</v>
      </c>
      <c r="L176" s="138"/>
      <c r="M176" s="243"/>
    </row>
    <row r="177" spans="1:13">
      <c r="A177" s="187">
        <v>3</v>
      </c>
      <c r="B177" s="168">
        <v>44834</v>
      </c>
      <c r="C177" s="138">
        <f t="shared" si="17"/>
        <v>30</v>
      </c>
      <c r="F177" s="196">
        <f t="shared" si="20"/>
        <v>3.56618E-2</v>
      </c>
      <c r="G177" s="188"/>
      <c r="H177" s="192">
        <f>-'LSR Prepaid Bill Credits'!L143</f>
        <v>-563867.45869360014</v>
      </c>
      <c r="I177" s="154">
        <f t="shared" si="19"/>
        <v>135439.18506878286</v>
      </c>
      <c r="J177" s="154">
        <f t="shared" si="21"/>
        <v>46627992.665285558</v>
      </c>
      <c r="K177" s="138">
        <f t="shared" si="18"/>
        <v>46627992.665285558</v>
      </c>
      <c r="L177" s="138"/>
      <c r="M177" s="243"/>
    </row>
    <row r="178" spans="1:13">
      <c r="A178" s="187">
        <v>1</v>
      </c>
      <c r="B178" s="168">
        <v>44865</v>
      </c>
      <c r="C178" s="138">
        <f t="shared" si="17"/>
        <v>31</v>
      </c>
      <c r="F178" s="196">
        <f t="shared" si="20"/>
        <v>3.56618E-2</v>
      </c>
      <c r="G178" s="188"/>
      <c r="H178" s="192">
        <f>-'LSR Prepaid Bill Credits'!L144</f>
        <v>-563867.45869360014</v>
      </c>
      <c r="I178" s="154">
        <f t="shared" si="19"/>
        <v>139519.50199744021</v>
      </c>
      <c r="J178" s="154">
        <f t="shared" si="21"/>
        <v>46203644.708589397</v>
      </c>
      <c r="K178" s="138">
        <f t="shared" si="18"/>
        <v>46064125.206591956</v>
      </c>
      <c r="L178" s="138"/>
      <c r="M178" s="243"/>
    </row>
    <row r="179" spans="1:13">
      <c r="A179" s="187">
        <v>2</v>
      </c>
      <c r="B179" s="168">
        <v>44895</v>
      </c>
      <c r="C179" s="138">
        <f t="shared" si="17"/>
        <v>30</v>
      </c>
      <c r="F179" s="196">
        <f t="shared" si="20"/>
        <v>3.56618E-2</v>
      </c>
      <c r="G179" s="188"/>
      <c r="H179" s="192">
        <f>-'LSR Prepaid Bill Credits'!L145</f>
        <v>-563867.45869360014</v>
      </c>
      <c r="I179" s="154">
        <f t="shared" si="19"/>
        <v>133366.11713046589</v>
      </c>
      <c r="J179" s="154">
        <f t="shared" si="21"/>
        <v>45773143.367026262</v>
      </c>
      <c r="K179" s="138">
        <f t="shared" si="18"/>
        <v>45500257.747898355</v>
      </c>
      <c r="L179" s="138"/>
      <c r="M179" s="243"/>
    </row>
    <row r="180" spans="1:13">
      <c r="A180" s="187">
        <v>3</v>
      </c>
      <c r="B180" s="168">
        <v>44926</v>
      </c>
      <c r="C180" s="138">
        <f t="shared" si="17"/>
        <v>31</v>
      </c>
      <c r="F180" s="196">
        <f t="shared" si="20"/>
        <v>3.56618E-2</v>
      </c>
      <c r="G180" s="188"/>
      <c r="H180" s="192">
        <f>-'LSR Prepaid Bill Credits'!L146</f>
        <v>-563867.45869360014</v>
      </c>
      <c r="I180" s="154">
        <f t="shared" si="19"/>
        <v>136103.80673885596</v>
      </c>
      <c r="J180" s="154">
        <f t="shared" si="21"/>
        <v>45345379.715071514</v>
      </c>
      <c r="K180" s="138">
        <f t="shared" si="18"/>
        <v>45345379.715071514</v>
      </c>
      <c r="L180" s="138"/>
      <c r="M180" s="243"/>
    </row>
    <row r="181" spans="1:13">
      <c r="A181" s="187">
        <v>1</v>
      </c>
      <c r="B181" s="168">
        <v>44957</v>
      </c>
      <c r="C181" s="138">
        <f t="shared" si="17"/>
        <v>31</v>
      </c>
      <c r="F181" s="196">
        <f t="shared" si="20"/>
        <v>3.56618E-2</v>
      </c>
      <c r="G181" s="188"/>
      <c r="H181" s="192">
        <f>-'LSR Prepaid Bill Credits'!L147</f>
        <v>-563867.45869360014</v>
      </c>
      <c r="I181" s="154">
        <f t="shared" si="19"/>
        <v>135634.7105406012</v>
      </c>
      <c r="J181" s="154">
        <f t="shared" si="21"/>
        <v>44917146.966918513</v>
      </c>
      <c r="K181" s="138">
        <f t="shared" si="18"/>
        <v>44781512.256377913</v>
      </c>
      <c r="L181" s="138"/>
      <c r="M181" s="243"/>
    </row>
    <row r="182" spans="1:13">
      <c r="A182" s="187">
        <v>2</v>
      </c>
      <c r="B182" s="168">
        <v>44985</v>
      </c>
      <c r="C182" s="138">
        <f t="shared" si="17"/>
        <v>28</v>
      </c>
      <c r="F182" s="196">
        <f t="shared" si="20"/>
        <v>3.56618E-2</v>
      </c>
      <c r="G182" s="188"/>
      <c r="H182" s="192">
        <f>-'LSR Prepaid Bill Credits'!L148</f>
        <v>-563867.45869360014</v>
      </c>
      <c r="I182" s="154">
        <f t="shared" si="19"/>
        <v>120966.19875860173</v>
      </c>
      <c r="J182" s="154">
        <f t="shared" si="21"/>
        <v>44474245.706983514</v>
      </c>
      <c r="K182" s="138">
        <f t="shared" si="18"/>
        <v>44217644.797684312</v>
      </c>
      <c r="L182" s="138"/>
      <c r="M182" s="243"/>
    </row>
    <row r="183" spans="1:13">
      <c r="A183" s="187">
        <v>3</v>
      </c>
      <c r="B183" s="168">
        <v>45016</v>
      </c>
      <c r="C183" s="138">
        <f t="shared" si="17"/>
        <v>31</v>
      </c>
      <c r="F183" s="196">
        <f t="shared" si="20"/>
        <v>3.56618E-2</v>
      </c>
      <c r="G183" s="188"/>
      <c r="H183" s="192">
        <f>-'LSR Prepaid Bill Credits'!L149</f>
        <v>-563867.45869360014</v>
      </c>
      <c r="I183" s="154">
        <f t="shared" si="19"/>
        <v>132219.01528201695</v>
      </c>
      <c r="J183" s="154">
        <f t="shared" si="21"/>
        <v>44042597.263571933</v>
      </c>
      <c r="K183" s="138">
        <f t="shared" si="18"/>
        <v>44042597.263571933</v>
      </c>
      <c r="L183" s="138"/>
      <c r="M183" s="243"/>
    </row>
    <row r="184" spans="1:13">
      <c r="A184" s="187">
        <v>1</v>
      </c>
      <c r="B184" s="168">
        <v>45046</v>
      </c>
      <c r="C184" s="138">
        <f t="shared" si="17"/>
        <v>30</v>
      </c>
      <c r="F184" s="196">
        <f t="shared" si="20"/>
        <v>3.56618E-2</v>
      </c>
      <c r="G184" s="188"/>
      <c r="H184" s="192">
        <f>-'LSR Prepaid Bill Credits'!L150</f>
        <v>-563867.45869360014</v>
      </c>
      <c r="I184" s="154">
        <f t="shared" si="19"/>
        <v>127440.80273059808</v>
      </c>
      <c r="J184" s="154">
        <f t="shared" si="21"/>
        <v>43606170.607608929</v>
      </c>
      <c r="K184" s="138">
        <f t="shared" si="18"/>
        <v>43478729.804878332</v>
      </c>
      <c r="L184" s="138"/>
      <c r="M184" s="243"/>
    </row>
    <row r="185" spans="1:13">
      <c r="A185" s="187">
        <v>2</v>
      </c>
      <c r="B185" s="168">
        <v>45077</v>
      </c>
      <c r="C185" s="138">
        <f t="shared" si="17"/>
        <v>31</v>
      </c>
      <c r="F185" s="196">
        <f t="shared" si="20"/>
        <v>3.56618E-2</v>
      </c>
      <c r="G185" s="188"/>
      <c r="H185" s="192">
        <f>-'LSR Prepaid Bill Credits'!L151</f>
        <v>-563867.45869360014</v>
      </c>
      <c r="I185" s="154">
        <f t="shared" si="19"/>
        <v>129980.98185899257</v>
      </c>
      <c r="J185" s="154">
        <f t="shared" si="21"/>
        <v>43172284.130774319</v>
      </c>
      <c r="K185" s="138">
        <f t="shared" si="18"/>
        <v>42914862.346184731</v>
      </c>
      <c r="L185" s="138"/>
      <c r="M185" s="243"/>
    </row>
    <row r="186" spans="1:13">
      <c r="A186" s="187">
        <v>3</v>
      </c>
      <c r="B186" s="168">
        <v>45107</v>
      </c>
      <c r="C186" s="138">
        <f t="shared" si="17"/>
        <v>30</v>
      </c>
      <c r="F186" s="196">
        <f t="shared" si="20"/>
        <v>3.56618E-2</v>
      </c>
      <c r="G186" s="188"/>
      <c r="H186" s="192">
        <f>-'LSR Prepaid Bill Credits'!L152</f>
        <v>-563867.45869360014</v>
      </c>
      <c r="I186" s="154">
        <f t="shared" si="19"/>
        <v>124135.2911900327</v>
      </c>
      <c r="J186" s="154">
        <f t="shared" si="21"/>
        <v>42732551.963270754</v>
      </c>
      <c r="K186" s="138">
        <f t="shared" si="18"/>
        <v>42732551.963270754</v>
      </c>
      <c r="L186" s="138"/>
      <c r="M186" s="243"/>
    </row>
    <row r="187" spans="1:13">
      <c r="A187" s="187">
        <v>1</v>
      </c>
      <c r="B187" s="168">
        <v>45138</v>
      </c>
      <c r="C187" s="138">
        <f t="shared" si="17"/>
        <v>31</v>
      </c>
      <c r="F187" s="196">
        <f t="shared" si="20"/>
        <v>3.56618E-2</v>
      </c>
      <c r="G187" s="188"/>
      <c r="H187" s="192">
        <f>-'LSR Prepaid Bill Credits'!L153</f>
        <v>-563867.45869360014</v>
      </c>
      <c r="I187" s="154">
        <f t="shared" si="19"/>
        <v>127720.9506439047</v>
      </c>
      <c r="J187" s="154">
        <f t="shared" si="21"/>
        <v>42296405.455221057</v>
      </c>
      <c r="K187" s="138">
        <f t="shared" si="18"/>
        <v>42168684.504577152</v>
      </c>
      <c r="L187" s="138"/>
      <c r="M187" s="243"/>
    </row>
    <row r="188" spans="1:13">
      <c r="A188" s="187">
        <v>2</v>
      </c>
      <c r="B188" s="168">
        <v>45169</v>
      </c>
      <c r="C188" s="138">
        <f t="shared" si="17"/>
        <v>31</v>
      </c>
      <c r="F188" s="196">
        <f t="shared" si="20"/>
        <v>3.56618E-2</v>
      </c>
      <c r="G188" s="188"/>
      <c r="H188" s="192">
        <f>-'LSR Prepaid Bill Credits'!L154</f>
        <v>-563867.45869360014</v>
      </c>
      <c r="I188" s="154">
        <f t="shared" si="19"/>
        <v>126013.10301461257</v>
      </c>
      <c r="J188" s="154">
        <f t="shared" si="21"/>
        <v>41858551.099542066</v>
      </c>
      <c r="K188" s="138">
        <f t="shared" si="18"/>
        <v>41604817.045883551</v>
      </c>
      <c r="L188" s="138"/>
      <c r="M188" s="243"/>
    </row>
    <row r="189" spans="1:13">
      <c r="A189" s="187">
        <v>3</v>
      </c>
      <c r="B189" s="168">
        <v>45199</v>
      </c>
      <c r="C189" s="138">
        <f t="shared" si="17"/>
        <v>30</v>
      </c>
      <c r="F189" s="196">
        <f t="shared" si="20"/>
        <v>3.56618E-2</v>
      </c>
      <c r="G189" s="188"/>
      <c r="H189" s="192">
        <f>-'LSR Prepaid Bill Credits'!L155</f>
        <v>-563867.45869360014</v>
      </c>
      <c r="I189" s="154">
        <f t="shared" si="19"/>
        <v>120295.40843740691</v>
      </c>
      <c r="J189" s="154">
        <f t="shared" si="21"/>
        <v>41414979.049285874</v>
      </c>
      <c r="K189" s="138">
        <f t="shared" si="18"/>
        <v>41414979.049285874</v>
      </c>
      <c r="L189" s="138"/>
      <c r="M189" s="243"/>
    </row>
    <row r="190" spans="1:13">
      <c r="A190" s="187">
        <v>1</v>
      </c>
      <c r="B190" s="168">
        <v>45230</v>
      </c>
      <c r="C190" s="138">
        <f t="shared" si="17"/>
        <v>31</v>
      </c>
      <c r="F190" s="196">
        <f t="shared" si="20"/>
        <v>3.56618E-2</v>
      </c>
      <c r="G190" s="188"/>
      <c r="H190" s="192">
        <f>-'LSR Prepaid Bill Credits'!L156</f>
        <v>-598714.46764086466</v>
      </c>
      <c r="I190" s="154">
        <f t="shared" si="19"/>
        <v>123624.72710133959</v>
      </c>
      <c r="J190" s="154">
        <f t="shared" si="21"/>
        <v>40939889.308746353</v>
      </c>
      <c r="K190" s="138">
        <f t="shared" ref="K190:K199" si="22">IF(A190=3,J190,IF(A190=1,J190-I190,J190-I190-I189))</f>
        <v>40816264.581645012</v>
      </c>
      <c r="L190" s="138"/>
      <c r="M190" s="243"/>
    </row>
    <row r="191" spans="1:13">
      <c r="A191" s="187">
        <v>2</v>
      </c>
      <c r="B191" s="168">
        <v>45260</v>
      </c>
      <c r="C191" s="138">
        <f t="shared" si="17"/>
        <v>30</v>
      </c>
      <c r="F191" s="196">
        <f t="shared" si="20"/>
        <v>3.56618E-2</v>
      </c>
      <c r="G191" s="188"/>
      <c r="H191" s="192">
        <f>-'LSR Prepaid Bill Credits'!L157</f>
        <v>-598714.46764086466</v>
      </c>
      <c r="I191" s="154">
        <f t="shared" si="19"/>
        <v>117881.93660182958</v>
      </c>
      <c r="J191" s="154">
        <f t="shared" si="21"/>
        <v>40459056.777707323</v>
      </c>
      <c r="K191" s="138">
        <f t="shared" si="22"/>
        <v>40217550.11400415</v>
      </c>
      <c r="L191" s="138"/>
      <c r="M191" s="243"/>
    </row>
    <row r="192" spans="1:13">
      <c r="A192" s="187">
        <v>3</v>
      </c>
      <c r="B192" s="168">
        <v>45291</v>
      </c>
      <c r="C192" s="138">
        <f t="shared" si="17"/>
        <v>31</v>
      </c>
      <c r="F192" s="196">
        <f t="shared" si="20"/>
        <v>3.56618E-2</v>
      </c>
      <c r="G192" s="188"/>
      <c r="H192" s="192">
        <f>-'LSR Prepaid Bill Credits'!L158</f>
        <v>-598714.46764086466</v>
      </c>
      <c r="I192" s="154">
        <f t="shared" si="19"/>
        <v>119997.94187577488</v>
      </c>
      <c r="J192" s="154">
        <f t="shared" si="21"/>
        <v>39980340.25194224</v>
      </c>
      <c r="K192" s="138">
        <f t="shared" si="22"/>
        <v>39980340.25194224</v>
      </c>
      <c r="L192" s="138"/>
      <c r="M192" s="243"/>
    </row>
    <row r="193" spans="1:13" s="153" customFormat="1">
      <c r="A193" s="194">
        <v>1</v>
      </c>
      <c r="B193" s="195">
        <v>45322</v>
      </c>
      <c r="C193" s="312">
        <f t="shared" si="17"/>
        <v>31</v>
      </c>
      <c r="D193" s="195"/>
      <c r="E193" s="312"/>
      <c r="F193" s="196">
        <f t="shared" si="20"/>
        <v>3.56618E-2</v>
      </c>
      <c r="G193" s="188"/>
      <c r="H193" s="192">
        <f>-'LSR Prepaid Bill Credits'!L159</f>
        <v>-598714.46764086466</v>
      </c>
      <c r="I193" s="312">
        <f t="shared" si="19"/>
        <v>119279.47817597965</v>
      </c>
      <c r="J193" s="312">
        <f t="shared" si="21"/>
        <v>39500905.262477361</v>
      </c>
      <c r="K193" s="312">
        <f t="shared" si="22"/>
        <v>39381625.784301378</v>
      </c>
      <c r="L193" s="312"/>
      <c r="M193" s="243"/>
    </row>
    <row r="194" spans="1:13" s="153" customFormat="1">
      <c r="A194" s="194">
        <v>2</v>
      </c>
      <c r="B194" s="195">
        <v>45351</v>
      </c>
      <c r="C194" s="312">
        <v>29</v>
      </c>
      <c r="D194" s="195"/>
      <c r="E194" s="312"/>
      <c r="F194" s="196">
        <f t="shared" si="20"/>
        <v>3.56618E-2</v>
      </c>
      <c r="G194" s="188"/>
      <c r="H194" s="192">
        <f>-'LSR Prepaid Bill Credits'!L160</f>
        <v>-598714.46764086466</v>
      </c>
      <c r="I194" s="312">
        <f t="shared" si="19"/>
        <v>109887.62843008777</v>
      </c>
      <c r="J194" s="312">
        <f t="shared" si="21"/>
        <v>39012078.42326659</v>
      </c>
      <c r="K194" s="312">
        <f t="shared" si="22"/>
        <v>38782911.316660516</v>
      </c>
      <c r="L194" s="312"/>
      <c r="M194" s="243"/>
    </row>
    <row r="195" spans="1:13" s="153" customFormat="1">
      <c r="A195" s="194">
        <v>3</v>
      </c>
      <c r="B195" s="195">
        <v>45382</v>
      </c>
      <c r="C195" s="312">
        <f t="shared" si="17"/>
        <v>31</v>
      </c>
      <c r="D195" s="195"/>
      <c r="E195" s="312"/>
      <c r="F195" s="196">
        <f t="shared" si="20"/>
        <v>3.56618E-2</v>
      </c>
      <c r="G195" s="188"/>
      <c r="H195" s="192">
        <f>-'LSR Prepaid Bill Credits'!L161</f>
        <v>-598714.46764086466</v>
      </c>
      <c r="I195" s="312">
        <f t="shared" si="19"/>
        <v>115652.6929504149</v>
      </c>
      <c r="J195" s="312">
        <f t="shared" si="21"/>
        <v>38529016.64857614</v>
      </c>
      <c r="K195" s="312">
        <f t="shared" si="22"/>
        <v>38529016.64857614</v>
      </c>
      <c r="L195" s="312"/>
      <c r="M195" s="243"/>
    </row>
    <row r="196" spans="1:13" s="153" customFormat="1">
      <c r="A196" s="194">
        <v>1</v>
      </c>
      <c r="B196" s="195">
        <v>45412</v>
      </c>
      <c r="C196" s="312">
        <f t="shared" si="17"/>
        <v>30</v>
      </c>
      <c r="D196" s="195"/>
      <c r="E196" s="312"/>
      <c r="F196" s="196">
        <f t="shared" si="20"/>
        <v>3.56618E-2</v>
      </c>
      <c r="G196" s="188"/>
      <c r="H196" s="192">
        <f>-'LSR Prepaid Bill Credits'!L162</f>
        <v>-598714.46764086466</v>
      </c>
      <c r="I196" s="312">
        <f t="shared" si="19"/>
        <v>111177.76851912968</v>
      </c>
      <c r="J196" s="312">
        <f t="shared" si="21"/>
        <v>38041479.949454412</v>
      </c>
      <c r="K196" s="312">
        <f t="shared" si="22"/>
        <v>37930302.180935279</v>
      </c>
      <c r="L196" s="312"/>
      <c r="M196" s="243"/>
    </row>
    <row r="197" spans="1:13" s="153" customFormat="1">
      <c r="A197" s="194">
        <v>2</v>
      </c>
      <c r="B197" s="195">
        <v>45443</v>
      </c>
      <c r="C197" s="312">
        <f t="shared" si="17"/>
        <v>31</v>
      </c>
      <c r="D197" s="195"/>
      <c r="E197" s="312"/>
      <c r="F197" s="196">
        <f t="shared" si="20"/>
        <v>3.56618E-2</v>
      </c>
      <c r="G197" s="188"/>
      <c r="H197" s="192">
        <f>-'LSR Prepaid Bill Credits'!L163</f>
        <v>-598714.46764086466</v>
      </c>
      <c r="I197" s="312">
        <f t="shared" si="19"/>
        <v>113070.30152365162</v>
      </c>
      <c r="J197" s="312">
        <f t="shared" si="21"/>
        <v>37555835.783337198</v>
      </c>
      <c r="K197" s="312">
        <f t="shared" si="22"/>
        <v>37331587.713294417</v>
      </c>
      <c r="L197" s="312"/>
      <c r="M197" s="243"/>
    </row>
    <row r="198" spans="1:13" s="153" customFormat="1">
      <c r="A198" s="194">
        <v>3</v>
      </c>
      <c r="B198" s="195">
        <v>45473</v>
      </c>
      <c r="C198" s="312">
        <f t="shared" ref="C198:C205" si="23">DAY(B198)</f>
        <v>30</v>
      </c>
      <c r="D198" s="195"/>
      <c r="E198" s="312"/>
      <c r="F198" s="196">
        <f t="shared" si="20"/>
        <v>3.56618E-2</v>
      </c>
      <c r="G198" s="188"/>
      <c r="H198" s="192">
        <f>-'LSR Prepaid Bill Credits'!L164</f>
        <v>-598714.46764086466</v>
      </c>
      <c r="I198" s="312">
        <f t="shared" si="19"/>
        <v>107667.97636535738</v>
      </c>
      <c r="J198" s="312">
        <f t="shared" si="21"/>
        <v>37064789.292061694</v>
      </c>
      <c r="K198" s="312">
        <f t="shared" si="22"/>
        <v>37064789.292061694</v>
      </c>
      <c r="L198" s="312"/>
      <c r="M198" s="243"/>
    </row>
    <row r="199" spans="1:13" s="153" customFormat="1">
      <c r="A199" s="194">
        <v>1</v>
      </c>
      <c r="B199" s="195">
        <v>45504</v>
      </c>
      <c r="C199" s="312">
        <f t="shared" si="23"/>
        <v>31</v>
      </c>
      <c r="D199" s="195"/>
      <c r="E199" s="312"/>
      <c r="F199" s="196">
        <f t="shared" si="20"/>
        <v>3.56618E-2</v>
      </c>
      <c r="G199" s="188"/>
      <c r="H199" s="192">
        <f>-'LSR Prepaid Bill Credits'!L165</f>
        <v>-598714.46764086466</v>
      </c>
      <c r="I199" s="312">
        <f t="shared" si="19"/>
        <v>110448.8270750122</v>
      </c>
      <c r="J199" s="312">
        <f t="shared" si="21"/>
        <v>36576523.651495844</v>
      </c>
      <c r="K199" s="312">
        <f t="shared" si="22"/>
        <v>36466074.824420832</v>
      </c>
      <c r="L199" s="312"/>
      <c r="M199" s="243"/>
    </row>
    <row r="200" spans="1:13" s="153" customFormat="1">
      <c r="A200" s="194">
        <v>2</v>
      </c>
      <c r="B200" s="195">
        <v>45535</v>
      </c>
      <c r="C200" s="312">
        <f t="shared" si="23"/>
        <v>31</v>
      </c>
      <c r="D200" s="195"/>
      <c r="E200" s="312"/>
      <c r="F200" s="196">
        <f t="shared" si="20"/>
        <v>3.56618E-2</v>
      </c>
      <c r="G200" s="188"/>
      <c r="H200" s="192">
        <f>-'LSR Prepaid Bill Credits'!L166</f>
        <v>-598714.46764086466</v>
      </c>
      <c r="I200" s="312">
        <f t="shared" si="19"/>
        <v>108635.43446222984</v>
      </c>
      <c r="J200" s="312">
        <f>J199+G200+H200+I200</f>
        <v>36086444.618317209</v>
      </c>
      <c r="K200" s="312">
        <f>IF(A200=3,J200,IF(A200=1,J200-I200,J200-I200-I199))</f>
        <v>35867360.35677997</v>
      </c>
      <c r="L200" s="312"/>
      <c r="M200" s="243"/>
    </row>
    <row r="201" spans="1:13" s="153" customFormat="1">
      <c r="A201" s="194">
        <v>3</v>
      </c>
      <c r="B201" s="195">
        <v>45565</v>
      </c>
      <c r="C201" s="312">
        <f t="shared" si="23"/>
        <v>30</v>
      </c>
      <c r="D201" s="195"/>
      <c r="E201" s="312"/>
      <c r="F201" s="196">
        <f t="shared" si="20"/>
        <v>3.56618E-2</v>
      </c>
      <c r="G201" s="188"/>
      <c r="H201" s="192">
        <f>-'LSR Prepaid Bill Credits'!L167</f>
        <v>-598714.46764086466</v>
      </c>
      <c r="I201" s="312">
        <f>(((K200+H201)*C201)+(G201*E201))*(F201/365)</f>
        <v>103376.16953172337</v>
      </c>
      <c r="J201" s="312">
        <f>J200+G201+H201+I201</f>
        <v>35591106.320208073</v>
      </c>
      <c r="K201" s="312">
        <f t="shared" ref="K201:K231" si="24">IF(A201=3,J201,IF(A201=1,J201-I201,J201-I201-I200))</f>
        <v>35591106.320208073</v>
      </c>
      <c r="L201" s="312"/>
      <c r="M201" s="243"/>
    </row>
    <row r="202" spans="1:13" s="153" customFormat="1">
      <c r="A202" s="194">
        <v>1</v>
      </c>
      <c r="B202" s="195">
        <v>45596</v>
      </c>
      <c r="C202" s="312">
        <f t="shared" si="23"/>
        <v>31</v>
      </c>
      <c r="D202" s="195"/>
      <c r="E202" s="312"/>
      <c r="F202" s="196">
        <f t="shared" si="20"/>
        <v>3.56618E-2</v>
      </c>
      <c r="G202" s="188"/>
      <c r="H202" s="192">
        <f>-'LSR Prepaid Bill Credits'!L168</f>
        <v>-598714.46764086466</v>
      </c>
      <c r="I202" s="312">
        <f t="shared" ref="I202:I213" si="25">(((K201+H202)*C202)+(G202*E202))*(F202/365)</f>
        <v>105985.3207474091</v>
      </c>
      <c r="J202" s="312">
        <f t="shared" ref="J202:J213" si="26">J201+G202+H202+I202</f>
        <v>35098377.173314624</v>
      </c>
      <c r="K202" s="312">
        <f t="shared" si="24"/>
        <v>34992391.852567211</v>
      </c>
      <c r="L202" s="312"/>
      <c r="M202" s="243"/>
    </row>
    <row r="203" spans="1:13">
      <c r="A203" s="187">
        <v>2</v>
      </c>
      <c r="B203" s="168">
        <v>45626</v>
      </c>
      <c r="C203" s="138">
        <f t="shared" si="23"/>
        <v>30</v>
      </c>
      <c r="F203" s="196">
        <f t="shared" si="20"/>
        <v>3.56618E-2</v>
      </c>
      <c r="G203" s="188"/>
      <c r="H203" s="192">
        <f>-'LSR Prepaid Bill Credits'!L169</f>
        <v>-598714.46764086466</v>
      </c>
      <c r="I203" s="154">
        <f t="shared" si="25"/>
        <v>100811.54335609041</v>
      </c>
      <c r="J203" s="154">
        <f t="shared" si="26"/>
        <v>34600474.249029852</v>
      </c>
      <c r="K203" s="154">
        <f t="shared" si="24"/>
        <v>34393677.384926349</v>
      </c>
      <c r="L203" s="138"/>
      <c r="M203" s="243"/>
    </row>
    <row r="204" spans="1:13">
      <c r="A204" s="187">
        <v>3</v>
      </c>
      <c r="B204" s="168">
        <v>45657</v>
      </c>
      <c r="C204" s="138">
        <f t="shared" si="23"/>
        <v>31</v>
      </c>
      <c r="F204" s="196">
        <f t="shared" si="20"/>
        <v>3.56618E-2</v>
      </c>
      <c r="G204" s="188"/>
      <c r="H204" s="192">
        <f>-'LSR Prepaid Bill Credits'!L170</f>
        <v>-598714.46764086466</v>
      </c>
      <c r="I204" s="154">
        <f t="shared" si="25"/>
        <v>102358.53552184439</v>
      </c>
      <c r="J204" s="154">
        <f t="shared" si="26"/>
        <v>34104118.316910833</v>
      </c>
      <c r="K204" s="154">
        <f t="shared" si="24"/>
        <v>34104118.316910833</v>
      </c>
      <c r="L204" s="138"/>
      <c r="M204" s="243"/>
    </row>
    <row r="205" spans="1:13">
      <c r="A205" s="187">
        <v>1</v>
      </c>
      <c r="B205" s="168">
        <v>45688</v>
      </c>
      <c r="C205" s="138">
        <f t="shared" si="23"/>
        <v>31</v>
      </c>
      <c r="F205" s="196">
        <f t="shared" si="20"/>
        <v>3.56618E-2</v>
      </c>
      <c r="G205" s="188"/>
      <c r="H205" s="192">
        <f>-'LSR Prepaid Bill Credits'!L171</f>
        <v>-598714.46764086466</v>
      </c>
      <c r="I205" s="154">
        <f t="shared" si="25"/>
        <v>101481.51600205142</v>
      </c>
      <c r="J205" s="154">
        <f t="shared" si="26"/>
        <v>33606885.365272015</v>
      </c>
      <c r="K205" s="154">
        <f t="shared" si="24"/>
        <v>33505403.849269964</v>
      </c>
      <c r="L205" s="138"/>
      <c r="M205" s="243"/>
    </row>
    <row r="206" spans="1:13">
      <c r="A206" s="187">
        <v>2</v>
      </c>
      <c r="B206" s="168">
        <v>45716</v>
      </c>
      <c r="C206" s="154">
        <v>28</v>
      </c>
      <c r="F206" s="196">
        <f t="shared" si="20"/>
        <v>3.56618E-2</v>
      </c>
      <c r="G206" s="188"/>
      <c r="H206" s="192">
        <f>-'LSR Prepaid Bill Credits'!L172</f>
        <v>-598714.46764086466</v>
      </c>
      <c r="I206" s="154">
        <f t="shared" si="25"/>
        <v>90022.821125791379</v>
      </c>
      <c r="J206" s="154">
        <f t="shared" si="26"/>
        <v>33098193.71875694</v>
      </c>
      <c r="K206" s="154">
        <f t="shared" si="24"/>
        <v>32906689.381629098</v>
      </c>
      <c r="L206" s="138"/>
      <c r="M206" s="243"/>
    </row>
    <row r="207" spans="1:13">
      <c r="A207" s="187">
        <v>3</v>
      </c>
      <c r="B207" s="168">
        <v>45747</v>
      </c>
      <c r="C207" s="138">
        <f t="shared" ref="C207:C217" si="27">DAY(B207)</f>
        <v>31</v>
      </c>
      <c r="F207" s="196">
        <f t="shared" si="20"/>
        <v>3.56618E-2</v>
      </c>
      <c r="G207" s="188"/>
      <c r="H207" s="192">
        <f>-'LSR Prepaid Bill Credits'!L173</f>
        <v>-598714.46764086466</v>
      </c>
      <c r="I207" s="154">
        <f t="shared" si="25"/>
        <v>97854.730776486656</v>
      </c>
      <c r="J207" s="154">
        <f t="shared" si="26"/>
        <v>32597333.98189256</v>
      </c>
      <c r="K207" s="154">
        <f t="shared" si="24"/>
        <v>32597333.98189256</v>
      </c>
      <c r="L207" s="138"/>
      <c r="M207" s="243"/>
    </row>
    <row r="208" spans="1:13">
      <c r="A208" s="187">
        <v>1</v>
      </c>
      <c r="B208" s="168">
        <v>45777</v>
      </c>
      <c r="C208" s="138">
        <f t="shared" si="27"/>
        <v>30</v>
      </c>
      <c r="F208" s="196">
        <f t="shared" si="20"/>
        <v>3.56618E-2</v>
      </c>
      <c r="G208" s="188"/>
      <c r="H208" s="192">
        <f>-'LSR Prepaid Bill Credits'!L174</f>
        <v>-598714.46764086466</v>
      </c>
      <c r="I208" s="154">
        <f t="shared" si="25"/>
        <v>93791.37282684994</v>
      </c>
      <c r="J208" s="154">
        <f t="shared" si="26"/>
        <v>32092410.887078542</v>
      </c>
      <c r="K208" s="154">
        <f t="shared" si="24"/>
        <v>31998619.514251694</v>
      </c>
      <c r="L208" s="138"/>
      <c r="M208" s="243"/>
    </row>
    <row r="209" spans="1:13">
      <c r="A209" s="187">
        <v>2</v>
      </c>
      <c r="B209" s="168">
        <v>45808</v>
      </c>
      <c r="C209" s="138">
        <f t="shared" si="27"/>
        <v>31</v>
      </c>
      <c r="F209" s="196">
        <f t="shared" si="20"/>
        <v>3.56618E-2</v>
      </c>
      <c r="G209" s="188"/>
      <c r="H209" s="192">
        <f>-'LSR Prepaid Bill Credits'!L175</f>
        <v>-598714.46764086466</v>
      </c>
      <c r="I209" s="154">
        <f t="shared" si="25"/>
        <v>95104.359308295912</v>
      </c>
      <c r="J209" s="154">
        <f t="shared" si="26"/>
        <v>31588800.778745972</v>
      </c>
      <c r="K209" s="154">
        <f t="shared" si="24"/>
        <v>31399905.046610828</v>
      </c>
      <c r="L209" s="138"/>
      <c r="M209" s="243"/>
    </row>
    <row r="210" spans="1:13">
      <c r="A210" s="187">
        <v>3</v>
      </c>
      <c r="B210" s="168">
        <v>45838</v>
      </c>
      <c r="C210" s="138">
        <f t="shared" si="27"/>
        <v>30</v>
      </c>
      <c r="F210" s="196">
        <f t="shared" si="20"/>
        <v>3.56618E-2</v>
      </c>
      <c r="G210" s="188"/>
      <c r="H210" s="192">
        <f>-'LSR Prepaid Bill Credits'!L176</f>
        <v>-598714.46764086466</v>
      </c>
      <c r="I210" s="154">
        <f t="shared" si="25"/>
        <v>90281.580673077624</v>
      </c>
      <c r="J210" s="154">
        <f t="shared" si="26"/>
        <v>31080367.891778182</v>
      </c>
      <c r="K210" s="154">
        <f t="shared" si="24"/>
        <v>31080367.891778182</v>
      </c>
      <c r="L210" s="138"/>
      <c r="M210" s="243"/>
    </row>
    <row r="211" spans="1:13">
      <c r="A211" s="187">
        <v>1</v>
      </c>
      <c r="B211" s="168">
        <v>45869</v>
      </c>
      <c r="C211" s="138">
        <f t="shared" si="27"/>
        <v>31</v>
      </c>
      <c r="F211" s="196">
        <f t="shared" si="20"/>
        <v>3.56618E-2</v>
      </c>
      <c r="G211" s="188"/>
      <c r="H211" s="192">
        <f>-'LSR Prepaid Bill Credits'!L177</f>
        <v>-598714.46764086466</v>
      </c>
      <c r="I211" s="154">
        <f t="shared" si="25"/>
        <v>92323.149234268232</v>
      </c>
      <c r="J211" s="154">
        <f t="shared" si="26"/>
        <v>30573976.573371585</v>
      </c>
      <c r="K211" s="154">
        <f t="shared" si="24"/>
        <v>30481653.424137317</v>
      </c>
      <c r="L211" s="138"/>
      <c r="M211" s="243"/>
    </row>
    <row r="212" spans="1:13">
      <c r="A212" s="187">
        <v>2</v>
      </c>
      <c r="B212" s="168">
        <v>45900</v>
      </c>
      <c r="C212" s="138">
        <f t="shared" si="27"/>
        <v>31</v>
      </c>
      <c r="F212" s="196">
        <f t="shared" si="20"/>
        <v>3.56618E-2</v>
      </c>
      <c r="G212" s="188"/>
      <c r="H212" s="192">
        <f>-'LSR Prepaid Bill Credits'!L178</f>
        <v>-598714.46764086466</v>
      </c>
      <c r="I212" s="154">
        <f t="shared" si="25"/>
        <v>90509.756621485853</v>
      </c>
      <c r="J212" s="154">
        <f t="shared" si="26"/>
        <v>30065771.862352207</v>
      </c>
      <c r="K212" s="154">
        <f t="shared" si="24"/>
        <v>29882938.956496451</v>
      </c>
      <c r="L212" s="138"/>
      <c r="M212" s="243"/>
    </row>
    <row r="213" spans="1:13">
      <c r="A213" s="187">
        <v>3</v>
      </c>
      <c r="B213" s="168">
        <v>45930</v>
      </c>
      <c r="C213" s="138">
        <f t="shared" si="27"/>
        <v>30</v>
      </c>
      <c r="F213" s="196">
        <f t="shared" si="20"/>
        <v>3.56618E-2</v>
      </c>
      <c r="G213" s="188"/>
      <c r="H213" s="192">
        <f>-'LSR Prepaid Bill Credits'!L179</f>
        <v>-598714.46764086466</v>
      </c>
      <c r="I213" s="154">
        <f t="shared" si="25"/>
        <v>85835.190976164668</v>
      </c>
      <c r="J213" s="154">
        <f t="shared" si="26"/>
        <v>29552892.585687507</v>
      </c>
      <c r="K213" s="154">
        <f t="shared" si="24"/>
        <v>29552892.585687507</v>
      </c>
      <c r="L213" s="138"/>
      <c r="M213" s="243"/>
    </row>
    <row r="214" spans="1:13">
      <c r="A214" s="187">
        <v>1</v>
      </c>
      <c r="B214" s="168">
        <v>45961</v>
      </c>
      <c r="C214" s="138">
        <f t="shared" si="27"/>
        <v>31</v>
      </c>
      <c r="F214" s="196">
        <f t="shared" si="20"/>
        <v>3.56618E-2</v>
      </c>
      <c r="G214" s="188"/>
      <c r="H214" s="192">
        <f>-'LSR Prepaid Bill Credits'!L180</f>
        <v>-635715.02174107009</v>
      </c>
      <c r="I214" s="154">
        <f>(((K213+H214)*C214)+(G214*E214))*(F214/365)</f>
        <v>87584.648461228207</v>
      </c>
      <c r="J214" s="154">
        <f>J213+G214+H214+I214</f>
        <v>29004762.212407663</v>
      </c>
      <c r="K214" s="154">
        <f t="shared" si="24"/>
        <v>28917177.563946437</v>
      </c>
      <c r="L214" s="138"/>
      <c r="M214" s="243"/>
    </row>
    <row r="215" spans="1:13">
      <c r="A215" s="187">
        <v>2</v>
      </c>
      <c r="B215" s="168">
        <v>45991</v>
      </c>
      <c r="C215" s="138">
        <f t="shared" si="27"/>
        <v>30</v>
      </c>
      <c r="F215" s="196">
        <f t="shared" si="20"/>
        <v>3.56618E-2</v>
      </c>
      <c r="G215" s="188"/>
      <c r="H215" s="192">
        <f>-'LSR Prepaid Bill Credits'!L181</f>
        <v>-635715.02174107009</v>
      </c>
      <c r="I215" s="154">
        <f>(((K214+H215)*C215)+(G215*E215))*(F215/365)</f>
        <v>82895.988566105691</v>
      </c>
      <c r="J215" s="154">
        <f>J214+G215+H215+I215</f>
        <v>28451943.179232698</v>
      </c>
      <c r="K215" s="154">
        <f t="shared" si="24"/>
        <v>28281462.542205367</v>
      </c>
      <c r="L215" s="138"/>
      <c r="M215" s="243"/>
    </row>
    <row r="216" spans="1:13">
      <c r="A216" s="187">
        <v>3</v>
      </c>
      <c r="B216" s="168">
        <v>46022</v>
      </c>
      <c r="C216" s="138">
        <f t="shared" si="27"/>
        <v>31</v>
      </c>
      <c r="F216" s="196">
        <f t="shared" si="20"/>
        <v>3.56618E-2</v>
      </c>
      <c r="G216" s="188"/>
      <c r="H216" s="192">
        <f>-'LSR Prepaid Bill Credits'!L182</f>
        <v>-635715.02174107009</v>
      </c>
      <c r="I216" s="154">
        <f>(((K215+H216)*C216)+(G216*E216))*(F216/365)</f>
        <v>83733.727908723566</v>
      </c>
      <c r="J216" s="154">
        <f>J215+G216+H216+I216</f>
        <v>27899961.885400351</v>
      </c>
      <c r="K216" s="154">
        <f t="shared" si="24"/>
        <v>27899961.885400351</v>
      </c>
      <c r="L216" s="138"/>
      <c r="M216" s="243"/>
    </row>
    <row r="217" spans="1:13">
      <c r="A217" s="187">
        <v>1</v>
      </c>
      <c r="B217" s="168">
        <v>46053</v>
      </c>
      <c r="C217" s="138">
        <f t="shared" si="27"/>
        <v>31</v>
      </c>
      <c r="F217" s="196">
        <f t="shared" si="20"/>
        <v>3.56618E-2</v>
      </c>
      <c r="G217" s="188"/>
      <c r="H217" s="192">
        <f>-'LSR Prepaid Bill Credits'!L183</f>
        <v>-635715.02174107009</v>
      </c>
      <c r="I217" s="154">
        <f>(((K216+H217)*C217)+(G217*E217))*(F217/365)</f>
        <v>82578.234747604874</v>
      </c>
      <c r="J217" s="154">
        <f>J216+G217+H217+I217</f>
        <v>27346825.098406885</v>
      </c>
      <c r="K217" s="154">
        <f t="shared" si="24"/>
        <v>27264246.863659281</v>
      </c>
      <c r="L217" s="138"/>
      <c r="M217" s="243"/>
    </row>
    <row r="218" spans="1:13">
      <c r="A218" s="187">
        <v>2</v>
      </c>
      <c r="B218" s="168">
        <v>46081</v>
      </c>
      <c r="C218" s="154">
        <v>28</v>
      </c>
      <c r="F218" s="196">
        <f t="shared" si="20"/>
        <v>3.56618E-2</v>
      </c>
      <c r="G218" s="188"/>
      <c r="H218" s="192">
        <f>-'LSR Prepaid Bill Credits'!L184</f>
        <v>-635715.02174107009</v>
      </c>
      <c r="I218" s="154">
        <f t="shared" ref="I218:I229" si="28">(((K217+H218)*C218)+(G218*E218))*(F218/365)</f>
        <v>72847.667264447475</v>
      </c>
      <c r="J218" s="154">
        <f t="shared" ref="J218:J229" si="29">J217+G218+H218+I218</f>
        <v>26783957.743930262</v>
      </c>
      <c r="K218" s="154">
        <f t="shared" si="24"/>
        <v>26628531.841918211</v>
      </c>
      <c r="L218" s="138"/>
      <c r="M218" s="243"/>
    </row>
    <row r="219" spans="1:13">
      <c r="A219" s="187">
        <v>3</v>
      </c>
      <c r="B219" s="168">
        <v>46112</v>
      </c>
      <c r="C219" s="138">
        <f t="shared" ref="C219:C229" si="30">DAY(B219)</f>
        <v>31</v>
      </c>
      <c r="F219" s="196">
        <f t="shared" si="20"/>
        <v>3.56618E-2</v>
      </c>
      <c r="G219" s="188"/>
      <c r="H219" s="192">
        <f>-'LSR Prepaid Bill Credits'!L185</f>
        <v>-635715.02174107009</v>
      </c>
      <c r="I219" s="154">
        <f t="shared" si="28"/>
        <v>78727.314195100233</v>
      </c>
      <c r="J219" s="154">
        <f t="shared" si="29"/>
        <v>26226970.036384292</v>
      </c>
      <c r="K219" s="154">
        <f t="shared" si="24"/>
        <v>26226970.036384292</v>
      </c>
      <c r="L219" s="138"/>
      <c r="M219" s="243"/>
    </row>
    <row r="220" spans="1:13">
      <c r="A220" s="187">
        <v>1</v>
      </c>
      <c r="B220" s="168">
        <v>46142</v>
      </c>
      <c r="C220" s="138">
        <f t="shared" si="30"/>
        <v>30</v>
      </c>
      <c r="F220" s="196">
        <f t="shared" si="20"/>
        <v>3.56618E-2</v>
      </c>
      <c r="G220" s="188"/>
      <c r="H220" s="192">
        <f>-'LSR Prepaid Bill Credits'!L186</f>
        <v>-635715.02174107009</v>
      </c>
      <c r="I220" s="154">
        <f t="shared" si="28"/>
        <v>75010.702855989352</v>
      </c>
      <c r="J220" s="154">
        <f t="shared" si="29"/>
        <v>25666265.717499211</v>
      </c>
      <c r="K220" s="154">
        <f t="shared" si="24"/>
        <v>25591255.014643222</v>
      </c>
      <c r="L220" s="138"/>
      <c r="M220" s="243"/>
    </row>
    <row r="221" spans="1:13">
      <c r="A221" s="187">
        <v>2</v>
      </c>
      <c r="B221" s="168">
        <v>46173</v>
      </c>
      <c r="C221" s="138">
        <f t="shared" si="30"/>
        <v>31</v>
      </c>
      <c r="F221" s="196">
        <f t="shared" si="20"/>
        <v>3.56618E-2</v>
      </c>
      <c r="G221" s="188"/>
      <c r="H221" s="192">
        <f>-'LSR Prepaid Bill Credits'!L187</f>
        <v>-635715.02174107009</v>
      </c>
      <c r="I221" s="154">
        <f t="shared" si="28"/>
        <v>75585.599341603331</v>
      </c>
      <c r="J221" s="154">
        <f t="shared" si="29"/>
        <v>25106136.295099746</v>
      </c>
      <c r="K221" s="154">
        <f t="shared" si="24"/>
        <v>24955539.992902152</v>
      </c>
      <c r="L221" s="138"/>
      <c r="M221" s="243"/>
    </row>
    <row r="222" spans="1:13">
      <c r="A222" s="187">
        <v>3</v>
      </c>
      <c r="B222" s="168">
        <v>46203</v>
      </c>
      <c r="C222" s="138">
        <f t="shared" si="30"/>
        <v>30</v>
      </c>
      <c r="F222" s="196">
        <f t="shared" si="20"/>
        <v>3.56618E-2</v>
      </c>
      <c r="G222" s="188"/>
      <c r="H222" s="192">
        <f>-'LSR Prepaid Bill Credits'!L188</f>
        <v>-635715.02174107009</v>
      </c>
      <c r="I222" s="154">
        <f t="shared" si="28"/>
        <v>71284.005547113891</v>
      </c>
      <c r="J222" s="154">
        <f t="shared" si="29"/>
        <v>24541705.27890579</v>
      </c>
      <c r="K222" s="154">
        <f t="shared" si="24"/>
        <v>24541705.27890579</v>
      </c>
      <c r="L222" s="138"/>
      <c r="M222" s="243"/>
    </row>
    <row r="223" spans="1:13">
      <c r="A223" s="187">
        <v>1</v>
      </c>
      <c r="B223" s="168">
        <v>46234</v>
      </c>
      <c r="C223" s="138">
        <f t="shared" si="30"/>
        <v>31</v>
      </c>
      <c r="F223" s="196">
        <f t="shared" si="20"/>
        <v>3.56618E-2</v>
      </c>
      <c r="G223" s="188"/>
      <c r="H223" s="192">
        <f>-'LSR Prepaid Bill Credits'!L189</f>
        <v>-635715.02174107009</v>
      </c>
      <c r="I223" s="154">
        <f t="shared" si="28"/>
        <v>72406.712175182634</v>
      </c>
      <c r="J223" s="154">
        <f t="shared" si="29"/>
        <v>23978396.969339903</v>
      </c>
      <c r="K223" s="154">
        <f t="shared" si="24"/>
        <v>23905990.25716472</v>
      </c>
      <c r="L223" s="138"/>
      <c r="M223" s="243"/>
    </row>
    <row r="224" spans="1:13">
      <c r="A224" s="187">
        <v>2</v>
      </c>
      <c r="B224" s="168">
        <v>46265</v>
      </c>
      <c r="C224" s="138">
        <f t="shared" si="30"/>
        <v>31</v>
      </c>
      <c r="F224" s="196">
        <f t="shared" si="20"/>
        <v>3.56618E-2</v>
      </c>
      <c r="G224" s="188"/>
      <c r="H224" s="192">
        <f>-'LSR Prepaid Bill Credits'!L190</f>
        <v>-635715.02174107009</v>
      </c>
      <c r="I224" s="154">
        <f t="shared" si="28"/>
        <v>70481.251898930306</v>
      </c>
      <c r="J224" s="154">
        <f t="shared" si="29"/>
        <v>23413163.199497763</v>
      </c>
      <c r="K224" s="154">
        <f t="shared" si="24"/>
        <v>23270275.235423651</v>
      </c>
      <c r="L224" s="138"/>
      <c r="M224" s="243"/>
    </row>
    <row r="225" spans="1:13">
      <c r="A225" s="187">
        <v>3</v>
      </c>
      <c r="B225" s="168">
        <v>46295</v>
      </c>
      <c r="C225" s="138">
        <f t="shared" si="30"/>
        <v>30</v>
      </c>
      <c r="F225" s="196">
        <f t="shared" ref="F225:F285" si="31">F224</f>
        <v>3.56618E-2</v>
      </c>
      <c r="G225" s="188"/>
      <c r="H225" s="192">
        <f>-'LSR Prepaid Bill Credits'!L191</f>
        <v>-635715.02174107009</v>
      </c>
      <c r="I225" s="154">
        <f t="shared" si="28"/>
        <v>66344.314473559352</v>
      </c>
      <c r="J225" s="154">
        <f t="shared" si="29"/>
        <v>22843792.492230251</v>
      </c>
      <c r="K225" s="154">
        <f t="shared" si="24"/>
        <v>22843792.492230251</v>
      </c>
      <c r="L225" s="138"/>
      <c r="M225" s="243"/>
    </row>
    <row r="226" spans="1:13">
      <c r="A226" s="187">
        <v>1</v>
      </c>
      <c r="B226" s="168">
        <v>46326</v>
      </c>
      <c r="C226" s="138">
        <f t="shared" si="30"/>
        <v>31</v>
      </c>
      <c r="F226" s="196">
        <f t="shared" si="31"/>
        <v>3.56618E-2</v>
      </c>
      <c r="G226" s="188"/>
      <c r="H226" s="192">
        <f>-'LSR Prepaid Bill Credits'!L192</f>
        <v>-635715.02174107009</v>
      </c>
      <c r="I226" s="154">
        <f t="shared" si="28"/>
        <v>67264.056249999514</v>
      </c>
      <c r="J226" s="154">
        <f t="shared" si="29"/>
        <v>22275341.52673918</v>
      </c>
      <c r="K226" s="154">
        <f t="shared" si="24"/>
        <v>22208077.470489182</v>
      </c>
      <c r="L226" s="138"/>
      <c r="M226" s="243"/>
    </row>
    <row r="227" spans="1:13">
      <c r="A227" s="187">
        <v>2</v>
      </c>
      <c r="B227" s="168">
        <v>46356</v>
      </c>
      <c r="C227" s="138">
        <f t="shared" si="30"/>
        <v>30</v>
      </c>
      <c r="F227" s="196">
        <f t="shared" si="31"/>
        <v>3.56618E-2</v>
      </c>
      <c r="G227" s="188"/>
      <c r="H227" s="192">
        <f>-'LSR Prepaid Bill Credits'!L193</f>
        <v>-635715.02174107009</v>
      </c>
      <c r="I227" s="154">
        <f t="shared" si="28"/>
        <v>63230.899329432774</v>
      </c>
      <c r="J227" s="154">
        <f t="shared" si="29"/>
        <v>21702857.404327542</v>
      </c>
      <c r="K227" s="154">
        <f t="shared" si="24"/>
        <v>21572362.448748112</v>
      </c>
      <c r="L227" s="138"/>
      <c r="M227" s="243"/>
    </row>
    <row r="228" spans="1:13">
      <c r="A228" s="187">
        <v>3</v>
      </c>
      <c r="B228" s="168">
        <v>46387</v>
      </c>
      <c r="C228" s="138">
        <f t="shared" si="30"/>
        <v>31</v>
      </c>
      <c r="F228" s="196">
        <f t="shared" si="31"/>
        <v>3.56618E-2</v>
      </c>
      <c r="G228" s="188"/>
      <c r="H228" s="192">
        <f>-'LSR Prepaid Bill Credits'!L194</f>
        <v>-635715.02174107009</v>
      </c>
      <c r="I228" s="154">
        <f t="shared" si="28"/>
        <v>63413.135697494879</v>
      </c>
      <c r="J228" s="154">
        <f t="shared" si="29"/>
        <v>21130555.518283967</v>
      </c>
      <c r="K228" s="154">
        <f t="shared" si="24"/>
        <v>21130555.518283967</v>
      </c>
      <c r="L228" s="138"/>
      <c r="M228" s="243"/>
    </row>
    <row r="229" spans="1:13">
      <c r="A229" s="187">
        <v>1</v>
      </c>
      <c r="B229" s="168">
        <v>46418</v>
      </c>
      <c r="C229" s="138">
        <f t="shared" si="30"/>
        <v>31</v>
      </c>
      <c r="F229" s="196">
        <f t="shared" si="31"/>
        <v>3.56618E-2</v>
      </c>
      <c r="G229" s="188"/>
      <c r="H229" s="192">
        <f>-'LSR Prepaid Bill Credits'!L195</f>
        <v>-635715.02174107009</v>
      </c>
      <c r="I229" s="154">
        <f t="shared" si="28"/>
        <v>62074.986266871281</v>
      </c>
      <c r="J229" s="154">
        <f t="shared" si="29"/>
        <v>20556915.482809767</v>
      </c>
      <c r="K229" s="154">
        <f t="shared" si="24"/>
        <v>20494840.496542897</v>
      </c>
      <c r="L229" s="138"/>
      <c r="M229" s="243"/>
    </row>
    <row r="230" spans="1:13">
      <c r="A230" s="187">
        <v>2</v>
      </c>
      <c r="B230" s="168">
        <v>46446</v>
      </c>
      <c r="C230" s="154">
        <v>28</v>
      </c>
      <c r="F230" s="196">
        <f t="shared" si="31"/>
        <v>3.56618E-2</v>
      </c>
      <c r="G230" s="188"/>
      <c r="H230" s="192">
        <f>-'LSR Prepaid Bill Credits'!L196</f>
        <v>-635715.02174107009</v>
      </c>
      <c r="I230" s="154">
        <f>(((K229+H230)*C230)+(G230*E230))*(F230/365)</f>
        <v>54328.604120559059</v>
      </c>
      <c r="J230" s="154">
        <f>J229+G230+H230+I230</f>
        <v>19975529.065189257</v>
      </c>
      <c r="K230" s="154">
        <f t="shared" si="24"/>
        <v>19859125.474801827</v>
      </c>
      <c r="L230" s="138"/>
      <c r="M230" s="243"/>
    </row>
    <row r="231" spans="1:13">
      <c r="A231" s="187">
        <v>3</v>
      </c>
      <c r="B231" s="168">
        <v>46477</v>
      </c>
      <c r="C231" s="138">
        <f t="shared" ref="C231:C241" si="32">DAY(B231)</f>
        <v>31</v>
      </c>
      <c r="F231" s="196">
        <f t="shared" si="31"/>
        <v>3.56618E-2</v>
      </c>
      <c r="G231" s="188"/>
      <c r="H231" s="192">
        <f>-'LSR Prepaid Bill Credits'!L197</f>
        <v>-635715.02174107009</v>
      </c>
      <c r="I231" s="154">
        <f t="shared" ref="I231:I283" si="33">(((K230+H231)*C231)+(G231*E231))*(F231/365)</f>
        <v>58224.065714366647</v>
      </c>
      <c r="J231" s="154">
        <f>J230+G231+H231+I231</f>
        <v>19398038.109162554</v>
      </c>
      <c r="K231" s="154">
        <f t="shared" si="24"/>
        <v>19398038.109162554</v>
      </c>
      <c r="L231" s="138"/>
      <c r="M231" s="243"/>
    </row>
    <row r="232" spans="1:13">
      <c r="A232" s="187">
        <v>1</v>
      </c>
      <c r="B232" s="258">
        <v>46507</v>
      </c>
      <c r="C232" s="138">
        <f t="shared" si="32"/>
        <v>30</v>
      </c>
      <c r="F232" s="196">
        <f t="shared" si="31"/>
        <v>3.56618E-2</v>
      </c>
      <c r="G232" s="188"/>
      <c r="H232" s="192">
        <f>-'LSR Prepaid Bill Credits'!L198</f>
        <v>-635715.02174107009</v>
      </c>
      <c r="I232" s="154">
        <f t="shared" si="33"/>
        <v>54994.373710603359</v>
      </c>
      <c r="J232" s="154">
        <f t="shared" ref="J232:J283" si="34">J231+G232+H232+I232</f>
        <v>18817317.461132087</v>
      </c>
      <c r="K232" s="154">
        <f t="shared" ref="K232:K283" si="35">IF(A232=3,J232,IF(A232=1,J232-I232,J232-I232-I231))</f>
        <v>18762323.087421484</v>
      </c>
      <c r="L232" s="138"/>
      <c r="M232" s="243"/>
    </row>
    <row r="233" spans="1:13">
      <c r="A233" s="187">
        <v>2</v>
      </c>
      <c r="B233" s="168">
        <v>46538</v>
      </c>
      <c r="C233" s="138">
        <f t="shared" si="32"/>
        <v>31</v>
      </c>
      <c r="F233" s="196">
        <f t="shared" si="31"/>
        <v>3.56618E-2</v>
      </c>
      <c r="G233" s="188"/>
      <c r="H233" s="192">
        <f>-'LSR Prepaid Bill Credits'!L199</f>
        <v>-635715.02174107009</v>
      </c>
      <c r="I233" s="154">
        <f t="shared" si="33"/>
        <v>54902.059224704484</v>
      </c>
      <c r="J233" s="154">
        <f t="shared" si="34"/>
        <v>18236504.498615723</v>
      </c>
      <c r="K233" s="154">
        <f t="shared" si="35"/>
        <v>18126608.065680414</v>
      </c>
      <c r="L233" s="138"/>
      <c r="M233" s="243"/>
    </row>
    <row r="234" spans="1:13">
      <c r="A234" s="187">
        <v>3</v>
      </c>
      <c r="B234" s="168">
        <v>46568</v>
      </c>
      <c r="C234" s="138">
        <f t="shared" si="32"/>
        <v>30</v>
      </c>
      <c r="F234" s="196">
        <f t="shared" si="31"/>
        <v>3.56618E-2</v>
      </c>
      <c r="G234" s="188"/>
      <c r="H234" s="192">
        <f>-'LSR Prepaid Bill Credits'!L200</f>
        <v>-635715.02174107009</v>
      </c>
      <c r="I234" s="154">
        <f t="shared" si="33"/>
        <v>51267.676401727898</v>
      </c>
      <c r="J234" s="154">
        <f t="shared" si="34"/>
        <v>17652057.15327638</v>
      </c>
      <c r="K234" s="154">
        <f t="shared" si="35"/>
        <v>17652057.15327638</v>
      </c>
      <c r="L234" s="138"/>
      <c r="M234" s="243"/>
    </row>
    <row r="235" spans="1:13">
      <c r="A235" s="187">
        <v>1</v>
      </c>
      <c r="B235" s="168">
        <v>46599</v>
      </c>
      <c r="C235" s="138">
        <f t="shared" si="32"/>
        <v>31</v>
      </c>
      <c r="F235" s="196">
        <f t="shared" si="31"/>
        <v>3.56618E-2</v>
      </c>
      <c r="G235" s="188"/>
      <c r="H235" s="192">
        <f>-'LSR Prepaid Bill Credits'!L201</f>
        <v>-635715.02174107009</v>
      </c>
      <c r="I235" s="154">
        <f t="shared" si="33"/>
        <v>51539.274204432782</v>
      </c>
      <c r="J235" s="154">
        <f t="shared" si="34"/>
        <v>17067881.405739743</v>
      </c>
      <c r="K235" s="154">
        <f t="shared" si="35"/>
        <v>17016342.13153531</v>
      </c>
      <c r="L235" s="138"/>
      <c r="M235" s="243"/>
    </row>
    <row r="236" spans="1:13">
      <c r="A236" s="187">
        <v>2</v>
      </c>
      <c r="B236" s="168">
        <v>46630</v>
      </c>
      <c r="C236" s="138">
        <f t="shared" si="32"/>
        <v>31</v>
      </c>
      <c r="F236" s="196">
        <f t="shared" si="31"/>
        <v>3.56618E-2</v>
      </c>
      <c r="G236" s="188"/>
      <c r="H236" s="192">
        <f>-'LSR Prepaid Bill Credits'!L202</f>
        <v>-635715.02174107009</v>
      </c>
      <c r="I236" s="154">
        <f t="shared" si="33"/>
        <v>49613.813928180454</v>
      </c>
      <c r="J236" s="154">
        <f t="shared" si="34"/>
        <v>16481780.197926855</v>
      </c>
      <c r="K236" s="154">
        <f t="shared" si="35"/>
        <v>16380627.10979424</v>
      </c>
      <c r="L236" s="138"/>
      <c r="M236" s="243"/>
    </row>
    <row r="237" spans="1:13">
      <c r="A237" s="187">
        <v>3</v>
      </c>
      <c r="B237" s="168">
        <v>46660</v>
      </c>
      <c r="C237" s="138">
        <f t="shared" si="32"/>
        <v>30</v>
      </c>
      <c r="F237" s="196">
        <f t="shared" si="31"/>
        <v>3.56618E-2</v>
      </c>
      <c r="G237" s="188"/>
      <c r="H237" s="192">
        <f>-'LSR Prepaid Bill Credits'!L203</f>
        <v>-635715.02174107009</v>
      </c>
      <c r="I237" s="154">
        <f t="shared" si="33"/>
        <v>46150.019663156265</v>
      </c>
      <c r="J237" s="154">
        <f t="shared" si="34"/>
        <v>15892215.195848942</v>
      </c>
      <c r="K237" s="154">
        <f t="shared" si="35"/>
        <v>15892215.195848942</v>
      </c>
      <c r="L237" s="138"/>
      <c r="M237" s="243"/>
    </row>
    <row r="238" spans="1:13">
      <c r="A238" s="187">
        <v>1</v>
      </c>
      <c r="B238" s="168">
        <v>46691</v>
      </c>
      <c r="C238" s="138">
        <f t="shared" si="32"/>
        <v>31</v>
      </c>
      <c r="F238" s="196">
        <f t="shared" si="31"/>
        <v>3.56618E-2</v>
      </c>
      <c r="G238" s="188"/>
      <c r="H238" s="192">
        <f>-'LSR Prepaid Bill Credits'!L204</f>
        <v>-675002.21008466824</v>
      </c>
      <c r="I238" s="154">
        <f t="shared" si="33"/>
        <v>46090.053117061863</v>
      </c>
      <c r="J238" s="154">
        <f t="shared" si="34"/>
        <v>15263303.038881335</v>
      </c>
      <c r="K238" s="154">
        <f t="shared" si="35"/>
        <v>15217212.985764274</v>
      </c>
      <c r="L238" s="138"/>
      <c r="M238" s="243"/>
    </row>
    <row r="239" spans="1:13">
      <c r="A239" s="187">
        <v>2</v>
      </c>
      <c r="B239" s="168">
        <v>46721</v>
      </c>
      <c r="C239" s="138">
        <f t="shared" si="32"/>
        <v>30</v>
      </c>
      <c r="F239" s="196">
        <f t="shared" si="31"/>
        <v>3.56618E-2</v>
      </c>
      <c r="G239" s="188"/>
      <c r="H239" s="192">
        <f>-'LSR Prepaid Bill Credits'!L205</f>
        <v>-675002.21008466824</v>
      </c>
      <c r="I239" s="154">
        <f t="shared" si="33"/>
        <v>42624.77360877789</v>
      </c>
      <c r="J239" s="154">
        <f t="shared" si="34"/>
        <v>14630925.602405446</v>
      </c>
      <c r="K239" s="154">
        <f t="shared" si="35"/>
        <v>14542210.775679607</v>
      </c>
      <c r="L239" s="138"/>
      <c r="M239" s="243"/>
    </row>
    <row r="240" spans="1:13">
      <c r="A240" s="187">
        <v>3</v>
      </c>
      <c r="B240" s="168">
        <v>46752</v>
      </c>
      <c r="C240" s="138">
        <f t="shared" si="32"/>
        <v>31</v>
      </c>
      <c r="F240" s="196">
        <f t="shared" si="31"/>
        <v>3.56618E-2</v>
      </c>
      <c r="G240" s="188"/>
      <c r="H240" s="192">
        <f>-'LSR Prepaid Bill Credits'!L206</f>
        <v>-675002.21008466824</v>
      </c>
      <c r="I240" s="154">
        <f t="shared" si="33"/>
        <v>42001.145674412444</v>
      </c>
      <c r="J240" s="154">
        <f t="shared" si="34"/>
        <v>13997924.537995191</v>
      </c>
      <c r="K240" s="154">
        <f t="shared" si="35"/>
        <v>13997924.537995191</v>
      </c>
      <c r="L240" s="138"/>
      <c r="M240" s="243"/>
    </row>
    <row r="241" spans="1:13">
      <c r="A241" s="187">
        <v>1</v>
      </c>
      <c r="B241" s="168">
        <v>46783</v>
      </c>
      <c r="C241" s="138">
        <f t="shared" si="32"/>
        <v>31</v>
      </c>
      <c r="F241" s="196">
        <f t="shared" si="31"/>
        <v>3.56618E-2</v>
      </c>
      <c r="G241" s="188"/>
      <c r="H241" s="192">
        <f>-'LSR Prepaid Bill Credits'!L207</f>
        <v>-675002.21008466824</v>
      </c>
      <c r="I241" s="154">
        <f t="shared" si="33"/>
        <v>40352.605851172229</v>
      </c>
      <c r="J241" s="154">
        <f t="shared" si="34"/>
        <v>13363274.933761695</v>
      </c>
      <c r="K241" s="154">
        <f t="shared" si="35"/>
        <v>13322922.327910524</v>
      </c>
      <c r="L241" s="138"/>
      <c r="M241" s="243"/>
    </row>
    <row r="242" spans="1:13">
      <c r="A242" s="187">
        <v>2</v>
      </c>
      <c r="B242" s="168">
        <v>46811</v>
      </c>
      <c r="C242" s="312">
        <v>29</v>
      </c>
      <c r="F242" s="196">
        <f t="shared" si="31"/>
        <v>3.56618E-2</v>
      </c>
      <c r="G242" s="188"/>
      <c r="H242" s="192">
        <f>-'LSR Prepaid Bill Credits'!L208</f>
        <v>-675002.21008466824</v>
      </c>
      <c r="I242" s="154">
        <f t="shared" si="33"/>
        <v>35836.658444050903</v>
      </c>
      <c r="J242" s="154">
        <f t="shared" si="34"/>
        <v>12724109.382121079</v>
      </c>
      <c r="K242" s="154">
        <f t="shared" si="35"/>
        <v>12647920.117825856</v>
      </c>
      <c r="L242" s="138"/>
      <c r="M242" s="243"/>
    </row>
    <row r="243" spans="1:13">
      <c r="A243" s="187">
        <v>3</v>
      </c>
      <c r="B243" s="168">
        <v>46843</v>
      </c>
      <c r="C243" s="138">
        <f t="shared" ref="C243:C253" si="36">DAY(B243)</f>
        <v>31</v>
      </c>
      <c r="F243" s="196">
        <f t="shared" si="31"/>
        <v>3.56618E-2</v>
      </c>
      <c r="G243" s="188"/>
      <c r="H243" s="192">
        <f>-'LSR Prepaid Bill Credits'!L209</f>
        <v>-675002.21008466824</v>
      </c>
      <c r="I243" s="154">
        <f t="shared" si="33"/>
        <v>36263.69840852281</v>
      </c>
      <c r="J243" s="154">
        <f t="shared" si="34"/>
        <v>12085370.870444935</v>
      </c>
      <c r="K243" s="154">
        <f t="shared" si="35"/>
        <v>12085370.870444935</v>
      </c>
      <c r="L243" s="138"/>
      <c r="M243" s="243"/>
    </row>
    <row r="244" spans="1:13">
      <c r="A244" s="187">
        <v>1</v>
      </c>
      <c r="B244" s="168">
        <v>46873</v>
      </c>
      <c r="C244" s="138">
        <f t="shared" si="36"/>
        <v>30</v>
      </c>
      <c r="F244" s="196">
        <f t="shared" si="31"/>
        <v>3.56618E-2</v>
      </c>
      <c r="G244" s="188"/>
      <c r="H244" s="192">
        <f>-'LSR Prepaid Bill Credits'!L210</f>
        <v>-675002.21008466824</v>
      </c>
      <c r="I244" s="154">
        <f t="shared" si="33"/>
        <v>33445.009733591978</v>
      </c>
      <c r="J244" s="154">
        <f t="shared" si="34"/>
        <v>11443813.670093859</v>
      </c>
      <c r="K244" s="154">
        <f t="shared" si="35"/>
        <v>11410368.660360267</v>
      </c>
      <c r="L244" s="138"/>
      <c r="M244" s="243"/>
    </row>
    <row r="245" spans="1:13">
      <c r="A245" s="187">
        <v>2</v>
      </c>
      <c r="B245" s="168">
        <v>46904</v>
      </c>
      <c r="C245" s="138">
        <f t="shared" si="36"/>
        <v>31</v>
      </c>
      <c r="F245" s="196">
        <f t="shared" si="31"/>
        <v>3.56618E-2</v>
      </c>
      <c r="G245" s="188"/>
      <c r="H245" s="192">
        <f>-'LSR Prepaid Bill Credits'!L211</f>
        <v>-675002.21008466824</v>
      </c>
      <c r="I245" s="154">
        <f t="shared" si="33"/>
        <v>32515.389670053672</v>
      </c>
      <c r="J245" s="154">
        <f t="shared" si="34"/>
        <v>10801326.849679245</v>
      </c>
      <c r="K245" s="154">
        <f t="shared" si="35"/>
        <v>10735366.4502756</v>
      </c>
      <c r="L245" s="138"/>
      <c r="M245" s="243"/>
    </row>
    <row r="246" spans="1:13">
      <c r="A246" s="187">
        <v>3</v>
      </c>
      <c r="B246" s="168">
        <v>46934</v>
      </c>
      <c r="C246" s="138">
        <f t="shared" si="36"/>
        <v>30</v>
      </c>
      <c r="F246" s="196">
        <f t="shared" si="31"/>
        <v>3.56618E-2</v>
      </c>
      <c r="G246" s="188"/>
      <c r="H246" s="192">
        <f>-'LSR Prepaid Bill Credits'!L212</f>
        <v>-675002.21008466824</v>
      </c>
      <c r="I246" s="154">
        <f t="shared" si="33"/>
        <v>29488.002531028029</v>
      </c>
      <c r="J246" s="154">
        <f t="shared" si="34"/>
        <v>10155812.642125605</v>
      </c>
      <c r="K246" s="154">
        <f t="shared" si="35"/>
        <v>10155812.642125605</v>
      </c>
      <c r="L246" s="138"/>
      <c r="M246" s="243"/>
    </row>
    <row r="247" spans="1:13">
      <c r="A247" s="187">
        <v>1</v>
      </c>
      <c r="B247" s="168">
        <v>46965</v>
      </c>
      <c r="C247" s="138">
        <f t="shared" si="36"/>
        <v>31</v>
      </c>
      <c r="F247" s="196">
        <f t="shared" si="31"/>
        <v>3.56618E-2</v>
      </c>
      <c r="G247" s="188"/>
      <c r="H247" s="192">
        <f>-'LSR Prepaid Bill Credits'!L213</f>
        <v>-675002.21008466824</v>
      </c>
      <c r="I247" s="154">
        <f t="shared" si="33"/>
        <v>28715.577340893378</v>
      </c>
      <c r="J247" s="154">
        <f t="shared" si="34"/>
        <v>9509526.0093818307</v>
      </c>
      <c r="K247" s="154">
        <f t="shared" si="35"/>
        <v>9480810.4320409372</v>
      </c>
      <c r="L247" s="138"/>
      <c r="M247" s="243"/>
    </row>
    <row r="248" spans="1:13">
      <c r="A248" s="187">
        <v>2</v>
      </c>
      <c r="B248" s="168">
        <v>46996</v>
      </c>
      <c r="C248" s="138">
        <f t="shared" si="36"/>
        <v>31</v>
      </c>
      <c r="F248" s="196">
        <f t="shared" si="31"/>
        <v>3.56618E-2</v>
      </c>
      <c r="G248" s="188"/>
      <c r="H248" s="192">
        <f>-'LSR Prepaid Bill Credits'!L214</f>
        <v>-675002.21008466824</v>
      </c>
      <c r="I248" s="154">
        <f t="shared" si="33"/>
        <v>26671.123619568669</v>
      </c>
      <c r="J248" s="154">
        <f t="shared" si="34"/>
        <v>8861194.9229167327</v>
      </c>
      <c r="K248" s="154">
        <f t="shared" si="35"/>
        <v>8805808.2219562698</v>
      </c>
      <c r="L248" s="138"/>
      <c r="M248" s="243"/>
    </row>
    <row r="249" spans="1:13">
      <c r="A249" s="187">
        <v>3</v>
      </c>
      <c r="B249" s="168">
        <v>47026</v>
      </c>
      <c r="C249" s="138">
        <f t="shared" si="36"/>
        <v>30</v>
      </c>
      <c r="F249" s="196">
        <f t="shared" si="31"/>
        <v>3.56618E-2</v>
      </c>
      <c r="G249" s="188"/>
      <c r="H249" s="192">
        <f>-'LSR Prepaid Bill Credits'!L215</f>
        <v>-675002.21008466824</v>
      </c>
      <c r="I249" s="154">
        <f t="shared" si="33"/>
        <v>23832.261191848986</v>
      </c>
      <c r="J249" s="154">
        <f t="shared" si="34"/>
        <v>8210024.974023913</v>
      </c>
      <c r="K249" s="154">
        <f t="shared" si="35"/>
        <v>8210024.974023913</v>
      </c>
      <c r="L249" s="138"/>
      <c r="M249" s="243"/>
    </row>
    <row r="250" spans="1:13">
      <c r="A250" s="187">
        <v>1</v>
      </c>
      <c r="B250" s="168">
        <v>47057</v>
      </c>
      <c r="C250" s="138">
        <f t="shared" si="36"/>
        <v>31</v>
      </c>
      <c r="F250" s="196">
        <f t="shared" si="31"/>
        <v>3.56618E-2</v>
      </c>
      <c r="G250" s="188"/>
      <c r="H250" s="192">
        <f>-'LSR Prepaid Bill Credits'!L216</f>
        <v>-675002.21008466824</v>
      </c>
      <c r="I250" s="154">
        <f t="shared" si="33"/>
        <v>22822.155394231522</v>
      </c>
      <c r="J250" s="154">
        <f t="shared" si="34"/>
        <v>7557844.9193334766</v>
      </c>
      <c r="K250" s="154">
        <f t="shared" si="35"/>
        <v>7535022.7639392447</v>
      </c>
      <c r="L250" s="138"/>
      <c r="M250" s="243"/>
    </row>
    <row r="251" spans="1:13">
      <c r="A251" s="187">
        <v>2</v>
      </c>
      <c r="B251" s="168">
        <v>47087</v>
      </c>
      <c r="C251" s="138">
        <f t="shared" si="36"/>
        <v>30</v>
      </c>
      <c r="F251" s="196">
        <f t="shared" si="31"/>
        <v>3.56618E-2</v>
      </c>
      <c r="G251" s="188"/>
      <c r="H251" s="192">
        <f>-'LSR Prepaid Bill Credits'!L217</f>
        <v>-675002.21008466824</v>
      </c>
      <c r="I251" s="154">
        <f t="shared" si="33"/>
        <v>20107.453231845298</v>
      </c>
      <c r="J251" s="154">
        <f t="shared" si="34"/>
        <v>6902950.1624806533</v>
      </c>
      <c r="K251" s="154">
        <f t="shared" si="35"/>
        <v>6860020.5538545763</v>
      </c>
      <c r="L251" s="138"/>
      <c r="M251" s="243"/>
    </row>
    <row r="252" spans="1:13">
      <c r="A252" s="187">
        <v>3</v>
      </c>
      <c r="B252" s="168">
        <v>47118</v>
      </c>
      <c r="C252" s="138">
        <f t="shared" si="36"/>
        <v>31</v>
      </c>
      <c r="F252" s="196">
        <f t="shared" si="31"/>
        <v>3.56618E-2</v>
      </c>
      <c r="G252" s="188"/>
      <c r="H252" s="192">
        <f>-'LSR Prepaid Bill Credits'!L218</f>
        <v>-675002.21008466824</v>
      </c>
      <c r="I252" s="154">
        <f t="shared" si="33"/>
        <v>18733.247951582096</v>
      </c>
      <c r="J252" s="154">
        <f t="shared" si="34"/>
        <v>6246681.200347567</v>
      </c>
      <c r="K252" s="154">
        <f t="shared" si="35"/>
        <v>6246681.200347567</v>
      </c>
      <c r="L252" s="138"/>
      <c r="M252" s="243"/>
    </row>
    <row r="253" spans="1:13">
      <c r="A253" s="187">
        <v>1</v>
      </c>
      <c r="B253" s="168">
        <v>47149</v>
      </c>
      <c r="C253" s="138">
        <f t="shared" si="36"/>
        <v>31</v>
      </c>
      <c r="F253" s="196">
        <f t="shared" si="31"/>
        <v>3.56618E-2</v>
      </c>
      <c r="G253" s="188"/>
      <c r="H253" s="192">
        <f>-'LSR Prepaid Bill Credits'!L219</f>
        <v>-675002.21008466824</v>
      </c>
      <c r="I253" s="154">
        <f t="shared" si="33"/>
        <v>16875.559332229263</v>
      </c>
      <c r="J253" s="154">
        <f t="shared" si="34"/>
        <v>5588554.5495951278</v>
      </c>
      <c r="K253" s="154">
        <f t="shared" si="35"/>
        <v>5571678.9902628986</v>
      </c>
      <c r="L253" s="138"/>
      <c r="M253" s="243"/>
    </row>
    <row r="254" spans="1:13">
      <c r="A254" s="187">
        <v>2</v>
      </c>
      <c r="B254" s="168">
        <v>47177</v>
      </c>
      <c r="C254" s="154">
        <v>28</v>
      </c>
      <c r="F254" s="196">
        <f t="shared" si="31"/>
        <v>3.56618E-2</v>
      </c>
      <c r="G254" s="188"/>
      <c r="H254" s="192">
        <f>-'LSR Prepaid Bill Credits'!L220</f>
        <v>-675002.21008466824</v>
      </c>
      <c r="I254" s="154">
        <f t="shared" si="33"/>
        <v>13395.8373259783</v>
      </c>
      <c r="J254" s="154">
        <f t="shared" si="34"/>
        <v>4926948.1768364375</v>
      </c>
      <c r="K254" s="154">
        <f t="shared" si="35"/>
        <v>4896676.7801782303</v>
      </c>
      <c r="L254" s="138"/>
      <c r="M254" s="243"/>
    </row>
    <row r="255" spans="1:13">
      <c r="A255" s="187">
        <v>3</v>
      </c>
      <c r="B255" s="168">
        <v>47208</v>
      </c>
      <c r="C255" s="138">
        <f t="shared" ref="C255:C277" si="37">DAY(B255)</f>
        <v>31</v>
      </c>
      <c r="F255" s="196">
        <f t="shared" si="31"/>
        <v>3.56618E-2</v>
      </c>
      <c r="G255" s="188"/>
      <c r="H255" s="192">
        <f>-'LSR Prepaid Bill Credits'!L221</f>
        <v>-675002.21008466824</v>
      </c>
      <c r="I255" s="154">
        <f t="shared" si="33"/>
        <v>12786.651889579836</v>
      </c>
      <c r="J255" s="154">
        <f t="shared" si="34"/>
        <v>4264732.6186413486</v>
      </c>
      <c r="K255" s="154">
        <f t="shared" si="35"/>
        <v>4264732.6186413486</v>
      </c>
      <c r="L255" s="138"/>
      <c r="M255" s="243"/>
    </row>
    <row r="256" spans="1:13">
      <c r="A256" s="187">
        <v>1</v>
      </c>
      <c r="B256" s="168">
        <v>47238</v>
      </c>
      <c r="C256" s="138">
        <f t="shared" si="37"/>
        <v>30</v>
      </c>
      <c r="F256" s="196">
        <f t="shared" si="31"/>
        <v>3.56618E-2</v>
      </c>
      <c r="G256" s="188"/>
      <c r="H256" s="192">
        <f>-'LSR Prepaid Bill Credits'!L222</f>
        <v>-675002.21008466824</v>
      </c>
      <c r="I256" s="154">
        <f t="shared" si="33"/>
        <v>10521.883387715065</v>
      </c>
      <c r="J256" s="154">
        <f t="shared" si="34"/>
        <v>3600252.2919443953</v>
      </c>
      <c r="K256" s="154">
        <f t="shared" si="35"/>
        <v>3589730.4085566802</v>
      </c>
      <c r="L256" s="138"/>
      <c r="M256" s="243"/>
    </row>
    <row r="257" spans="1:13">
      <c r="A257" s="187">
        <v>2</v>
      </c>
      <c r="B257" s="168">
        <v>47269</v>
      </c>
      <c r="C257" s="138">
        <f t="shared" si="37"/>
        <v>31</v>
      </c>
      <c r="F257" s="196">
        <f t="shared" si="31"/>
        <v>3.56618E-2</v>
      </c>
      <c r="G257" s="188"/>
      <c r="H257" s="192">
        <f>-'LSR Prepaid Bill Credits'!L223</f>
        <v>-675002.21008466824</v>
      </c>
      <c r="I257" s="154">
        <f t="shared" si="33"/>
        <v>8828.1591126475214</v>
      </c>
      <c r="J257" s="154">
        <f t="shared" si="34"/>
        <v>2934078.2409723746</v>
      </c>
      <c r="K257" s="154">
        <f t="shared" si="35"/>
        <v>2914728.1984720118</v>
      </c>
      <c r="L257" s="138"/>
      <c r="M257" s="243"/>
    </row>
    <row r="258" spans="1:13">
      <c r="A258" s="187">
        <v>3</v>
      </c>
      <c r="B258" s="168">
        <v>47299</v>
      </c>
      <c r="C258" s="138">
        <f t="shared" si="37"/>
        <v>30</v>
      </c>
      <c r="F258" s="196">
        <f t="shared" si="31"/>
        <v>3.56618E-2</v>
      </c>
      <c r="G258" s="188"/>
      <c r="H258" s="192">
        <f>-'LSR Prepaid Bill Credits'!L224</f>
        <v>-675002.21008466824</v>
      </c>
      <c r="I258" s="154">
        <f t="shared" si="33"/>
        <v>6564.8761851511035</v>
      </c>
      <c r="J258" s="154">
        <f t="shared" si="34"/>
        <v>2265640.9070728575</v>
      </c>
      <c r="K258" s="154">
        <f t="shared" si="35"/>
        <v>2265640.9070728575</v>
      </c>
      <c r="L258" s="138"/>
      <c r="M258" s="243"/>
    </row>
    <row r="259" spans="1:13">
      <c r="A259" s="187">
        <v>1</v>
      </c>
      <c r="B259" s="168">
        <v>47330</v>
      </c>
      <c r="C259" s="138">
        <f t="shared" si="37"/>
        <v>31</v>
      </c>
      <c r="F259" s="196">
        <f t="shared" si="31"/>
        <v>3.56618E-2</v>
      </c>
      <c r="G259" s="188"/>
      <c r="H259" s="192">
        <f>-'LSR Prepaid Bill Credits'!L225</f>
        <v>-675002.21008466824</v>
      </c>
      <c r="I259" s="154">
        <f t="shared" si="33"/>
        <v>4817.7430455119329</v>
      </c>
      <c r="J259" s="154">
        <f t="shared" si="34"/>
        <v>1595456.440033701</v>
      </c>
      <c r="K259" s="154">
        <f t="shared" si="35"/>
        <v>1590638.6969881891</v>
      </c>
      <c r="L259" s="138"/>
      <c r="M259" s="243"/>
    </row>
    <row r="260" spans="1:13">
      <c r="A260" s="187">
        <v>2</v>
      </c>
      <c r="B260" s="168">
        <v>47361</v>
      </c>
      <c r="C260" s="138">
        <f t="shared" si="37"/>
        <v>31</v>
      </c>
      <c r="F260" s="196">
        <f t="shared" si="31"/>
        <v>3.56618E-2</v>
      </c>
      <c r="G260" s="188"/>
      <c r="H260" s="192">
        <f>-'LSR Prepaid Bill Credits'!L226</f>
        <v>-675002.21008466824</v>
      </c>
      <c r="I260" s="154">
        <f t="shared" si="33"/>
        <v>2773.2893241872202</v>
      </c>
      <c r="J260" s="154">
        <f t="shared" si="34"/>
        <v>923227.51927321998</v>
      </c>
      <c r="K260" s="154">
        <f t="shared" si="35"/>
        <v>915636.48690352088</v>
      </c>
      <c r="L260" s="138"/>
      <c r="M260" s="243"/>
    </row>
    <row r="261" spans="1:13">
      <c r="A261" s="187">
        <v>3</v>
      </c>
      <c r="B261" s="168">
        <v>47391</v>
      </c>
      <c r="C261" s="138">
        <f t="shared" si="37"/>
        <v>30</v>
      </c>
      <c r="F261" s="196">
        <f t="shared" si="31"/>
        <v>3.56618E-2</v>
      </c>
      <c r="G261" s="188"/>
      <c r="H261" s="192">
        <f>-'LSR Prepaid Bill Credits'!L227</f>
        <v>-675002.21008466824</v>
      </c>
      <c r="I261" s="154">
        <f t="shared" si="33"/>
        <v>705.32477696371711</v>
      </c>
      <c r="J261" s="154">
        <f t="shared" si="34"/>
        <v>248930.63396551544</v>
      </c>
      <c r="K261" s="154">
        <f t="shared" si="35"/>
        <v>248930.63396551544</v>
      </c>
      <c r="L261" s="138"/>
      <c r="M261" s="243"/>
    </row>
    <row r="262" spans="1:13">
      <c r="A262" s="187">
        <v>1</v>
      </c>
      <c r="B262" s="168">
        <v>47422</v>
      </c>
      <c r="C262" s="138">
        <f t="shared" si="37"/>
        <v>31</v>
      </c>
      <c r="F262" s="196">
        <f t="shared" si="31"/>
        <v>3.56618E-2</v>
      </c>
      <c r="G262" s="188"/>
      <c r="H262" s="192">
        <f>-'LSR Prepaid Bill Credits'!L228</f>
        <v>-716717.3466679008</v>
      </c>
      <c r="I262" s="154">
        <f t="shared" si="33"/>
        <v>-1416.8372655412265</v>
      </c>
      <c r="J262" s="154">
        <f t="shared" si="34"/>
        <v>-469203.54996792664</v>
      </c>
      <c r="K262" s="154">
        <f t="shared" si="35"/>
        <v>-467786.71270238538</v>
      </c>
      <c r="L262" s="138"/>
      <c r="M262" s="243"/>
    </row>
    <row r="263" spans="1:13">
      <c r="A263" s="187">
        <v>2</v>
      </c>
      <c r="B263" s="168">
        <v>47452</v>
      </c>
      <c r="C263" s="138">
        <f t="shared" si="37"/>
        <v>30</v>
      </c>
      <c r="F263" s="196">
        <f t="shared" si="31"/>
        <v>3.56618E-2</v>
      </c>
      <c r="G263" s="188"/>
      <c r="H263" s="192">
        <f>-'LSR Prepaid Bill Credits'!L229</f>
        <v>-716717.3466679008</v>
      </c>
      <c r="I263" s="154">
        <f t="shared" si="33"/>
        <v>-3471.9079614617485</v>
      </c>
      <c r="J263" s="154">
        <f t="shared" si="34"/>
        <v>-1189392.8045972891</v>
      </c>
      <c r="K263" s="154">
        <f t="shared" si="35"/>
        <v>-1184504.0593702861</v>
      </c>
      <c r="L263" s="138"/>
      <c r="M263" s="243"/>
    </row>
    <row r="264" spans="1:13">
      <c r="A264" s="187">
        <v>3</v>
      </c>
      <c r="B264" s="168">
        <v>47483</v>
      </c>
      <c r="C264" s="138">
        <f t="shared" si="37"/>
        <v>31</v>
      </c>
      <c r="F264" s="196">
        <f t="shared" si="31"/>
        <v>3.56618E-2</v>
      </c>
      <c r="G264" s="188"/>
      <c r="H264" s="192">
        <f>-'LSR Prepaid Bill Credits'!L230</f>
        <v>-716717.3466679008</v>
      </c>
      <c r="I264" s="154">
        <f t="shared" si="33"/>
        <v>-5758.4391881463862</v>
      </c>
      <c r="J264" s="154">
        <f t="shared" si="34"/>
        <v>-1911868.5904533365</v>
      </c>
      <c r="K264" s="154">
        <f t="shared" si="35"/>
        <v>-1911868.5904533365</v>
      </c>
      <c r="L264" s="138"/>
      <c r="M264" s="243"/>
    </row>
    <row r="265" spans="1:13">
      <c r="A265" s="187">
        <v>1</v>
      </c>
      <c r="B265" s="168">
        <v>47514</v>
      </c>
      <c r="C265" s="138">
        <f t="shared" si="37"/>
        <v>31</v>
      </c>
      <c r="F265" s="196">
        <f t="shared" si="31"/>
        <v>3.56618E-2</v>
      </c>
      <c r="G265" s="188"/>
      <c r="H265" s="192">
        <f>-'LSR Prepaid Bill Credits'!L231</f>
        <v>-716717.3466679008</v>
      </c>
      <c r="I265" s="154">
        <f t="shared" si="33"/>
        <v>-7961.4884524529698</v>
      </c>
      <c r="J265" s="154">
        <f t="shared" si="34"/>
        <v>-2636547.4255736903</v>
      </c>
      <c r="K265" s="154">
        <f t="shared" si="35"/>
        <v>-2628585.9371212372</v>
      </c>
      <c r="L265" s="138"/>
      <c r="M265" s="243"/>
    </row>
    <row r="266" spans="1:13">
      <c r="A266" s="187">
        <v>2</v>
      </c>
      <c r="B266" s="168">
        <v>47542</v>
      </c>
      <c r="C266" s="154">
        <v>28</v>
      </c>
      <c r="F266" s="196">
        <f t="shared" si="31"/>
        <v>3.56618E-2</v>
      </c>
      <c r="G266" s="188"/>
      <c r="H266" s="192">
        <f>-'LSR Prepaid Bill Credits'!L232</f>
        <v>-716717.3466679008</v>
      </c>
      <c r="I266" s="154">
        <f t="shared" si="33"/>
        <v>-9151.7452769404954</v>
      </c>
      <c r="J266" s="154">
        <f t="shared" si="34"/>
        <v>-3362416.5175185315</v>
      </c>
      <c r="K266" s="154">
        <f t="shared" si="35"/>
        <v>-3345303.2837891378</v>
      </c>
      <c r="L266" s="138"/>
      <c r="M266" s="243"/>
    </row>
    <row r="267" spans="1:13">
      <c r="A267" s="187">
        <v>3</v>
      </c>
      <c r="B267" s="168">
        <v>47573</v>
      </c>
      <c r="C267" s="138">
        <f t="shared" si="37"/>
        <v>31</v>
      </c>
      <c r="F267" s="196">
        <f t="shared" si="31"/>
        <v>3.56618E-2</v>
      </c>
      <c r="G267" s="188"/>
      <c r="H267" s="192">
        <f>-'LSR Prepaid Bill Credits'!L233</f>
        <v>-716717.3466679008</v>
      </c>
      <c r="I267" s="154">
        <f t="shared" si="33"/>
        <v>-12303.090375058129</v>
      </c>
      <c r="J267" s="154">
        <f t="shared" si="34"/>
        <v>-4091436.9545614906</v>
      </c>
      <c r="K267" s="154">
        <f t="shared" si="35"/>
        <v>-4091436.9545614906</v>
      </c>
      <c r="L267" s="138"/>
      <c r="M267" s="243"/>
    </row>
    <row r="268" spans="1:13">
      <c r="A268" s="187">
        <v>1</v>
      </c>
      <c r="B268" s="168">
        <v>47603</v>
      </c>
      <c r="C268" s="138">
        <f t="shared" si="37"/>
        <v>30</v>
      </c>
      <c r="F268" s="196">
        <f t="shared" si="31"/>
        <v>3.56618E-2</v>
      </c>
      <c r="G268" s="188"/>
      <c r="H268" s="192">
        <f>-'LSR Prepaid Bill Credits'!L234</f>
        <v>-716717.3466679008</v>
      </c>
      <c r="I268" s="154">
        <f t="shared" si="33"/>
        <v>-14093.214004897176</v>
      </c>
      <c r="J268" s="154">
        <f t="shared" si="34"/>
        <v>-4822247.5152342888</v>
      </c>
      <c r="K268" s="154">
        <f t="shared" si="35"/>
        <v>-4808154.3012293912</v>
      </c>
      <c r="L268" s="138"/>
      <c r="M268" s="243"/>
    </row>
    <row r="269" spans="1:13">
      <c r="A269" s="187">
        <v>2</v>
      </c>
      <c r="B269" s="168">
        <v>47634</v>
      </c>
      <c r="C269" s="138">
        <f t="shared" si="37"/>
        <v>31</v>
      </c>
      <c r="F269" s="196">
        <f t="shared" si="31"/>
        <v>3.56618E-2</v>
      </c>
      <c r="G269" s="188"/>
      <c r="H269" s="192">
        <f>-'LSR Prepaid Bill Credits'!L235</f>
        <v>-716717.3466679008</v>
      </c>
      <c r="I269" s="154">
        <f t="shared" si="33"/>
        <v>-16733.788766362992</v>
      </c>
      <c r="J269" s="154">
        <f t="shared" si="34"/>
        <v>-5555698.6506685521</v>
      </c>
      <c r="K269" s="154">
        <f t="shared" si="35"/>
        <v>-5524871.6478972919</v>
      </c>
      <c r="L269" s="138"/>
      <c r="M269" s="243"/>
    </row>
    <row r="270" spans="1:13">
      <c r="A270" s="187">
        <v>3</v>
      </c>
      <c r="B270" s="168">
        <v>47664</v>
      </c>
      <c r="C270" s="138">
        <f t="shared" si="37"/>
        <v>30</v>
      </c>
      <c r="F270" s="196">
        <f t="shared" si="31"/>
        <v>3.56618E-2</v>
      </c>
      <c r="G270" s="188"/>
      <c r="H270" s="192">
        <f>-'LSR Prepaid Bill Credits'!L236</f>
        <v>-716717.3466679008</v>
      </c>
      <c r="I270" s="154">
        <f t="shared" si="33"/>
        <v>-18294.764252579589</v>
      </c>
      <c r="J270" s="154">
        <f t="shared" si="34"/>
        <v>-6290710.7615890326</v>
      </c>
      <c r="K270" s="154">
        <f t="shared" si="35"/>
        <v>-6290710.7615890326</v>
      </c>
      <c r="L270" s="138"/>
      <c r="M270" s="243"/>
    </row>
    <row r="271" spans="1:13">
      <c r="A271" s="187">
        <v>1</v>
      </c>
      <c r="B271" s="168">
        <v>47695</v>
      </c>
      <c r="C271" s="138">
        <f t="shared" si="37"/>
        <v>31</v>
      </c>
      <c r="F271" s="196">
        <f t="shared" si="31"/>
        <v>3.56618E-2</v>
      </c>
      <c r="G271" s="188"/>
      <c r="H271" s="192">
        <f>-'LSR Prepaid Bill Credits'!L237</f>
        <v>-716717.3466679008</v>
      </c>
      <c r="I271" s="154">
        <f t="shared" si="33"/>
        <v>-21224.171208334657</v>
      </c>
      <c r="J271" s="154">
        <f t="shared" si="34"/>
        <v>-7028652.2794652684</v>
      </c>
      <c r="K271" s="154">
        <f t="shared" si="35"/>
        <v>-7007428.1082569333</v>
      </c>
      <c r="L271" s="138"/>
      <c r="M271" s="243"/>
    </row>
    <row r="272" spans="1:13">
      <c r="A272" s="187">
        <v>2</v>
      </c>
      <c r="B272" s="168">
        <v>47726</v>
      </c>
      <c r="C272" s="138">
        <f t="shared" si="37"/>
        <v>31</v>
      </c>
      <c r="F272" s="196">
        <f t="shared" si="31"/>
        <v>3.56618E-2</v>
      </c>
      <c r="G272" s="188"/>
      <c r="H272" s="192">
        <f>-'LSR Prepaid Bill Credits'!L238</f>
        <v>-716717.3466679008</v>
      </c>
      <c r="I272" s="154">
        <f t="shared" si="33"/>
        <v>-23394.97216963724</v>
      </c>
      <c r="J272" s="154">
        <f t="shared" si="34"/>
        <v>-7768764.5983028067</v>
      </c>
      <c r="K272" s="154">
        <f t="shared" si="35"/>
        <v>-7724145.454924834</v>
      </c>
      <c r="L272" s="138"/>
      <c r="M272" s="243"/>
    </row>
    <row r="273" spans="1:13">
      <c r="A273" s="187">
        <v>3</v>
      </c>
      <c r="B273" s="168">
        <v>47756</v>
      </c>
      <c r="C273" s="138">
        <f t="shared" si="37"/>
        <v>30</v>
      </c>
      <c r="F273" s="196">
        <f t="shared" si="31"/>
        <v>3.56618E-2</v>
      </c>
      <c r="G273" s="188"/>
      <c r="H273" s="192">
        <f>-'LSR Prepaid Bill Credits'!L239</f>
        <v>-716717.3466679008</v>
      </c>
      <c r="I273" s="154">
        <f t="shared" si="33"/>
        <v>-24741.070771877246</v>
      </c>
      <c r="J273" s="154">
        <f t="shared" si="34"/>
        <v>-8510223.0157425851</v>
      </c>
      <c r="K273" s="154">
        <f t="shared" si="35"/>
        <v>-8510223.0157425851</v>
      </c>
      <c r="L273" s="138"/>
      <c r="M273" s="243"/>
    </row>
    <row r="274" spans="1:13">
      <c r="A274" s="187">
        <v>1</v>
      </c>
      <c r="B274" s="168">
        <v>47787</v>
      </c>
      <c r="C274" s="138">
        <f t="shared" si="37"/>
        <v>31</v>
      </c>
      <c r="F274" s="196">
        <f t="shared" si="31"/>
        <v>3.56618E-2</v>
      </c>
      <c r="G274" s="188"/>
      <c r="H274" s="192">
        <f>-'LSR Prepaid Bill Credits'!L240</f>
        <v>-716717.3466679008</v>
      </c>
      <c r="I274" s="154">
        <f t="shared" si="33"/>
        <v>-27946.653030965801</v>
      </c>
      <c r="J274" s="154">
        <f t="shared" si="34"/>
        <v>-9254887.0154414512</v>
      </c>
      <c r="K274" s="154">
        <f t="shared" si="35"/>
        <v>-9226940.3624104857</v>
      </c>
      <c r="L274" s="138"/>
      <c r="M274" s="243"/>
    </row>
    <row r="275" spans="1:13">
      <c r="A275" s="187">
        <v>2</v>
      </c>
      <c r="B275" s="168">
        <v>47817</v>
      </c>
      <c r="C275" s="138">
        <f t="shared" si="37"/>
        <v>30</v>
      </c>
      <c r="F275" s="196">
        <f t="shared" si="31"/>
        <v>3.56618E-2</v>
      </c>
      <c r="G275" s="188"/>
      <c r="H275" s="192">
        <f>-'LSR Prepaid Bill Credits'!L241</f>
        <v>-716717.3466679008</v>
      </c>
      <c r="I275" s="154">
        <f t="shared" si="33"/>
        <v>-29145.923218324242</v>
      </c>
      <c r="J275" s="154">
        <f t="shared" si="34"/>
        <v>-10000750.285327677</v>
      </c>
      <c r="K275" s="154">
        <f t="shared" si="35"/>
        <v>-9943657.7090783864</v>
      </c>
      <c r="L275" s="138"/>
      <c r="M275" s="243"/>
    </row>
    <row r="276" spans="1:13">
      <c r="A276" s="187">
        <v>3</v>
      </c>
      <c r="B276" s="168">
        <v>47848</v>
      </c>
      <c r="C276" s="138">
        <f t="shared" si="37"/>
        <v>31</v>
      </c>
      <c r="F276" s="196">
        <f t="shared" si="31"/>
        <v>3.56618E-2</v>
      </c>
      <c r="G276" s="188"/>
      <c r="H276" s="192">
        <f>-'LSR Prepaid Bill Credits'!L242</f>
        <v>-716717.3466679008</v>
      </c>
      <c r="I276" s="154">
        <f t="shared" si="33"/>
        <v>-32288.254953570959</v>
      </c>
      <c r="J276" s="154">
        <f t="shared" si="34"/>
        <v>-10749755.886949148</v>
      </c>
      <c r="K276" s="154">
        <f t="shared" si="35"/>
        <v>-10749755.886949148</v>
      </c>
      <c r="L276" s="138"/>
      <c r="M276" s="243"/>
    </row>
    <row r="277" spans="1:13">
      <c r="A277" s="187">
        <v>1</v>
      </c>
      <c r="B277" s="168">
        <v>47879</v>
      </c>
      <c r="C277" s="138">
        <f t="shared" si="37"/>
        <v>31</v>
      </c>
      <c r="F277" s="196">
        <f t="shared" si="31"/>
        <v>3.56618E-2</v>
      </c>
      <c r="G277" s="188"/>
      <c r="H277" s="192">
        <f>-'LSR Prepaid Bill Credits'!L243</f>
        <v>-716717.3466679008</v>
      </c>
      <c r="I277" s="154">
        <f t="shared" si="33"/>
        <v>-34729.773506960926</v>
      </c>
      <c r="J277" s="154">
        <f t="shared" si="34"/>
        <v>-11501203.00712401</v>
      </c>
      <c r="K277" s="154">
        <f t="shared" si="35"/>
        <v>-11466473.233617049</v>
      </c>
      <c r="L277" s="138"/>
      <c r="M277" s="243"/>
    </row>
    <row r="278" spans="1:13">
      <c r="A278" s="187">
        <v>2</v>
      </c>
      <c r="B278" s="168">
        <v>47907</v>
      </c>
      <c r="C278" s="154">
        <v>28</v>
      </c>
      <c r="F278" s="196">
        <f t="shared" si="31"/>
        <v>3.56618E-2</v>
      </c>
      <c r="G278" s="188"/>
      <c r="H278" s="192">
        <f>-'LSR Prepaid Bill Credits'!L244</f>
        <v>-716717.3466679008</v>
      </c>
      <c r="I278" s="154">
        <f t="shared" si="33"/>
        <v>-33329.5511326251</v>
      </c>
      <c r="J278" s="154">
        <f t="shared" si="34"/>
        <v>-12251249.904924536</v>
      </c>
      <c r="K278" s="154">
        <f t="shared" si="35"/>
        <v>-12183190.580284949</v>
      </c>
      <c r="L278" s="138"/>
      <c r="M278" s="243"/>
    </row>
    <row r="279" spans="1:13">
      <c r="A279" s="187">
        <v>3</v>
      </c>
      <c r="B279" s="168">
        <v>47938</v>
      </c>
      <c r="C279" s="138">
        <f t="shared" ref="C279:C285" si="38">DAY(B279)</f>
        <v>31</v>
      </c>
      <c r="F279" s="196">
        <f t="shared" si="31"/>
        <v>3.56618E-2</v>
      </c>
      <c r="G279" s="188"/>
      <c r="H279" s="192">
        <f>-'LSR Prepaid Bill Credits'!L245</f>
        <v>-716717.3466679008</v>
      </c>
      <c r="I279" s="154">
        <f t="shared" si="33"/>
        <v>-39071.375429566084</v>
      </c>
      <c r="J279" s="154">
        <f t="shared" si="34"/>
        <v>-13007038.627022004</v>
      </c>
      <c r="K279" s="154">
        <f t="shared" si="35"/>
        <v>-13007038.627022004</v>
      </c>
      <c r="L279" s="138"/>
      <c r="M279" s="243"/>
    </row>
    <row r="280" spans="1:13">
      <c r="A280" s="187">
        <v>1</v>
      </c>
      <c r="B280" s="168">
        <v>47968</v>
      </c>
      <c r="C280" s="138">
        <f t="shared" si="38"/>
        <v>30</v>
      </c>
      <c r="F280" s="196">
        <f t="shared" si="31"/>
        <v>3.56618E-2</v>
      </c>
      <c r="G280" s="188"/>
      <c r="H280" s="192">
        <f>-'LSR Prepaid Bill Credits'!L246</f>
        <v>-716717.3466679008</v>
      </c>
      <c r="I280" s="154">
        <f t="shared" si="33"/>
        <v>-40225.795132811065</v>
      </c>
      <c r="J280" s="154">
        <f t="shared" si="34"/>
        <v>-13763981.768822715</v>
      </c>
      <c r="K280" s="154">
        <f t="shared" si="35"/>
        <v>-13723755.973689904</v>
      </c>
      <c r="L280" s="138"/>
      <c r="M280" s="243"/>
    </row>
    <row r="281" spans="1:13">
      <c r="A281" s="187">
        <v>2</v>
      </c>
      <c r="B281" s="168">
        <v>47999</v>
      </c>
      <c r="C281" s="138">
        <f t="shared" si="38"/>
        <v>31</v>
      </c>
      <c r="F281" s="196">
        <f t="shared" si="31"/>
        <v>3.56618E-2</v>
      </c>
      <c r="G281" s="188"/>
      <c r="H281" s="192">
        <f>-'LSR Prepaid Bill Credits'!L247</f>
        <v>-716717.3466679008</v>
      </c>
      <c r="I281" s="154">
        <f t="shared" si="33"/>
        <v>-43737.455931874014</v>
      </c>
      <c r="J281" s="154">
        <f t="shared" si="34"/>
        <v>-14524436.571422489</v>
      </c>
      <c r="K281" s="154">
        <f t="shared" si="35"/>
        <v>-14440473.320357805</v>
      </c>
      <c r="L281" s="138"/>
      <c r="M281" s="243"/>
    </row>
    <row r="282" spans="1:13">
      <c r="A282" s="187">
        <v>3</v>
      </c>
      <c r="B282" s="168">
        <v>48029</v>
      </c>
      <c r="C282" s="138">
        <f t="shared" si="38"/>
        <v>30</v>
      </c>
      <c r="F282" s="196">
        <f t="shared" si="31"/>
        <v>3.56618E-2</v>
      </c>
      <c r="G282" s="188"/>
      <c r="H282" s="192">
        <f>-'LSR Prepaid Bill Credits'!L248</f>
        <v>-716717.3466679008</v>
      </c>
      <c r="I282" s="154">
        <f t="shared" si="33"/>
        <v>-44427.345380493476</v>
      </c>
      <c r="J282" s="154">
        <f t="shared" si="34"/>
        <v>-15285581.263470884</v>
      </c>
      <c r="K282" s="154">
        <f t="shared" si="35"/>
        <v>-15285581.263470884</v>
      </c>
      <c r="L282" s="138"/>
      <c r="M282" s="243"/>
    </row>
    <row r="283" spans="1:13">
      <c r="A283" s="187">
        <v>1</v>
      </c>
      <c r="B283" s="168">
        <v>48060</v>
      </c>
      <c r="C283" s="138">
        <f t="shared" si="38"/>
        <v>31</v>
      </c>
      <c r="F283" s="196">
        <f t="shared" si="31"/>
        <v>3.56618E-2</v>
      </c>
      <c r="G283" s="188"/>
      <c r="H283" s="192">
        <f>-'LSR Prepaid Bill Credits'!L249</f>
        <v>-716717.3466679008</v>
      </c>
      <c r="I283" s="154">
        <f t="shared" si="33"/>
        <v>-48467.928629661554</v>
      </c>
      <c r="J283" s="154">
        <f t="shared" si="34"/>
        <v>-16050766.538768446</v>
      </c>
      <c r="K283" s="154">
        <f t="shared" si="35"/>
        <v>-16002298.610138785</v>
      </c>
      <c r="L283" s="138"/>
      <c r="M283" s="243"/>
    </row>
    <row r="284" spans="1:13">
      <c r="A284" s="187">
        <v>2</v>
      </c>
      <c r="B284" s="168">
        <v>48091</v>
      </c>
      <c r="C284" s="138">
        <f t="shared" si="38"/>
        <v>31</v>
      </c>
      <c r="F284" s="196">
        <f t="shared" si="31"/>
        <v>3.56618E-2</v>
      </c>
      <c r="G284" s="188"/>
      <c r="H284" s="192">
        <f>-'LSR Prepaid Bill Credits'!L250</f>
        <v>-476931</v>
      </c>
      <c r="I284" s="154"/>
      <c r="J284" s="154"/>
      <c r="K284" s="154"/>
      <c r="L284" s="138"/>
      <c r="M284" s="243"/>
    </row>
    <row r="285" spans="1:13">
      <c r="A285" s="187">
        <v>3</v>
      </c>
      <c r="B285" s="168">
        <v>48121</v>
      </c>
      <c r="C285" s="138">
        <f t="shared" si="38"/>
        <v>30</v>
      </c>
      <c r="F285" s="196">
        <f t="shared" si="31"/>
        <v>3.56618E-2</v>
      </c>
      <c r="G285" s="188"/>
      <c r="H285" s="192"/>
      <c r="I285" s="154"/>
      <c r="J285" s="154"/>
      <c r="K285" s="154"/>
      <c r="L285" s="138"/>
      <c r="M285" s="243"/>
    </row>
    <row r="286" spans="1:13">
      <c r="A286" s="187"/>
      <c r="B286" s="258"/>
      <c r="F286" s="196"/>
      <c r="G286" s="188"/>
      <c r="H286" s="192"/>
      <c r="I286" s="154"/>
      <c r="J286" s="154"/>
      <c r="K286" s="154"/>
      <c r="L286" s="138"/>
      <c r="M286" s="243"/>
    </row>
    <row r="287" spans="1:13">
      <c r="A287" s="187"/>
      <c r="B287" s="258"/>
      <c r="F287" s="196"/>
      <c r="G287" s="188"/>
      <c r="H287" s="192"/>
      <c r="I287" s="154"/>
      <c r="J287" s="154"/>
      <c r="K287" s="154"/>
      <c r="L287" s="138"/>
      <c r="M287" s="243"/>
    </row>
    <row r="288" spans="1:13" ht="16.5" thickBot="1">
      <c r="A288" s="208" t="s">
        <v>566</v>
      </c>
      <c r="F288" s="207"/>
      <c r="G288" s="286">
        <f>SUM(G5:G285)</f>
        <v>77273856.370000005</v>
      </c>
      <c r="H288" s="287">
        <f>SUM(H5:H285)</f>
        <v>-132740949.07053868</v>
      </c>
      <c r="I288" s="286">
        <f>SUM(I5:I285)</f>
        <v>38939395.161770344</v>
      </c>
      <c r="J288" s="154"/>
      <c r="K288" s="138"/>
      <c r="L288" s="138"/>
      <c r="M288" s="243"/>
    </row>
    <row r="289" spans="1:13" ht="15.75" thickTop="1">
      <c r="A289" s="209" t="s">
        <v>567</v>
      </c>
      <c r="F289" s="207"/>
      <c r="G289" s="188"/>
      <c r="H289" s="192"/>
      <c r="I289" s="154"/>
      <c r="J289" s="154"/>
      <c r="K289" s="138"/>
      <c r="L289" s="138"/>
      <c r="M289" s="243"/>
    </row>
    <row r="290" spans="1:13">
      <c r="A290" s="209" t="s">
        <v>568</v>
      </c>
      <c r="F290" s="207"/>
      <c r="G290" s="188"/>
      <c r="H290" s="192"/>
      <c r="I290" s="154"/>
      <c r="J290" s="154"/>
      <c r="K290" s="138"/>
      <c r="L290" s="138"/>
      <c r="M290" s="243"/>
    </row>
    <row r="291" spans="1:13">
      <c r="A291" s="209" t="s">
        <v>569</v>
      </c>
      <c r="F291" s="207"/>
      <c r="G291" s="188"/>
      <c r="H291" s="192"/>
      <c r="I291" s="154"/>
      <c r="J291" s="154"/>
      <c r="K291" s="138"/>
      <c r="L291" s="138"/>
      <c r="M291" s="243"/>
    </row>
    <row r="292" spans="1:13">
      <c r="F292" s="207"/>
      <c r="G292" s="188"/>
      <c r="H292" s="192"/>
      <c r="I292" s="154"/>
      <c r="J292" s="154"/>
      <c r="K292" s="138"/>
      <c r="L292" s="138"/>
      <c r="M292" s="243"/>
    </row>
    <row r="293" spans="1:13" ht="15.75">
      <c r="A293" s="210" t="s">
        <v>570</v>
      </c>
      <c r="F293" s="207"/>
      <c r="G293" s="188"/>
      <c r="H293" s="189"/>
      <c r="I293" s="188"/>
      <c r="J293" s="188"/>
      <c r="K293" s="190"/>
      <c r="L293" s="190"/>
      <c r="M293" s="243"/>
    </row>
    <row r="294" spans="1:13">
      <c r="A294" s="209" t="s">
        <v>571</v>
      </c>
      <c r="F294" s="207"/>
      <c r="G294" s="188"/>
      <c r="H294" s="189" t="s">
        <v>572</v>
      </c>
      <c r="K294" s="190"/>
      <c r="L294" s="190"/>
      <c r="M294" s="243"/>
    </row>
    <row r="295" spans="1:13">
      <c r="A295" s="211" t="s">
        <v>573</v>
      </c>
      <c r="F295" s="207"/>
      <c r="G295" s="188"/>
      <c r="H295" s="189" t="s">
        <v>574</v>
      </c>
      <c r="K295" s="190"/>
      <c r="L295" s="190"/>
    </row>
    <row r="296" spans="1:13">
      <c r="F296" s="207"/>
      <c r="G296" s="188"/>
      <c r="H296" s="189"/>
      <c r="K296" s="190"/>
      <c r="L296" s="190"/>
    </row>
    <row r="297" spans="1:13">
      <c r="A297" s="212" t="s">
        <v>575</v>
      </c>
      <c r="F297" s="207"/>
      <c r="G297" s="188"/>
      <c r="H297" s="189" t="s">
        <v>576</v>
      </c>
      <c r="K297" s="190"/>
      <c r="L297" s="190"/>
    </row>
    <row r="298" spans="1:13">
      <c r="A298" s="211" t="s">
        <v>577</v>
      </c>
      <c r="F298" s="207"/>
      <c r="G298" s="188"/>
      <c r="H298" s="189" t="s">
        <v>578</v>
      </c>
      <c r="K298" s="190"/>
      <c r="L298" s="190"/>
    </row>
    <row r="299" spans="1:13">
      <c r="F299" s="207"/>
      <c r="G299" s="188"/>
      <c r="H299" s="189"/>
      <c r="K299" s="190"/>
      <c r="L299" s="190"/>
    </row>
    <row r="300" spans="1:13">
      <c r="A300" s="212" t="s">
        <v>579</v>
      </c>
      <c r="F300" s="207"/>
      <c r="G300" s="188"/>
      <c r="H300" s="189" t="s">
        <v>580</v>
      </c>
      <c r="K300" s="190"/>
      <c r="L300" s="190"/>
    </row>
    <row r="301" spans="1:13">
      <c r="F301" s="207"/>
      <c r="G301" s="188"/>
      <c r="H301" s="189"/>
      <c r="K301" s="190"/>
      <c r="L301" s="190"/>
    </row>
    <row r="302" spans="1:13">
      <c r="A302" s="212" t="s">
        <v>581</v>
      </c>
      <c r="F302" s="207"/>
      <c r="H302" s="213" t="s">
        <v>582</v>
      </c>
      <c r="K302" s="190"/>
      <c r="L302" s="190"/>
    </row>
    <row r="303" spans="1:13">
      <c r="F303" s="207"/>
      <c r="G303" s="188"/>
      <c r="H303" s="189"/>
      <c r="I303" s="188"/>
      <c r="J303" s="188"/>
      <c r="K303" s="190"/>
      <c r="L303" s="190"/>
    </row>
    <row r="304" spans="1:13">
      <c r="F304" s="207"/>
      <c r="G304" s="188"/>
      <c r="H304" s="189"/>
      <c r="I304" s="188"/>
      <c r="J304" s="188"/>
      <c r="K304" s="190"/>
      <c r="L304" s="190"/>
    </row>
    <row r="305" spans="6:12">
      <c r="F305" s="207"/>
      <c r="G305" s="188"/>
      <c r="H305" s="189"/>
      <c r="I305" s="188"/>
      <c r="J305" s="188"/>
      <c r="K305" s="190"/>
      <c r="L305" s="190"/>
    </row>
    <row r="306" spans="6:12">
      <c r="F306" s="207"/>
      <c r="G306" s="188"/>
      <c r="H306" s="189"/>
      <c r="I306" s="188"/>
      <c r="J306" s="188"/>
      <c r="K306" s="190"/>
      <c r="L306" s="190"/>
    </row>
    <row r="307" spans="6:12">
      <c r="F307" s="207"/>
      <c r="G307" s="188"/>
      <c r="H307" s="189"/>
      <c r="I307" s="188"/>
      <c r="J307" s="188"/>
      <c r="K307" s="190"/>
      <c r="L307" s="190"/>
    </row>
    <row r="308" spans="6:12">
      <c r="F308" s="207"/>
      <c r="G308" s="188"/>
      <c r="H308" s="189"/>
      <c r="I308" s="188"/>
      <c r="J308" s="188"/>
      <c r="K308" s="190"/>
      <c r="L308" s="190"/>
    </row>
    <row r="309" spans="6:12">
      <c r="F309" s="207"/>
      <c r="G309" s="188"/>
      <c r="H309" s="189"/>
      <c r="I309" s="188"/>
      <c r="J309" s="188"/>
      <c r="K309" s="190"/>
      <c r="L309" s="190"/>
    </row>
    <row r="310" spans="6:12">
      <c r="F310" s="207"/>
      <c r="G310" s="188"/>
      <c r="H310" s="189"/>
      <c r="I310" s="188"/>
      <c r="J310" s="188"/>
      <c r="K310" s="190"/>
      <c r="L310" s="190"/>
    </row>
    <row r="311" spans="6:12">
      <c r="F311" s="207"/>
      <c r="G311" s="188"/>
      <c r="H311" s="189"/>
      <c r="I311" s="188"/>
      <c r="J311" s="188"/>
      <c r="K311" s="190"/>
      <c r="L311" s="190"/>
    </row>
    <row r="312" spans="6:12">
      <c r="F312" s="207"/>
      <c r="G312" s="188"/>
      <c r="H312" s="189"/>
      <c r="I312" s="188"/>
      <c r="J312" s="188"/>
      <c r="K312" s="190"/>
      <c r="L312" s="190"/>
    </row>
    <row r="313" spans="6:12">
      <c r="F313" s="207"/>
      <c r="G313" s="188"/>
      <c r="H313" s="189"/>
      <c r="I313" s="188"/>
      <c r="J313" s="188"/>
      <c r="K313" s="190"/>
      <c r="L313" s="190"/>
    </row>
    <row r="314" spans="6:12">
      <c r="F314" s="207"/>
      <c r="G314" s="188"/>
      <c r="H314" s="189"/>
      <c r="I314" s="188"/>
      <c r="J314" s="188"/>
      <c r="K314" s="190"/>
      <c r="L314" s="190"/>
    </row>
    <row r="315" spans="6:12">
      <c r="F315" s="207"/>
      <c r="G315" s="188"/>
      <c r="H315" s="189"/>
      <c r="I315" s="188"/>
      <c r="J315" s="188"/>
      <c r="K315" s="190"/>
      <c r="L315" s="190"/>
    </row>
    <row r="316" spans="6:12">
      <c r="F316" s="207"/>
      <c r="G316" s="188"/>
      <c r="H316" s="189"/>
      <c r="I316" s="188"/>
      <c r="J316" s="188"/>
      <c r="K316" s="190"/>
      <c r="L316" s="190"/>
    </row>
    <row r="317" spans="6:12">
      <c r="F317" s="214"/>
      <c r="G317" s="188"/>
      <c r="H317" s="189"/>
      <c r="I317" s="188"/>
      <c r="J317" s="188"/>
      <c r="K317" s="190"/>
      <c r="L317" s="190"/>
    </row>
    <row r="318" spans="6:12">
      <c r="F318" s="214"/>
      <c r="G318" s="188"/>
      <c r="H318" s="189"/>
      <c r="I318" s="188"/>
      <c r="J318" s="188"/>
      <c r="K318" s="190"/>
      <c r="L318" s="190"/>
    </row>
    <row r="319" spans="6:12">
      <c r="F319" s="214"/>
      <c r="G319" s="188"/>
      <c r="H319" s="189"/>
      <c r="I319" s="188"/>
      <c r="J319" s="188"/>
      <c r="K319" s="190"/>
      <c r="L319" s="190"/>
    </row>
    <row r="320" spans="6:12">
      <c r="F320" s="214"/>
      <c r="G320" s="188"/>
      <c r="H320" s="189"/>
      <c r="I320" s="188"/>
      <c r="J320" s="188"/>
      <c r="K320" s="190"/>
      <c r="L320" s="190"/>
    </row>
    <row r="321" spans="6:6">
      <c r="F321" s="214"/>
    </row>
    <row r="322" spans="6:6">
      <c r="F322" s="214"/>
    </row>
  </sheetData>
  <pageMargins left="0.2" right="0.2" top="0.5" bottom="0.5" header="0.3" footer="0"/>
  <pageSetup scale="70" fitToHeight="0" orientation="portrait" r:id="rId1"/>
  <headerFooter>
    <oddFooter>&amp;RPage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343"/>
  <sheetViews>
    <sheetView zoomScaleNormal="100" workbookViewId="0">
      <pane xSplit="4" ySplit="6" topLeftCell="E259" activePane="bottomRight" state="frozen"/>
      <selection activeCell="J290" sqref="J290"/>
      <selection pane="topRight" activeCell="J290" sqref="J290"/>
      <selection pane="bottomLeft" activeCell="J290" sqref="J290"/>
      <selection pane="bottomRight" activeCell="K167" sqref="K167"/>
    </sheetView>
  </sheetViews>
  <sheetFormatPr defaultColWidth="9.33203125" defaultRowHeight="15" outlineLevelRow="1" outlineLevelCol="1"/>
  <cols>
    <col min="1" max="1" width="19" style="153" bestFit="1" customWidth="1"/>
    <col min="2" max="2" width="8" style="153" customWidth="1"/>
    <col min="3" max="3" width="16" style="153" bestFit="1" customWidth="1"/>
    <col min="4" max="4" width="20.5" style="153" customWidth="1"/>
    <col min="5" max="6" width="15.5" style="153" customWidth="1" outlineLevel="1"/>
    <col min="7" max="7" width="14.5" style="153" customWidth="1" outlineLevel="1"/>
    <col min="8" max="8" width="16" style="153" customWidth="1"/>
    <col min="9" max="9" width="16.33203125" style="153" bestFit="1" customWidth="1"/>
    <col min="10" max="10" width="15.5" style="153" customWidth="1"/>
    <col min="11" max="11" width="17.33203125" style="153" bestFit="1" customWidth="1"/>
    <col min="12" max="12" width="15.5" style="153" bestFit="1" customWidth="1"/>
    <col min="13" max="13" width="16.83203125" style="153" bestFit="1" customWidth="1"/>
    <col min="14" max="14" width="17.33203125" style="153" customWidth="1"/>
    <col min="15" max="15" width="17" style="153" bestFit="1" customWidth="1"/>
    <col min="16" max="16" width="20.33203125" style="153" customWidth="1"/>
    <col min="17" max="17" width="20.6640625" style="153" customWidth="1"/>
    <col min="18" max="18" width="15.5" style="153" customWidth="1"/>
    <col min="19" max="19" width="15.6640625" style="153" bestFit="1" customWidth="1"/>
    <col min="20" max="20" width="13.1640625" style="153" bestFit="1" customWidth="1"/>
    <col min="21" max="21" width="14.33203125" style="188" bestFit="1" customWidth="1"/>
    <col min="22" max="22" width="16.6640625" style="153" bestFit="1" customWidth="1"/>
    <col min="23" max="23" width="12.1640625" style="153" bestFit="1" customWidth="1"/>
    <col min="24" max="24" width="10.83203125" style="153" bestFit="1" customWidth="1"/>
    <col min="25" max="16384" width="9.33203125" style="153"/>
  </cols>
  <sheetData>
    <row r="1" spans="1:21" s="170" customFormat="1">
      <c r="A1" s="215">
        <f>SUM(B8:B237)</f>
        <v>0</v>
      </c>
      <c r="J1" s="216" t="s">
        <v>583</v>
      </c>
      <c r="L1" s="217"/>
      <c r="M1" s="218">
        <f>ROUND(M67/(M67+P67),4)</f>
        <v>4.19E-2</v>
      </c>
      <c r="N1" s="219"/>
      <c r="O1" s="220"/>
      <c r="P1" s="218">
        <f>ROUND(1-M1,4)</f>
        <v>0.95809999999999995</v>
      </c>
      <c r="Q1" s="221"/>
      <c r="R1" s="221"/>
      <c r="U1" s="222"/>
    </row>
    <row r="2" spans="1:21">
      <c r="A2" s="267">
        <f>SUM(R8:R237)</f>
        <v>0</v>
      </c>
      <c r="B2" s="223"/>
      <c r="C2" s="224" t="s">
        <v>584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140"/>
      <c r="Q2" s="226"/>
    </row>
    <row r="3" spans="1:21" s="355" customFormat="1" ht="45.75" customHeight="1">
      <c r="A3" s="349" t="s">
        <v>15</v>
      </c>
      <c r="B3" s="349"/>
      <c r="C3" s="506"/>
      <c r="D3" s="350"/>
      <c r="E3" s="982" t="s">
        <v>585</v>
      </c>
      <c r="F3" s="983"/>
      <c r="G3" s="984"/>
      <c r="H3" s="351" t="s">
        <v>616</v>
      </c>
      <c r="I3" s="352"/>
      <c r="J3" s="353"/>
      <c r="K3" s="982" t="s">
        <v>617</v>
      </c>
      <c r="L3" s="983"/>
      <c r="M3" s="984"/>
      <c r="N3" s="351" t="s">
        <v>586</v>
      </c>
      <c r="O3" s="352"/>
      <c r="P3" s="353"/>
      <c r="Q3" s="354"/>
      <c r="U3" s="356"/>
    </row>
    <row r="4" spans="1:21" s="355" customFormat="1" ht="15.6" customHeight="1">
      <c r="A4" s="349"/>
      <c r="B4" s="349"/>
      <c r="C4" s="704" t="s">
        <v>708</v>
      </c>
      <c r="D4" s="705" t="s">
        <v>707</v>
      </c>
      <c r="E4" s="706"/>
      <c r="F4" s="707"/>
      <c r="G4" s="708"/>
      <c r="H4" s="709"/>
      <c r="I4" s="710"/>
      <c r="J4" s="711"/>
      <c r="K4" s="706"/>
      <c r="L4" s="707"/>
      <c r="M4" s="708"/>
      <c r="N4" s="709"/>
      <c r="O4" s="710"/>
      <c r="P4" s="711" t="s">
        <v>706</v>
      </c>
      <c r="Q4" s="354"/>
      <c r="U4" s="356"/>
    </row>
    <row r="5" spans="1:21" s="279" customFormat="1">
      <c r="A5" s="272"/>
      <c r="B5" s="273"/>
      <c r="C5" s="274" t="s">
        <v>0</v>
      </c>
      <c r="D5" s="357" t="s">
        <v>587</v>
      </c>
      <c r="E5" s="274" t="s">
        <v>588</v>
      </c>
      <c r="F5" s="276" t="s">
        <v>589</v>
      </c>
      <c r="G5" s="277" t="s">
        <v>2</v>
      </c>
      <c r="H5" s="274" t="s">
        <v>588</v>
      </c>
      <c r="I5" s="276" t="s">
        <v>589</v>
      </c>
      <c r="J5" s="275" t="s">
        <v>2</v>
      </c>
      <c r="K5" s="274" t="s">
        <v>588</v>
      </c>
      <c r="L5" s="276" t="s">
        <v>589</v>
      </c>
      <c r="M5" s="275" t="s">
        <v>2</v>
      </c>
      <c r="N5" s="274" t="s">
        <v>590</v>
      </c>
      <c r="O5" s="276" t="s">
        <v>589</v>
      </c>
      <c r="P5" s="277" t="s">
        <v>2</v>
      </c>
      <c r="Q5" s="278" t="s">
        <v>11</v>
      </c>
      <c r="U5" s="188"/>
    </row>
    <row r="6" spans="1:21" s="279" customFormat="1" ht="63" customHeight="1">
      <c r="A6" s="272" t="s">
        <v>535</v>
      </c>
      <c r="B6" s="272"/>
      <c r="C6" s="280" t="s">
        <v>591</v>
      </c>
      <c r="D6" s="281" t="s">
        <v>592</v>
      </c>
      <c r="E6" s="282" t="s">
        <v>593</v>
      </c>
      <c r="F6" s="283" t="s">
        <v>594</v>
      </c>
      <c r="G6" s="284" t="s">
        <v>595</v>
      </c>
      <c r="H6" s="282" t="s">
        <v>618</v>
      </c>
      <c r="I6" s="283" t="s">
        <v>596</v>
      </c>
      <c r="J6" s="284" t="s">
        <v>597</v>
      </c>
      <c r="K6" s="282" t="s">
        <v>619</v>
      </c>
      <c r="L6" s="283" t="str">
        <f>"k
= "&amp;M1*100&amp;"% of (c - e - h)"</f>
        <v>k
= 4.19% of (c - e - h)</v>
      </c>
      <c r="M6" s="284" t="s">
        <v>598</v>
      </c>
      <c r="N6" s="282" t="s">
        <v>599</v>
      </c>
      <c r="O6" s="283" t="str">
        <f>"n
= "&amp;P1*100&amp;"% of (c - e - h)"</f>
        <v>n
= 95.81% of (c - e - h)</v>
      </c>
      <c r="P6" s="284" t="s">
        <v>600</v>
      </c>
      <c r="Q6" s="285" t="s">
        <v>601</v>
      </c>
      <c r="U6" s="188"/>
    </row>
    <row r="7" spans="1:21" outlineLevel="1">
      <c r="A7" s="227"/>
      <c r="B7" s="228"/>
      <c r="C7" s="229"/>
      <c r="D7" s="230"/>
      <c r="E7" s="231"/>
      <c r="F7" s="232"/>
      <c r="G7" s="233"/>
      <c r="H7" s="231"/>
      <c r="I7" s="232"/>
      <c r="J7" s="233"/>
      <c r="K7" s="231"/>
      <c r="L7" s="232"/>
      <c r="M7" s="233"/>
      <c r="N7" s="231"/>
      <c r="O7" s="232"/>
      <c r="P7" s="233"/>
      <c r="Q7" s="234"/>
    </row>
    <row r="8" spans="1:21" outlineLevel="1">
      <c r="A8" s="227">
        <v>39691</v>
      </c>
      <c r="B8" s="241">
        <f t="shared" ref="B8:B71" si="0">E8+K8+H8-C8</f>
        <v>0</v>
      </c>
      <c r="C8" s="164">
        <f>'LSR Prepaid BPA interest'!I6</f>
        <v>1234.2465753424658</v>
      </c>
      <c r="D8" s="159">
        <f>'LSR Prepaid BPA interest'!H6</f>
        <v>0</v>
      </c>
      <c r="E8" s="236">
        <f t="shared" ref="E8:E30" si="1">C8</f>
        <v>1234.2465753424658</v>
      </c>
      <c r="F8" s="237">
        <f>-MIN(ABS(D8),ABS(G7))</f>
        <v>0</v>
      </c>
      <c r="G8" s="238">
        <f>G7+E8+F8</f>
        <v>1234.2465753424658</v>
      </c>
      <c r="H8" s="236"/>
      <c r="I8" s="237">
        <f>IF((F8-D8)&gt;D8,(D8-F8),0)</f>
        <v>0</v>
      </c>
      <c r="J8" s="238">
        <f>J7+H8+I8</f>
        <v>0</v>
      </c>
      <c r="K8" s="236"/>
      <c r="L8" s="237"/>
      <c r="M8" s="238">
        <f>M7+K8+L8</f>
        <v>0</v>
      </c>
      <c r="N8" s="236">
        <f>'LSR Prepaid BPA interest'!G6</f>
        <v>500000</v>
      </c>
      <c r="O8" s="237"/>
      <c r="P8" s="238">
        <f>P7+N8+O8</f>
        <v>500000</v>
      </c>
      <c r="Q8" s="239"/>
      <c r="R8" s="154"/>
      <c r="S8" s="188"/>
      <c r="T8" s="235"/>
    </row>
    <row r="9" spans="1:21" outlineLevel="1">
      <c r="A9" s="227">
        <v>39721</v>
      </c>
      <c r="B9" s="241">
        <f t="shared" si="0"/>
        <v>0</v>
      </c>
      <c r="C9" s="164">
        <f>'LSR Prepaid BPA interest'!I7</f>
        <v>2178.0821917808221</v>
      </c>
      <c r="D9" s="159">
        <f>'LSR Prepaid BPA interest'!H7</f>
        <v>0</v>
      </c>
      <c r="E9" s="236">
        <f t="shared" si="1"/>
        <v>2178.0821917808221</v>
      </c>
      <c r="F9" s="237">
        <f>-MIN(ABS(D9),ABS(G8))</f>
        <v>0</v>
      </c>
      <c r="G9" s="238">
        <f t="shared" ref="G9:G72" si="2">G8+E9+F9</f>
        <v>3412.3287671232879</v>
      </c>
      <c r="H9" s="236"/>
      <c r="I9" s="237">
        <f t="shared" ref="I9:I52" si="3">IF((F9-D9)&gt;D9,(D9-F9),0)</f>
        <v>0</v>
      </c>
      <c r="J9" s="238">
        <f t="shared" ref="J9:J72" si="4">J8+H9+I9</f>
        <v>0</v>
      </c>
      <c r="K9" s="236"/>
      <c r="L9" s="237"/>
      <c r="M9" s="238">
        <f t="shared" ref="M9:M72" si="5">M8+K9+L9</f>
        <v>0</v>
      </c>
      <c r="N9" s="236">
        <f>'LSR Prepaid BPA interest'!G7</f>
        <v>0</v>
      </c>
      <c r="O9" s="237"/>
      <c r="P9" s="238">
        <f t="shared" ref="P9:P71" si="6">P8+N9+O9</f>
        <v>500000</v>
      </c>
      <c r="Q9" s="239"/>
      <c r="R9" s="154"/>
      <c r="S9" s="188"/>
      <c r="T9" s="235"/>
    </row>
    <row r="10" spans="1:21" outlineLevel="1">
      <c r="A10" s="227">
        <v>39752</v>
      </c>
      <c r="B10" s="241">
        <f t="shared" si="0"/>
        <v>0</v>
      </c>
      <c r="C10" s="164">
        <f>'LSR Prepaid BPA interest'!I8</f>
        <v>2137.7783824357298</v>
      </c>
      <c r="D10" s="159">
        <f>'LSR Prepaid BPA interest'!H8</f>
        <v>0</v>
      </c>
      <c r="E10" s="236">
        <f t="shared" si="1"/>
        <v>2137.7783824357298</v>
      </c>
      <c r="F10" s="237">
        <f t="shared" ref="F10:F51" si="7">-MIN(ABS(D10),ABS(G9))</f>
        <v>0</v>
      </c>
      <c r="G10" s="238">
        <f t="shared" si="2"/>
        <v>5550.1071495590177</v>
      </c>
      <c r="H10" s="236"/>
      <c r="I10" s="237">
        <f t="shared" si="3"/>
        <v>0</v>
      </c>
      <c r="J10" s="238">
        <f t="shared" si="4"/>
        <v>0</v>
      </c>
      <c r="K10" s="236"/>
      <c r="L10" s="237"/>
      <c r="M10" s="238">
        <f t="shared" si="5"/>
        <v>0</v>
      </c>
      <c r="N10" s="236">
        <f>'LSR Prepaid BPA interest'!G8</f>
        <v>0</v>
      </c>
      <c r="O10" s="237"/>
      <c r="P10" s="238">
        <f t="shared" si="6"/>
        <v>500000</v>
      </c>
      <c r="Q10" s="239"/>
      <c r="R10" s="154"/>
      <c r="S10" s="188"/>
      <c r="T10" s="235"/>
    </row>
    <row r="11" spans="1:21" outlineLevel="1">
      <c r="A11" s="227">
        <v>39782</v>
      </c>
      <c r="B11" s="241">
        <f t="shared" si="0"/>
        <v>0</v>
      </c>
      <c r="C11" s="164">
        <f>'LSR Prepaid BPA interest'!I9</f>
        <v>2068.8177894539317</v>
      </c>
      <c r="D11" s="159">
        <f>'LSR Prepaid BPA interest'!H9</f>
        <v>0</v>
      </c>
      <c r="E11" s="236">
        <f t="shared" si="1"/>
        <v>2068.8177894539317</v>
      </c>
      <c r="F11" s="237">
        <f t="shared" si="7"/>
        <v>0</v>
      </c>
      <c r="G11" s="238">
        <f>G10+E11+F11</f>
        <v>7618.9249390129498</v>
      </c>
      <c r="H11" s="236"/>
      <c r="I11" s="237">
        <f t="shared" si="3"/>
        <v>0</v>
      </c>
      <c r="J11" s="238">
        <f t="shared" si="4"/>
        <v>0</v>
      </c>
      <c r="K11" s="236"/>
      <c r="L11" s="237"/>
      <c r="M11" s="238">
        <f t="shared" si="5"/>
        <v>0</v>
      </c>
      <c r="N11" s="236">
        <f>'LSR Prepaid BPA interest'!G9</f>
        <v>0</v>
      </c>
      <c r="O11" s="237"/>
      <c r="P11" s="238">
        <f t="shared" si="6"/>
        <v>500000</v>
      </c>
      <c r="Q11" s="239"/>
      <c r="R11" s="154"/>
      <c r="S11" s="188"/>
      <c r="T11" s="235"/>
    </row>
    <row r="12" spans="1:21" outlineLevel="1">
      <c r="A12" s="227">
        <v>39813</v>
      </c>
      <c r="B12" s="241">
        <f t="shared" si="0"/>
        <v>0</v>
      </c>
      <c r="C12" s="164">
        <f>'LSR Prepaid BPA interest'!I10</f>
        <v>2137.7783824357298</v>
      </c>
      <c r="D12" s="159">
        <f>'LSR Prepaid BPA interest'!H10</f>
        <v>0</v>
      </c>
      <c r="E12" s="236">
        <f t="shared" si="1"/>
        <v>2137.7783824357298</v>
      </c>
      <c r="F12" s="237">
        <f t="shared" si="7"/>
        <v>0</v>
      </c>
      <c r="G12" s="238">
        <f t="shared" si="2"/>
        <v>9756.7033214486801</v>
      </c>
      <c r="H12" s="236"/>
      <c r="I12" s="237">
        <f t="shared" si="3"/>
        <v>0</v>
      </c>
      <c r="J12" s="238">
        <f t="shared" si="4"/>
        <v>0</v>
      </c>
      <c r="K12" s="236"/>
      <c r="L12" s="237"/>
      <c r="M12" s="238">
        <f t="shared" si="5"/>
        <v>0</v>
      </c>
      <c r="N12" s="236">
        <f>'LSR Prepaid BPA interest'!G10</f>
        <v>0</v>
      </c>
      <c r="O12" s="237"/>
      <c r="P12" s="238">
        <f t="shared" si="6"/>
        <v>500000</v>
      </c>
      <c r="Q12" s="239"/>
      <c r="R12" s="154"/>
      <c r="S12" s="188"/>
      <c r="T12" s="235"/>
    </row>
    <row r="13" spans="1:21" outlineLevel="1">
      <c r="A13" s="227">
        <v>39844</v>
      </c>
      <c r="B13" s="241">
        <f t="shared" si="0"/>
        <v>0</v>
      </c>
      <c r="C13" s="164">
        <f>'LSR Prepaid BPA interest'!I11</f>
        <v>1956.9071032712709</v>
      </c>
      <c r="D13" s="159">
        <f>'LSR Prepaid BPA interest'!H11</f>
        <v>0</v>
      </c>
      <c r="E13" s="236">
        <f t="shared" si="1"/>
        <v>1956.9071032712709</v>
      </c>
      <c r="F13" s="237">
        <f t="shared" si="7"/>
        <v>0</v>
      </c>
      <c r="G13" s="238">
        <f t="shared" si="2"/>
        <v>11713.610424719951</v>
      </c>
      <c r="H13" s="236"/>
      <c r="I13" s="237">
        <f t="shared" si="3"/>
        <v>0</v>
      </c>
      <c r="J13" s="238">
        <f t="shared" si="4"/>
        <v>0</v>
      </c>
      <c r="K13" s="236"/>
      <c r="L13" s="237"/>
      <c r="M13" s="238">
        <f t="shared" si="5"/>
        <v>0</v>
      </c>
      <c r="N13" s="236">
        <f>'LSR Prepaid BPA interest'!G11</f>
        <v>0</v>
      </c>
      <c r="O13" s="237"/>
      <c r="P13" s="238">
        <f t="shared" si="6"/>
        <v>500000</v>
      </c>
      <c r="Q13" s="239"/>
      <c r="R13" s="154"/>
      <c r="S13" s="188"/>
      <c r="T13" s="235"/>
    </row>
    <row r="14" spans="1:21" outlineLevel="1">
      <c r="A14" s="227">
        <v>39872</v>
      </c>
      <c r="B14" s="241">
        <f t="shared" si="0"/>
        <v>0</v>
      </c>
      <c r="C14" s="164">
        <f>'LSR Prepaid BPA interest'!I12</f>
        <v>0</v>
      </c>
      <c r="D14" s="159">
        <f>'LSR Prepaid BPA interest'!H12</f>
        <v>0</v>
      </c>
      <c r="E14" s="236">
        <f t="shared" si="1"/>
        <v>0</v>
      </c>
      <c r="F14" s="237">
        <f t="shared" si="7"/>
        <v>0</v>
      </c>
      <c r="G14" s="238">
        <f>G13+E14+F14</f>
        <v>11713.610424719951</v>
      </c>
      <c r="H14" s="236"/>
      <c r="I14" s="237">
        <f t="shared" si="3"/>
        <v>0</v>
      </c>
      <c r="J14" s="238">
        <f>J13+H14+I14</f>
        <v>0</v>
      </c>
      <c r="K14" s="236"/>
      <c r="L14" s="237"/>
      <c r="M14" s="238">
        <f t="shared" si="5"/>
        <v>0</v>
      </c>
      <c r="N14" s="236">
        <f>'LSR Prepaid BPA interest'!G12</f>
        <v>6600000</v>
      </c>
      <c r="O14" s="237"/>
      <c r="P14" s="238">
        <f t="shared" si="6"/>
        <v>7100000</v>
      </c>
      <c r="Q14" s="239"/>
      <c r="R14" s="154"/>
      <c r="S14" s="188"/>
      <c r="T14" s="235"/>
    </row>
    <row r="15" spans="1:21" outlineLevel="1">
      <c r="A15" s="227">
        <v>39872</v>
      </c>
      <c r="B15" s="241">
        <f t="shared" si="0"/>
        <v>0</v>
      </c>
      <c r="C15" s="164">
        <f>'LSR Prepaid BPA interest'!I13</f>
        <v>10757.99474992774</v>
      </c>
      <c r="D15" s="159">
        <f>'LSR Prepaid BPA interest'!H13</f>
        <v>0</v>
      </c>
      <c r="E15" s="236">
        <f>C15</f>
        <v>10757.99474992774</v>
      </c>
      <c r="F15" s="237">
        <f t="shared" si="7"/>
        <v>0</v>
      </c>
      <c r="G15" s="238">
        <f>G14+E15+F15</f>
        <v>22471.605174647691</v>
      </c>
      <c r="H15" s="236"/>
      <c r="I15" s="237">
        <f t="shared" si="3"/>
        <v>0</v>
      </c>
      <c r="J15" s="238">
        <f>J14+H15+I15</f>
        <v>0</v>
      </c>
      <c r="K15" s="236"/>
      <c r="L15" s="237"/>
      <c r="M15" s="238">
        <f t="shared" si="5"/>
        <v>0</v>
      </c>
      <c r="N15" s="236">
        <f>'LSR Prepaid BPA interest'!G13</f>
        <v>6600000</v>
      </c>
      <c r="O15" s="237"/>
      <c r="P15" s="238">
        <f>P14+N15+O15</f>
        <v>13700000</v>
      </c>
      <c r="Q15" s="239"/>
      <c r="R15" s="154"/>
      <c r="S15" s="188"/>
      <c r="T15" s="235"/>
    </row>
    <row r="16" spans="1:21" outlineLevel="1">
      <c r="A16" s="227">
        <v>39903</v>
      </c>
      <c r="B16" s="241">
        <f t="shared" si="0"/>
        <v>0</v>
      </c>
      <c r="C16" s="164">
        <f>'LSR Prepaid BPA interest'!I14</f>
        <v>52630.441349846602</v>
      </c>
      <c r="D16" s="159">
        <f>'LSR Prepaid BPA interest'!H14</f>
        <v>0</v>
      </c>
      <c r="E16" s="236">
        <f t="shared" si="1"/>
        <v>52630.441349846602</v>
      </c>
      <c r="F16" s="237">
        <f t="shared" si="7"/>
        <v>0</v>
      </c>
      <c r="G16" s="238">
        <f>G15+E16+F16</f>
        <v>75102.04652449429</v>
      </c>
      <c r="H16" s="236"/>
      <c r="I16" s="237">
        <f t="shared" si="3"/>
        <v>0</v>
      </c>
      <c r="J16" s="238">
        <f>J15+H16+I16</f>
        <v>0</v>
      </c>
      <c r="K16" s="236"/>
      <c r="L16" s="237"/>
      <c r="M16" s="238">
        <f t="shared" si="5"/>
        <v>0</v>
      </c>
      <c r="N16" s="236">
        <f>'LSR Prepaid BPA interest'!G14</f>
        <v>0</v>
      </c>
      <c r="O16" s="237"/>
      <c r="P16" s="238">
        <f>P15+N16+O16</f>
        <v>13700000</v>
      </c>
      <c r="Q16" s="239"/>
      <c r="R16" s="154"/>
      <c r="S16" s="188"/>
      <c r="T16" s="235"/>
    </row>
    <row r="17" spans="1:20" outlineLevel="1">
      <c r="A17" s="227">
        <v>39933</v>
      </c>
      <c r="B17" s="241">
        <f t="shared" si="0"/>
        <v>0</v>
      </c>
      <c r="C17" s="164">
        <f>'LSR Prepaid BPA interest'!I15</f>
        <v>38155.145668592508</v>
      </c>
      <c r="D17" s="159">
        <f>'LSR Prepaid BPA interest'!H15</f>
        <v>0</v>
      </c>
      <c r="E17" s="236">
        <f t="shared" si="1"/>
        <v>38155.145668592508</v>
      </c>
      <c r="F17" s="237">
        <f t="shared" si="7"/>
        <v>0</v>
      </c>
      <c r="G17" s="238">
        <f>G16+E17+F17</f>
        <v>113257.1921930868</v>
      </c>
      <c r="H17" s="236"/>
      <c r="I17" s="237">
        <f t="shared" si="3"/>
        <v>0</v>
      </c>
      <c r="J17" s="238">
        <f>J16+H17+I17</f>
        <v>0</v>
      </c>
      <c r="K17" s="236"/>
      <c r="L17" s="237"/>
      <c r="M17" s="238">
        <f t="shared" si="5"/>
        <v>0</v>
      </c>
      <c r="N17" s="236">
        <f>'LSR Prepaid BPA interest'!G15</f>
        <v>0</v>
      </c>
      <c r="O17" s="237"/>
      <c r="P17" s="238">
        <f>P16+N17+O17</f>
        <v>13700000</v>
      </c>
      <c r="Q17" s="239"/>
      <c r="R17" s="154"/>
      <c r="S17" s="188"/>
      <c r="T17" s="235"/>
    </row>
    <row r="18" spans="1:20" outlineLevel="1">
      <c r="A18" s="227">
        <v>39964</v>
      </c>
      <c r="B18" s="241">
        <f t="shared" si="0"/>
        <v>0</v>
      </c>
      <c r="C18" s="164">
        <f>'LSR Prepaid BPA interest'!I16</f>
        <v>39426.983857545587</v>
      </c>
      <c r="D18" s="159">
        <f>'LSR Prepaid BPA interest'!H16</f>
        <v>0</v>
      </c>
      <c r="E18" s="236">
        <f t="shared" si="1"/>
        <v>39426.983857545587</v>
      </c>
      <c r="F18" s="237">
        <f t="shared" si="7"/>
        <v>0</v>
      </c>
      <c r="G18" s="238">
        <f t="shared" si="2"/>
        <v>152684.17605063238</v>
      </c>
      <c r="H18" s="236"/>
      <c r="I18" s="237">
        <f t="shared" si="3"/>
        <v>0</v>
      </c>
      <c r="J18" s="238">
        <f t="shared" si="4"/>
        <v>0</v>
      </c>
      <c r="K18" s="236"/>
      <c r="L18" s="237"/>
      <c r="M18" s="238">
        <f t="shared" si="5"/>
        <v>0</v>
      </c>
      <c r="N18" s="236">
        <f>'LSR Prepaid BPA interest'!G16</f>
        <v>0</v>
      </c>
      <c r="O18" s="237"/>
      <c r="P18" s="238">
        <f t="shared" si="6"/>
        <v>13700000</v>
      </c>
      <c r="Q18" s="239"/>
      <c r="R18" s="154"/>
      <c r="S18" s="188"/>
      <c r="T18" s="235"/>
    </row>
    <row r="19" spans="1:20" outlineLevel="1">
      <c r="A19" s="227">
        <v>39994</v>
      </c>
      <c r="B19" s="241">
        <f t="shared" si="0"/>
        <v>0</v>
      </c>
      <c r="C19" s="164">
        <f>'LSR Prepaid BPA interest'!I17</f>
        <v>47526.515531606208</v>
      </c>
      <c r="D19" s="159">
        <f>'LSR Prepaid BPA interest'!H17</f>
        <v>0</v>
      </c>
      <c r="E19" s="236">
        <f t="shared" si="1"/>
        <v>47526.515531606208</v>
      </c>
      <c r="F19" s="237">
        <f t="shared" si="7"/>
        <v>0</v>
      </c>
      <c r="G19" s="238">
        <f t="shared" si="2"/>
        <v>200210.69158223859</v>
      </c>
      <c r="H19" s="236"/>
      <c r="I19" s="237">
        <f t="shared" si="3"/>
        <v>0</v>
      </c>
      <c r="J19" s="238">
        <f t="shared" si="4"/>
        <v>0</v>
      </c>
      <c r="K19" s="236"/>
      <c r="L19" s="237"/>
      <c r="M19" s="238">
        <f t="shared" si="5"/>
        <v>0</v>
      </c>
      <c r="N19" s="236">
        <f>'LSR Prepaid BPA interest'!G17</f>
        <v>3500000</v>
      </c>
      <c r="O19" s="237"/>
      <c r="P19" s="238">
        <f t="shared" si="6"/>
        <v>17200000</v>
      </c>
      <c r="Q19" s="239"/>
      <c r="R19" s="154"/>
      <c r="S19" s="188"/>
      <c r="T19" s="235"/>
    </row>
    <row r="20" spans="1:20" outlineLevel="1">
      <c r="A20" s="227">
        <v>40025</v>
      </c>
      <c r="B20" s="241">
        <f t="shared" si="0"/>
        <v>0</v>
      </c>
      <c r="C20" s="164">
        <f>'LSR Prepaid BPA interest'!I18</f>
        <v>48029.348689778381</v>
      </c>
      <c r="D20" s="159">
        <f>'LSR Prepaid BPA interest'!H18</f>
        <v>0</v>
      </c>
      <c r="E20" s="236">
        <f t="shared" si="1"/>
        <v>48029.348689778381</v>
      </c>
      <c r="F20" s="237">
        <f t="shared" si="7"/>
        <v>0</v>
      </c>
      <c r="G20" s="238">
        <f t="shared" si="2"/>
        <v>248240.04027201698</v>
      </c>
      <c r="H20" s="236"/>
      <c r="I20" s="237">
        <f t="shared" si="3"/>
        <v>0</v>
      </c>
      <c r="J20" s="238">
        <f t="shared" si="4"/>
        <v>0</v>
      </c>
      <c r="K20" s="236"/>
      <c r="L20" s="237"/>
      <c r="M20" s="238">
        <f t="shared" si="5"/>
        <v>0</v>
      </c>
      <c r="N20" s="236">
        <f>'LSR Prepaid BPA interest'!G18</f>
        <v>0</v>
      </c>
      <c r="O20" s="237"/>
      <c r="P20" s="238">
        <f t="shared" si="6"/>
        <v>17200000</v>
      </c>
      <c r="Q20" s="240">
        <f t="shared" ref="Q20:Q83" si="8">(P20+P8+SUM(P9:P19)*2)/24</f>
        <v>7537500</v>
      </c>
      <c r="R20" s="154"/>
      <c r="S20" s="188"/>
      <c r="T20" s="235"/>
    </row>
    <row r="21" spans="1:20" outlineLevel="1">
      <c r="A21" s="227">
        <v>40056</v>
      </c>
      <c r="B21" s="241">
        <f t="shared" si="0"/>
        <v>0</v>
      </c>
      <c r="C21" s="164">
        <f>'LSR Prepaid BPA interest'!I19</f>
        <v>48964.280196627697</v>
      </c>
      <c r="D21" s="159">
        <f>'LSR Prepaid BPA interest'!H19</f>
        <v>0</v>
      </c>
      <c r="E21" s="236">
        <f t="shared" si="1"/>
        <v>48964.280196627697</v>
      </c>
      <c r="F21" s="237">
        <f t="shared" si="7"/>
        <v>0</v>
      </c>
      <c r="G21" s="238">
        <f t="shared" si="2"/>
        <v>297204.32046864467</v>
      </c>
      <c r="H21" s="236"/>
      <c r="I21" s="237">
        <f t="shared" si="3"/>
        <v>0</v>
      </c>
      <c r="J21" s="238">
        <f t="shared" si="4"/>
        <v>0</v>
      </c>
      <c r="K21" s="236"/>
      <c r="L21" s="237"/>
      <c r="M21" s="238">
        <f t="shared" si="5"/>
        <v>0</v>
      </c>
      <c r="N21" s="236">
        <f>'LSR Prepaid BPA interest'!G19</f>
        <v>10500000</v>
      </c>
      <c r="O21" s="237"/>
      <c r="P21" s="238">
        <f t="shared" si="6"/>
        <v>27700000</v>
      </c>
      <c r="Q21" s="240">
        <f t="shared" si="8"/>
        <v>9366666.666666666</v>
      </c>
      <c r="R21" s="154"/>
      <c r="S21" s="188"/>
      <c r="T21" s="235"/>
    </row>
    <row r="22" spans="1:20" outlineLevel="1">
      <c r="A22" s="227">
        <v>40086</v>
      </c>
      <c r="B22" s="241">
        <f t="shared" si="0"/>
        <v>0</v>
      </c>
      <c r="C22" s="164">
        <f>'LSR Prepaid BPA interest'!I20</f>
        <v>75462.891573404602</v>
      </c>
      <c r="D22" s="159">
        <f>'LSR Prepaid BPA interest'!H20</f>
        <v>0</v>
      </c>
      <c r="E22" s="236">
        <f t="shared" si="1"/>
        <v>75462.891573404602</v>
      </c>
      <c r="F22" s="237">
        <f t="shared" si="7"/>
        <v>0</v>
      </c>
      <c r="G22" s="238">
        <f t="shared" si="2"/>
        <v>372667.21204204927</v>
      </c>
      <c r="H22" s="236"/>
      <c r="I22" s="237">
        <f t="shared" si="3"/>
        <v>0</v>
      </c>
      <c r="J22" s="238">
        <f t="shared" si="4"/>
        <v>0</v>
      </c>
      <c r="K22" s="236"/>
      <c r="L22" s="237"/>
      <c r="M22" s="238">
        <f t="shared" si="5"/>
        <v>0</v>
      </c>
      <c r="N22" s="236">
        <f>'LSR Prepaid BPA interest'!G20</f>
        <v>10500000</v>
      </c>
      <c r="O22" s="237"/>
      <c r="P22" s="238">
        <f t="shared" si="6"/>
        <v>38200000</v>
      </c>
      <c r="Q22" s="240">
        <f t="shared" si="8"/>
        <v>12070833.333333334</v>
      </c>
      <c r="R22" s="154"/>
      <c r="S22" s="188"/>
      <c r="T22" s="235"/>
    </row>
    <row r="23" spans="1:20" outlineLevel="1">
      <c r="A23" s="227">
        <v>40117</v>
      </c>
      <c r="B23" s="241">
        <f t="shared" si="0"/>
        <v>0</v>
      </c>
      <c r="C23" s="164">
        <f>'LSR Prepaid BPA interest'!I21</f>
        <v>106471.12935926676</v>
      </c>
      <c r="D23" s="159">
        <f>'LSR Prepaid BPA interest'!H21</f>
        <v>0</v>
      </c>
      <c r="E23" s="236">
        <f t="shared" si="1"/>
        <v>106471.12935926676</v>
      </c>
      <c r="F23" s="237">
        <f t="shared" si="7"/>
        <v>0</v>
      </c>
      <c r="G23" s="238">
        <f t="shared" si="2"/>
        <v>479138.34140131605</v>
      </c>
      <c r="H23" s="236"/>
      <c r="I23" s="237">
        <f t="shared" si="3"/>
        <v>0</v>
      </c>
      <c r="J23" s="238">
        <f t="shared" si="4"/>
        <v>0</v>
      </c>
      <c r="K23" s="236"/>
      <c r="L23" s="237"/>
      <c r="M23" s="238">
        <f t="shared" si="5"/>
        <v>0</v>
      </c>
      <c r="N23" s="236">
        <f>'LSR Prepaid BPA interest'!G21</f>
        <v>0</v>
      </c>
      <c r="O23" s="237"/>
      <c r="P23" s="238">
        <f t="shared" si="6"/>
        <v>38200000</v>
      </c>
      <c r="Q23" s="240">
        <f t="shared" si="8"/>
        <v>15212500</v>
      </c>
      <c r="R23" s="154"/>
      <c r="S23" s="188"/>
      <c r="T23" s="235"/>
    </row>
    <row r="24" spans="1:20" outlineLevel="1">
      <c r="A24" s="227">
        <v>40147</v>
      </c>
      <c r="B24" s="241">
        <f t="shared" si="0"/>
        <v>0</v>
      </c>
      <c r="C24" s="164">
        <f>'LSR Prepaid BPA interest'!I22</f>
        <v>103036.57679929041</v>
      </c>
      <c r="D24" s="159">
        <f>'LSR Prepaid BPA interest'!H22</f>
        <v>0</v>
      </c>
      <c r="E24" s="236">
        <f t="shared" si="1"/>
        <v>103036.57679929041</v>
      </c>
      <c r="F24" s="237">
        <f t="shared" si="7"/>
        <v>0</v>
      </c>
      <c r="G24" s="238">
        <f t="shared" si="2"/>
        <v>582174.91820060648</v>
      </c>
      <c r="H24" s="236"/>
      <c r="I24" s="237">
        <f t="shared" si="3"/>
        <v>0</v>
      </c>
      <c r="J24" s="238">
        <f t="shared" si="4"/>
        <v>0</v>
      </c>
      <c r="K24" s="236"/>
      <c r="L24" s="237"/>
      <c r="M24" s="238">
        <f t="shared" si="5"/>
        <v>0</v>
      </c>
      <c r="N24" s="236">
        <f>'LSR Prepaid BPA interest'!G22</f>
        <v>0</v>
      </c>
      <c r="O24" s="237"/>
      <c r="P24" s="238">
        <f t="shared" si="6"/>
        <v>38200000</v>
      </c>
      <c r="Q24" s="240">
        <f t="shared" si="8"/>
        <v>18354166.666666668</v>
      </c>
      <c r="R24" s="154"/>
      <c r="S24" s="188"/>
      <c r="T24" s="235"/>
    </row>
    <row r="25" spans="1:20" outlineLevel="1">
      <c r="A25" s="227">
        <v>40178</v>
      </c>
      <c r="B25" s="241">
        <f t="shared" si="0"/>
        <v>0</v>
      </c>
      <c r="C25" s="164">
        <f>'LSR Prepaid BPA interest'!I23</f>
        <v>106471.12935926676</v>
      </c>
      <c r="D25" s="159">
        <f>'LSR Prepaid BPA interest'!H23</f>
        <v>0</v>
      </c>
      <c r="E25" s="236">
        <f t="shared" si="1"/>
        <v>106471.12935926676</v>
      </c>
      <c r="F25" s="237">
        <f t="shared" si="7"/>
        <v>0</v>
      </c>
      <c r="G25" s="238">
        <f t="shared" si="2"/>
        <v>688646.0475598732</v>
      </c>
      <c r="H25" s="236"/>
      <c r="I25" s="237">
        <f t="shared" si="3"/>
        <v>0</v>
      </c>
      <c r="J25" s="238">
        <f t="shared" si="4"/>
        <v>0</v>
      </c>
      <c r="K25" s="236"/>
      <c r="L25" s="237"/>
      <c r="M25" s="238">
        <f t="shared" si="5"/>
        <v>0</v>
      </c>
      <c r="N25" s="236">
        <f>'LSR Prepaid BPA interest'!G23</f>
        <v>0</v>
      </c>
      <c r="O25" s="237"/>
      <c r="P25" s="238">
        <f t="shared" si="6"/>
        <v>38200000</v>
      </c>
      <c r="Q25" s="240">
        <f t="shared" si="8"/>
        <v>21495833.333333332</v>
      </c>
      <c r="R25" s="154"/>
      <c r="S25" s="188"/>
      <c r="T25" s="235"/>
    </row>
    <row r="26" spans="1:20" outlineLevel="1">
      <c r="A26" s="227">
        <v>40209</v>
      </c>
      <c r="B26" s="241">
        <f t="shared" si="0"/>
        <v>0</v>
      </c>
      <c r="C26" s="164">
        <f>'LSR Prepaid BPA interest'!I24</f>
        <v>107343.31751483993</v>
      </c>
      <c r="D26" s="159">
        <f>'LSR Prepaid BPA interest'!H24</f>
        <v>0</v>
      </c>
      <c r="E26" s="236">
        <f t="shared" si="1"/>
        <v>107343.31751483993</v>
      </c>
      <c r="F26" s="237">
        <f t="shared" si="7"/>
        <v>0</v>
      </c>
      <c r="G26" s="238">
        <f t="shared" si="2"/>
        <v>795989.36507471313</v>
      </c>
      <c r="H26" s="236"/>
      <c r="I26" s="237">
        <f t="shared" si="3"/>
        <v>0</v>
      </c>
      <c r="J26" s="238">
        <f t="shared" si="4"/>
        <v>0</v>
      </c>
      <c r="K26" s="236"/>
      <c r="L26" s="237"/>
      <c r="M26" s="238">
        <f t="shared" si="5"/>
        <v>0</v>
      </c>
      <c r="N26" s="236">
        <f>'LSR Prepaid BPA interest'!G24</f>
        <v>0</v>
      </c>
      <c r="O26" s="237"/>
      <c r="P26" s="238">
        <f t="shared" si="6"/>
        <v>38200000</v>
      </c>
      <c r="Q26" s="240">
        <f t="shared" si="8"/>
        <v>24362500</v>
      </c>
      <c r="R26" s="154"/>
      <c r="S26" s="188"/>
      <c r="T26" s="235"/>
    </row>
    <row r="27" spans="1:20" outlineLevel="1">
      <c r="A27" s="227">
        <v>40237</v>
      </c>
      <c r="B27" s="241">
        <f t="shared" si="0"/>
        <v>0</v>
      </c>
      <c r="C27" s="164">
        <f>'LSR Prepaid BPA interest'!I25</f>
        <v>96955.25452953286</v>
      </c>
      <c r="D27" s="159">
        <f>'LSR Prepaid BPA interest'!H25</f>
        <v>0</v>
      </c>
      <c r="E27" s="236">
        <f t="shared" si="1"/>
        <v>96955.25452953286</v>
      </c>
      <c r="F27" s="237">
        <f t="shared" si="7"/>
        <v>0</v>
      </c>
      <c r="G27" s="238">
        <f t="shared" si="2"/>
        <v>892944.61960424599</v>
      </c>
      <c r="H27" s="236"/>
      <c r="I27" s="237">
        <f t="shared" si="3"/>
        <v>0</v>
      </c>
      <c r="J27" s="238">
        <f t="shared" si="4"/>
        <v>0</v>
      </c>
      <c r="K27" s="236"/>
      <c r="L27" s="237"/>
      <c r="M27" s="238">
        <f t="shared" si="5"/>
        <v>0</v>
      </c>
      <c r="N27" s="236">
        <f>'LSR Prepaid BPA interest'!G25</f>
        <v>0</v>
      </c>
      <c r="O27" s="237"/>
      <c r="P27" s="238">
        <f t="shared" si="6"/>
        <v>38200000</v>
      </c>
      <c r="Q27" s="240">
        <f t="shared" si="8"/>
        <v>26679166.666666668</v>
      </c>
      <c r="R27" s="154"/>
      <c r="S27" s="188"/>
      <c r="T27" s="235"/>
    </row>
    <row r="28" spans="1:20" outlineLevel="1">
      <c r="A28" s="227">
        <v>40268</v>
      </c>
      <c r="B28" s="241">
        <f t="shared" si="0"/>
        <v>0</v>
      </c>
      <c r="C28" s="164">
        <f>'LSR Prepaid BPA interest'!I26</f>
        <v>107343.31751483993</v>
      </c>
      <c r="D28" s="159">
        <f>'LSR Prepaid BPA interest'!H26</f>
        <v>0</v>
      </c>
      <c r="E28" s="236">
        <f t="shared" si="1"/>
        <v>107343.31751483993</v>
      </c>
      <c r="F28" s="237">
        <f t="shared" si="7"/>
        <v>0</v>
      </c>
      <c r="G28" s="238">
        <f>G27+E28+F28</f>
        <v>1000287.9371190859</v>
      </c>
      <c r="H28" s="236"/>
      <c r="I28" s="237">
        <f t="shared" si="3"/>
        <v>0</v>
      </c>
      <c r="J28" s="238">
        <f t="shared" si="4"/>
        <v>0</v>
      </c>
      <c r="K28" s="236"/>
      <c r="L28" s="237"/>
      <c r="M28" s="238">
        <f t="shared" si="5"/>
        <v>0</v>
      </c>
      <c r="N28" s="236">
        <f>'LSR Prepaid BPA interest'!G26</f>
        <v>0</v>
      </c>
      <c r="O28" s="237"/>
      <c r="P28" s="238">
        <f t="shared" si="6"/>
        <v>38200000</v>
      </c>
      <c r="Q28" s="240">
        <f t="shared" si="8"/>
        <v>28720833.333333332</v>
      </c>
      <c r="R28" s="154"/>
      <c r="S28" s="188"/>
      <c r="T28" s="235"/>
    </row>
    <row r="29" spans="1:20" outlineLevel="1">
      <c r="A29" s="227">
        <v>40298</v>
      </c>
      <c r="B29" s="241">
        <f t="shared" si="0"/>
        <v>0</v>
      </c>
      <c r="C29" s="164">
        <f>'LSR Prepaid BPA interest'!I27</f>
        <v>104713.09791422222</v>
      </c>
      <c r="D29" s="159">
        <f>'LSR Prepaid BPA interest'!H27</f>
        <v>0</v>
      </c>
      <c r="E29" s="236">
        <f t="shared" si="1"/>
        <v>104713.09791422222</v>
      </c>
      <c r="F29" s="237">
        <f t="shared" si="7"/>
        <v>0</v>
      </c>
      <c r="G29" s="238">
        <f t="shared" si="2"/>
        <v>1105001.0350333082</v>
      </c>
      <c r="H29" s="236"/>
      <c r="I29" s="237">
        <f t="shared" si="3"/>
        <v>0</v>
      </c>
      <c r="J29" s="238">
        <f t="shared" si="4"/>
        <v>0</v>
      </c>
      <c r="K29" s="236"/>
      <c r="L29" s="237"/>
      <c r="M29" s="238">
        <f t="shared" si="5"/>
        <v>0</v>
      </c>
      <c r="N29" s="236">
        <f>'LSR Prepaid BPA interest'!G27</f>
        <v>0</v>
      </c>
      <c r="O29" s="237"/>
      <c r="P29" s="238">
        <f t="shared" si="6"/>
        <v>38200000</v>
      </c>
      <c r="Q29" s="240">
        <f t="shared" si="8"/>
        <v>30762500</v>
      </c>
      <c r="R29" s="154"/>
      <c r="S29" s="188"/>
      <c r="T29" s="235"/>
    </row>
    <row r="30" spans="1:20" outlineLevel="1">
      <c r="A30" s="227">
        <v>40317</v>
      </c>
      <c r="B30" s="241">
        <f t="shared" si="0"/>
        <v>0</v>
      </c>
      <c r="C30" s="164">
        <f>'LSR Prepaid BPA interest'!I28</f>
        <v>66318.29534567408</v>
      </c>
      <c r="D30" s="159">
        <f>'LSR Prepaid BPA interest'!H28</f>
        <v>0</v>
      </c>
      <c r="E30" s="236">
        <f t="shared" si="1"/>
        <v>66318.29534567408</v>
      </c>
      <c r="F30" s="237">
        <f t="shared" si="7"/>
        <v>0</v>
      </c>
      <c r="G30" s="238">
        <f t="shared" si="2"/>
        <v>1171319.3303789822</v>
      </c>
      <c r="H30" s="236"/>
      <c r="I30" s="237">
        <f t="shared" si="3"/>
        <v>0</v>
      </c>
      <c r="J30" s="238">
        <f t="shared" si="4"/>
        <v>0</v>
      </c>
      <c r="K30" s="236"/>
      <c r="L30" s="237"/>
      <c r="M30" s="238">
        <f t="shared" si="5"/>
        <v>0</v>
      </c>
      <c r="N30" s="236">
        <f>'LSR Prepaid BPA interest'!G28</f>
        <v>0</v>
      </c>
      <c r="O30" s="237"/>
      <c r="P30" s="238">
        <f t="shared" si="6"/>
        <v>38200000</v>
      </c>
      <c r="Q30" s="240">
        <f t="shared" si="8"/>
        <v>32804166.666666668</v>
      </c>
      <c r="R30" s="154"/>
      <c r="S30" s="188"/>
      <c r="T30" s="235"/>
    </row>
    <row r="31" spans="1:20" outlineLevel="1">
      <c r="A31" s="227">
        <v>40329</v>
      </c>
      <c r="B31" s="241">
        <f t="shared" si="0"/>
        <v>0</v>
      </c>
      <c r="C31" s="164">
        <f>'LSR Prepaid BPA interest'!I29</f>
        <v>41885.239165688887</v>
      </c>
      <c r="D31" s="159">
        <f>'LSR Prepaid BPA interest'!H29</f>
        <v>0</v>
      </c>
      <c r="E31" s="236"/>
      <c r="F31" s="237">
        <f t="shared" si="7"/>
        <v>0</v>
      </c>
      <c r="G31" s="238">
        <f t="shared" si="2"/>
        <v>1171319.3303789822</v>
      </c>
      <c r="H31" s="236">
        <f t="shared" ref="H31:H53" si="9">C31</f>
        <v>41885.239165688887</v>
      </c>
      <c r="I31" s="237">
        <f t="shared" si="3"/>
        <v>0</v>
      </c>
      <c r="J31" s="238">
        <f t="shared" si="4"/>
        <v>41885.239165688887</v>
      </c>
      <c r="K31" s="236"/>
      <c r="L31" s="237"/>
      <c r="M31" s="238">
        <f t="shared" si="5"/>
        <v>0</v>
      </c>
      <c r="N31" s="236">
        <f>'LSR Prepaid BPA interest'!G29</f>
        <v>0</v>
      </c>
      <c r="O31" s="237"/>
      <c r="P31" s="238">
        <f t="shared" si="6"/>
        <v>38200000</v>
      </c>
      <c r="Q31" s="240">
        <f t="shared" si="8"/>
        <v>34700000</v>
      </c>
      <c r="R31" s="154"/>
      <c r="S31" s="188"/>
      <c r="T31" s="235"/>
    </row>
    <row r="32" spans="1:20" outlineLevel="1">
      <c r="A32" s="227">
        <v>40359</v>
      </c>
      <c r="B32" s="241">
        <f t="shared" si="0"/>
        <v>0</v>
      </c>
      <c r="C32" s="164">
        <f>'LSR Prepaid BPA interest'!I30</f>
        <v>144224.24131046733</v>
      </c>
      <c r="D32" s="159">
        <f>'LSR Prepaid BPA interest'!H30</f>
        <v>0</v>
      </c>
      <c r="E32" s="236"/>
      <c r="F32" s="237">
        <f t="shared" si="7"/>
        <v>0</v>
      </c>
      <c r="G32" s="238">
        <f t="shared" si="2"/>
        <v>1171319.3303789822</v>
      </c>
      <c r="H32" s="236">
        <f t="shared" si="9"/>
        <v>144224.24131046733</v>
      </c>
      <c r="I32" s="237">
        <f t="shared" si="3"/>
        <v>0</v>
      </c>
      <c r="J32" s="238">
        <f t="shared" si="4"/>
        <v>186109.48047615623</v>
      </c>
      <c r="K32" s="236"/>
      <c r="L32" s="237"/>
      <c r="M32" s="238">
        <f t="shared" si="5"/>
        <v>0</v>
      </c>
      <c r="N32" s="236">
        <f>'LSR Prepaid BPA interest'!G30</f>
        <v>10000000</v>
      </c>
      <c r="O32" s="237"/>
      <c r="P32" s="238">
        <f t="shared" si="6"/>
        <v>48200000</v>
      </c>
      <c r="Q32" s="240">
        <f t="shared" si="8"/>
        <v>36866666.666666664</v>
      </c>
      <c r="R32" s="154"/>
      <c r="S32" s="188"/>
      <c r="T32" s="235"/>
    </row>
    <row r="33" spans="1:20" outlineLevel="1">
      <c r="A33" s="227">
        <v>40390</v>
      </c>
      <c r="B33" s="241">
        <f t="shared" si="0"/>
        <v>0</v>
      </c>
      <c r="C33" s="164">
        <f>'LSR Prepaid BPA interest'!I31</f>
        <v>153044.89494442084</v>
      </c>
      <c r="D33" s="159">
        <f>'LSR Prepaid BPA interest'!H31</f>
        <v>0</v>
      </c>
      <c r="E33" s="236"/>
      <c r="F33" s="237">
        <f t="shared" si="7"/>
        <v>0</v>
      </c>
      <c r="G33" s="238">
        <f t="shared" si="2"/>
        <v>1171319.3303789822</v>
      </c>
      <c r="H33" s="236">
        <f t="shared" si="9"/>
        <v>153044.89494442084</v>
      </c>
      <c r="I33" s="237">
        <f t="shared" si="3"/>
        <v>0</v>
      </c>
      <c r="J33" s="238">
        <f t="shared" si="4"/>
        <v>339154.37542057707</v>
      </c>
      <c r="K33" s="236"/>
      <c r="L33" s="237"/>
      <c r="M33" s="238">
        <f t="shared" si="5"/>
        <v>0</v>
      </c>
      <c r="N33" s="236">
        <f>'LSR Prepaid BPA interest'!G31</f>
        <v>10000000</v>
      </c>
      <c r="O33" s="237"/>
      <c r="P33" s="238">
        <f t="shared" si="6"/>
        <v>58200000</v>
      </c>
      <c r="Q33" s="240">
        <f t="shared" si="8"/>
        <v>39429166.666666664</v>
      </c>
      <c r="R33" s="154"/>
      <c r="S33" s="188"/>
      <c r="T33" s="235"/>
    </row>
    <row r="34" spans="1:20" outlineLevel="1">
      <c r="A34" s="227">
        <v>40421</v>
      </c>
      <c r="B34" s="241">
        <f t="shared" si="0"/>
        <v>0</v>
      </c>
      <c r="C34" s="164">
        <f>'LSR Prepaid BPA interest'!I32</f>
        <v>180404.34699921537</v>
      </c>
      <c r="D34" s="159">
        <f>'LSR Prepaid BPA interest'!H32</f>
        <v>0</v>
      </c>
      <c r="E34" s="236"/>
      <c r="F34" s="237">
        <f t="shared" si="7"/>
        <v>0</v>
      </c>
      <c r="G34" s="238">
        <f t="shared" si="2"/>
        <v>1171319.3303789822</v>
      </c>
      <c r="H34" s="236">
        <f t="shared" si="9"/>
        <v>180404.34699921537</v>
      </c>
      <c r="I34" s="237">
        <f t="shared" si="3"/>
        <v>0</v>
      </c>
      <c r="J34" s="238">
        <f t="shared" si="4"/>
        <v>519558.72241979244</v>
      </c>
      <c r="K34" s="236"/>
      <c r="L34" s="237"/>
      <c r="M34" s="238">
        <f t="shared" si="5"/>
        <v>0</v>
      </c>
      <c r="N34" s="236">
        <f>'LSR Prepaid BPA interest'!G32</f>
        <v>0</v>
      </c>
      <c r="O34" s="237"/>
      <c r="P34" s="238">
        <f t="shared" si="6"/>
        <v>58200000</v>
      </c>
      <c r="Q34" s="240">
        <f t="shared" si="8"/>
        <v>41533333.333333336</v>
      </c>
      <c r="R34" s="154"/>
      <c r="S34" s="188"/>
      <c r="T34" s="235"/>
    </row>
    <row r="35" spans="1:20" outlineLevel="1">
      <c r="A35" s="227">
        <v>40451</v>
      </c>
      <c r="B35" s="241">
        <f t="shared" si="0"/>
        <v>0</v>
      </c>
      <c r="C35" s="164">
        <f>'LSR Prepaid BPA interest'!I33</f>
        <v>174584.85193472455</v>
      </c>
      <c r="D35" s="159">
        <f>'LSR Prepaid BPA interest'!H33</f>
        <v>0</v>
      </c>
      <c r="E35" s="236"/>
      <c r="F35" s="237">
        <f t="shared" si="7"/>
        <v>0</v>
      </c>
      <c r="G35" s="238">
        <f t="shared" si="2"/>
        <v>1171319.3303789822</v>
      </c>
      <c r="H35" s="236">
        <f t="shared" si="9"/>
        <v>174584.85193472455</v>
      </c>
      <c r="I35" s="237">
        <f t="shared" si="3"/>
        <v>0</v>
      </c>
      <c r="J35" s="238">
        <f t="shared" si="4"/>
        <v>694143.57435451704</v>
      </c>
      <c r="K35" s="236"/>
      <c r="L35" s="237"/>
      <c r="M35" s="238">
        <f t="shared" si="5"/>
        <v>0</v>
      </c>
      <c r="N35" s="236">
        <f>'LSR Prepaid BPA interest'!G33</f>
        <v>0</v>
      </c>
      <c r="O35" s="237"/>
      <c r="P35" s="238">
        <f t="shared" si="6"/>
        <v>58200000</v>
      </c>
      <c r="Q35" s="240">
        <f t="shared" si="8"/>
        <v>43200000</v>
      </c>
      <c r="R35" s="154"/>
      <c r="S35" s="188"/>
      <c r="T35" s="235"/>
    </row>
    <row r="36" spans="1:20" outlineLevel="1">
      <c r="A36" s="227">
        <v>40482</v>
      </c>
      <c r="B36" s="241">
        <f t="shared" si="0"/>
        <v>0</v>
      </c>
      <c r="C36" s="164">
        <f>'LSR Prepaid BPA interest'!I34</f>
        <v>186164.39662853954</v>
      </c>
      <c r="D36" s="159">
        <f>'LSR Prepaid BPA interest'!H34</f>
        <v>0</v>
      </c>
      <c r="E36" s="236"/>
      <c r="F36" s="237">
        <f t="shared" si="7"/>
        <v>0</v>
      </c>
      <c r="G36" s="238">
        <f t="shared" si="2"/>
        <v>1171319.3303789822</v>
      </c>
      <c r="H36" s="236">
        <f t="shared" si="9"/>
        <v>186164.39662853954</v>
      </c>
      <c r="I36" s="237">
        <f t="shared" si="3"/>
        <v>0</v>
      </c>
      <c r="J36" s="238">
        <f t="shared" si="4"/>
        <v>880307.97098305658</v>
      </c>
      <c r="K36" s="236"/>
      <c r="L36" s="237"/>
      <c r="M36" s="238">
        <f t="shared" si="5"/>
        <v>0</v>
      </c>
      <c r="N36" s="236">
        <f>'LSR Prepaid BPA interest'!G34</f>
        <v>14400000</v>
      </c>
      <c r="O36" s="237"/>
      <c r="P36" s="238">
        <f t="shared" si="6"/>
        <v>72600000</v>
      </c>
      <c r="Q36" s="240">
        <f t="shared" si="8"/>
        <v>45466666.666666664</v>
      </c>
      <c r="R36" s="154"/>
      <c r="S36" s="188"/>
      <c r="T36" s="235"/>
    </row>
    <row r="37" spans="1:20" outlineLevel="1">
      <c r="A37" s="227">
        <v>40512</v>
      </c>
      <c r="B37" s="241">
        <f t="shared" si="0"/>
        <v>0</v>
      </c>
      <c r="C37" s="164">
        <f>'LSR Prepaid BPA interest'!I35</f>
        <v>218285.81379430031</v>
      </c>
      <c r="D37" s="159">
        <f>'LSR Prepaid BPA interest'!H35</f>
        <v>0</v>
      </c>
      <c r="E37" s="236"/>
      <c r="F37" s="237">
        <f t="shared" si="7"/>
        <v>0</v>
      </c>
      <c r="G37" s="238">
        <f t="shared" si="2"/>
        <v>1171319.3303789822</v>
      </c>
      <c r="H37" s="236">
        <f t="shared" si="9"/>
        <v>218285.81379430031</v>
      </c>
      <c r="I37" s="237">
        <f t="shared" si="3"/>
        <v>0</v>
      </c>
      <c r="J37" s="238">
        <f t="shared" si="4"/>
        <v>1098593.7847773568</v>
      </c>
      <c r="K37" s="236"/>
      <c r="L37" s="237"/>
      <c r="M37" s="238">
        <f t="shared" si="5"/>
        <v>0</v>
      </c>
      <c r="N37" s="236">
        <f>'LSR Prepaid BPA interest'!G35</f>
        <v>0</v>
      </c>
      <c r="O37" s="237"/>
      <c r="P37" s="238">
        <f t="shared" si="6"/>
        <v>72600000</v>
      </c>
      <c r="Q37" s="240">
        <f t="shared" si="8"/>
        <v>48333333.333333336</v>
      </c>
      <c r="R37" s="154"/>
      <c r="S37" s="188"/>
      <c r="T37" s="235"/>
    </row>
    <row r="38" spans="1:20" outlineLevel="1">
      <c r="A38" s="227">
        <v>40543</v>
      </c>
      <c r="B38" s="241">
        <f t="shared" si="0"/>
        <v>0</v>
      </c>
      <c r="C38" s="164">
        <f>'LSR Prepaid BPA interest'!I36</f>
        <v>225562.00758744363</v>
      </c>
      <c r="D38" s="159">
        <f>'LSR Prepaid BPA interest'!H36</f>
        <v>0</v>
      </c>
      <c r="E38" s="236"/>
      <c r="F38" s="237">
        <f t="shared" si="7"/>
        <v>0</v>
      </c>
      <c r="G38" s="238">
        <f t="shared" si="2"/>
        <v>1171319.3303789822</v>
      </c>
      <c r="H38" s="236">
        <f t="shared" si="9"/>
        <v>225562.00758744363</v>
      </c>
      <c r="I38" s="237">
        <f t="shared" si="3"/>
        <v>0</v>
      </c>
      <c r="J38" s="238">
        <f t="shared" si="4"/>
        <v>1324155.7923648003</v>
      </c>
      <c r="K38" s="236"/>
      <c r="L38" s="237"/>
      <c r="M38" s="238">
        <f t="shared" si="5"/>
        <v>0</v>
      </c>
      <c r="N38" s="236">
        <f>'LSR Prepaid BPA interest'!G36</f>
        <v>0</v>
      </c>
      <c r="O38" s="237"/>
      <c r="P38" s="238">
        <f t="shared" si="6"/>
        <v>72600000</v>
      </c>
      <c r="Q38" s="240">
        <f t="shared" si="8"/>
        <v>51200000</v>
      </c>
      <c r="R38" s="154"/>
      <c r="S38" s="188"/>
      <c r="T38" s="235"/>
    </row>
    <row r="39" spans="1:20" outlineLevel="1">
      <c r="A39" s="227">
        <v>40574</v>
      </c>
      <c r="B39" s="241">
        <f t="shared" si="0"/>
        <v>0</v>
      </c>
      <c r="C39" s="164">
        <f>'LSR Prepaid BPA interest'!I37</f>
        <v>227470.36637762297</v>
      </c>
      <c r="D39" s="159">
        <f>'LSR Prepaid BPA interest'!H37</f>
        <v>0</v>
      </c>
      <c r="E39" s="236"/>
      <c r="F39" s="237">
        <f t="shared" si="7"/>
        <v>0</v>
      </c>
      <c r="G39" s="238">
        <f t="shared" si="2"/>
        <v>1171319.3303789822</v>
      </c>
      <c r="H39" s="236">
        <f t="shared" si="9"/>
        <v>227470.36637762297</v>
      </c>
      <c r="I39" s="237">
        <f t="shared" si="3"/>
        <v>0</v>
      </c>
      <c r="J39" s="238">
        <f t="shared" si="4"/>
        <v>1551626.1587424234</v>
      </c>
      <c r="K39" s="236"/>
      <c r="L39" s="237"/>
      <c r="M39" s="238">
        <f t="shared" si="5"/>
        <v>0</v>
      </c>
      <c r="N39" s="236">
        <f>'LSR Prepaid BPA interest'!G37</f>
        <v>0</v>
      </c>
      <c r="O39" s="237"/>
      <c r="P39" s="238">
        <f t="shared" si="6"/>
        <v>72600000</v>
      </c>
      <c r="Q39" s="240">
        <f t="shared" si="8"/>
        <v>54066666.666666664</v>
      </c>
      <c r="R39" s="154"/>
      <c r="S39" s="188"/>
      <c r="T39" s="235"/>
    </row>
    <row r="40" spans="1:20" outlineLevel="1">
      <c r="A40" s="227">
        <v>40602</v>
      </c>
      <c r="B40" s="241">
        <f t="shared" si="0"/>
        <v>0</v>
      </c>
      <c r="C40" s="164">
        <f>'LSR Prepaid BPA interest'!I38</f>
        <v>205457.10511527234</v>
      </c>
      <c r="D40" s="159">
        <f>'LSR Prepaid BPA interest'!H38</f>
        <v>0</v>
      </c>
      <c r="E40" s="236"/>
      <c r="F40" s="237">
        <f t="shared" si="7"/>
        <v>0</v>
      </c>
      <c r="G40" s="238">
        <f t="shared" si="2"/>
        <v>1171319.3303789822</v>
      </c>
      <c r="H40" s="236">
        <f t="shared" si="9"/>
        <v>205457.10511527234</v>
      </c>
      <c r="I40" s="237">
        <f t="shared" si="3"/>
        <v>0</v>
      </c>
      <c r="J40" s="238">
        <f t="shared" si="4"/>
        <v>1757083.2638576957</v>
      </c>
      <c r="K40" s="236"/>
      <c r="L40" s="237"/>
      <c r="M40" s="238">
        <f t="shared" si="5"/>
        <v>0</v>
      </c>
      <c r="N40" s="236">
        <f>'LSR Prepaid BPA interest'!G38</f>
        <v>0</v>
      </c>
      <c r="O40" s="237"/>
      <c r="P40" s="238">
        <f t="shared" si="6"/>
        <v>72600000</v>
      </c>
      <c r="Q40" s="240">
        <f t="shared" si="8"/>
        <v>56933333.333333336</v>
      </c>
      <c r="R40" s="154"/>
      <c r="S40" s="188"/>
      <c r="T40" s="235"/>
    </row>
    <row r="41" spans="1:20" outlineLevel="1">
      <c r="A41" s="227">
        <v>40633</v>
      </c>
      <c r="B41" s="241">
        <f t="shared" si="0"/>
        <v>0</v>
      </c>
      <c r="C41" s="164">
        <f>'LSR Prepaid BPA interest'!I39</f>
        <v>257702.56089817092</v>
      </c>
      <c r="D41" s="159">
        <f>'LSR Prepaid BPA interest'!H39</f>
        <v>0</v>
      </c>
      <c r="E41" s="236"/>
      <c r="F41" s="237">
        <f t="shared" si="7"/>
        <v>0</v>
      </c>
      <c r="G41" s="238">
        <f t="shared" si="2"/>
        <v>1171319.3303789822</v>
      </c>
      <c r="H41" s="236">
        <f t="shared" si="9"/>
        <v>257702.56089817092</v>
      </c>
      <c r="I41" s="237">
        <f t="shared" si="3"/>
        <v>0</v>
      </c>
      <c r="J41" s="238">
        <f t="shared" si="4"/>
        <v>2014785.8247558665</v>
      </c>
      <c r="K41" s="236"/>
      <c r="L41" s="237"/>
      <c r="M41" s="238">
        <f t="shared" si="5"/>
        <v>0</v>
      </c>
      <c r="N41" s="236">
        <f>'LSR Prepaid BPA interest'!G39</f>
        <v>18200000</v>
      </c>
      <c r="O41" s="237"/>
      <c r="P41" s="238">
        <f t="shared" si="6"/>
        <v>90800000</v>
      </c>
      <c r="Q41" s="240">
        <f t="shared" si="8"/>
        <v>60558333.333333336</v>
      </c>
      <c r="R41" s="154"/>
      <c r="S41" s="188"/>
      <c r="T41" s="235"/>
    </row>
    <row r="42" spans="1:20" outlineLevel="1">
      <c r="A42" s="227">
        <v>40663</v>
      </c>
      <c r="B42" s="241">
        <f t="shared" si="0"/>
        <v>0</v>
      </c>
      <c r="C42" s="164">
        <f>'LSR Prepaid BPA interest'!I40</f>
        <v>275508.03619379876</v>
      </c>
      <c r="D42" s="159">
        <f>'LSR Prepaid BPA interest'!H40</f>
        <v>0</v>
      </c>
      <c r="E42" s="236"/>
      <c r="F42" s="237">
        <f t="shared" si="7"/>
        <v>0</v>
      </c>
      <c r="G42" s="238">
        <f t="shared" si="2"/>
        <v>1171319.3303789822</v>
      </c>
      <c r="H42" s="236">
        <f t="shared" si="9"/>
        <v>275508.03619379876</v>
      </c>
      <c r="I42" s="237">
        <f t="shared" si="3"/>
        <v>0</v>
      </c>
      <c r="J42" s="238">
        <f t="shared" si="4"/>
        <v>2290293.8609496653</v>
      </c>
      <c r="K42" s="236"/>
      <c r="L42" s="237"/>
      <c r="M42" s="238">
        <f t="shared" si="5"/>
        <v>0</v>
      </c>
      <c r="N42" s="236">
        <f>'LSR Prepaid BPA interest'!G40</f>
        <v>0</v>
      </c>
      <c r="O42" s="237"/>
      <c r="P42" s="238">
        <f t="shared" si="6"/>
        <v>90800000</v>
      </c>
      <c r="Q42" s="240">
        <f t="shared" si="8"/>
        <v>64941666.666666664</v>
      </c>
      <c r="R42" s="154"/>
      <c r="S42" s="188"/>
      <c r="T42" s="235"/>
    </row>
    <row r="43" spans="1:20" outlineLevel="1">
      <c r="A43" s="227">
        <v>40694</v>
      </c>
      <c r="B43" s="241">
        <f t="shared" si="0"/>
        <v>0</v>
      </c>
      <c r="C43" s="164">
        <f>'LSR Prepaid BPA interest'!I41</f>
        <v>284691.63740025874</v>
      </c>
      <c r="D43" s="159">
        <f>'LSR Prepaid BPA interest'!H41</f>
        <v>0</v>
      </c>
      <c r="E43" s="236"/>
      <c r="F43" s="237">
        <f t="shared" si="7"/>
        <v>0</v>
      </c>
      <c r="G43" s="238">
        <f t="shared" si="2"/>
        <v>1171319.3303789822</v>
      </c>
      <c r="H43" s="236">
        <f t="shared" si="9"/>
        <v>284691.63740025874</v>
      </c>
      <c r="I43" s="237">
        <f t="shared" si="3"/>
        <v>0</v>
      </c>
      <c r="J43" s="238">
        <f t="shared" si="4"/>
        <v>2574985.4983499241</v>
      </c>
      <c r="K43" s="236"/>
      <c r="L43" s="237"/>
      <c r="M43" s="238">
        <f t="shared" si="5"/>
        <v>0</v>
      </c>
      <c r="N43" s="236">
        <f>'LSR Prepaid BPA interest'!G41</f>
        <v>0</v>
      </c>
      <c r="O43" s="237"/>
      <c r="P43" s="238">
        <f t="shared" si="6"/>
        <v>90800000</v>
      </c>
      <c r="Q43" s="240">
        <f t="shared" si="8"/>
        <v>69325000</v>
      </c>
      <c r="R43" s="154"/>
      <c r="S43" s="188"/>
      <c r="T43" s="235"/>
    </row>
    <row r="44" spans="1:20" outlineLevel="1">
      <c r="A44" s="227">
        <v>40724</v>
      </c>
      <c r="B44" s="241">
        <f t="shared" si="0"/>
        <v>0</v>
      </c>
      <c r="C44" s="164">
        <f>'LSR Prepaid BPA interest'!I42</f>
        <v>275508.03619379876</v>
      </c>
      <c r="D44" s="159">
        <f>'LSR Prepaid BPA interest'!H42</f>
        <v>0</v>
      </c>
      <c r="E44" s="236"/>
      <c r="F44" s="237">
        <f t="shared" si="7"/>
        <v>0</v>
      </c>
      <c r="G44" s="238">
        <f t="shared" si="2"/>
        <v>1171319.3303789822</v>
      </c>
      <c r="H44" s="236">
        <f t="shared" si="9"/>
        <v>275508.03619379876</v>
      </c>
      <c r="I44" s="237">
        <f t="shared" si="3"/>
        <v>0</v>
      </c>
      <c r="J44" s="238">
        <f t="shared" si="4"/>
        <v>2850493.5345437229</v>
      </c>
      <c r="K44" s="236"/>
      <c r="L44" s="237"/>
      <c r="M44" s="238">
        <f t="shared" si="5"/>
        <v>0</v>
      </c>
      <c r="N44" s="236">
        <f>'LSR Prepaid BPA interest'!G42</f>
        <v>0</v>
      </c>
      <c r="O44" s="237"/>
      <c r="P44" s="238">
        <f t="shared" si="6"/>
        <v>90800000</v>
      </c>
      <c r="Q44" s="240">
        <f t="shared" si="8"/>
        <v>73291666.666666672</v>
      </c>
      <c r="R44" s="154"/>
      <c r="S44" s="188"/>
      <c r="T44" s="235"/>
    </row>
    <row r="45" spans="1:20" outlineLevel="1">
      <c r="A45" s="227">
        <v>40755</v>
      </c>
      <c r="B45" s="241">
        <f t="shared" si="0"/>
        <v>0</v>
      </c>
      <c r="C45" s="164">
        <f>'LSR Prepaid BPA interest'!I43</f>
        <v>287223.06474151107</v>
      </c>
      <c r="D45" s="159">
        <f>'LSR Prepaid BPA interest'!H43</f>
        <v>0</v>
      </c>
      <c r="E45" s="236"/>
      <c r="F45" s="237">
        <f t="shared" si="7"/>
        <v>0</v>
      </c>
      <c r="G45" s="238">
        <f t="shared" si="2"/>
        <v>1171319.3303789822</v>
      </c>
      <c r="H45" s="236">
        <f t="shared" si="9"/>
        <v>287223.06474151107</v>
      </c>
      <c r="I45" s="237">
        <f t="shared" si="3"/>
        <v>0</v>
      </c>
      <c r="J45" s="238">
        <f t="shared" si="4"/>
        <v>3137716.5992852338</v>
      </c>
      <c r="K45" s="236"/>
      <c r="L45" s="237"/>
      <c r="M45" s="238">
        <f t="shared" si="5"/>
        <v>0</v>
      </c>
      <c r="N45" s="236">
        <f>'LSR Prepaid BPA interest'!G43</f>
        <v>0</v>
      </c>
      <c r="O45" s="237"/>
      <c r="P45" s="238">
        <f t="shared" si="6"/>
        <v>90800000</v>
      </c>
      <c r="Q45" s="240">
        <f t="shared" si="8"/>
        <v>76425000</v>
      </c>
      <c r="R45" s="154"/>
      <c r="S45" s="188"/>
      <c r="T45" s="235"/>
    </row>
    <row r="46" spans="1:20" outlineLevel="1">
      <c r="A46" s="227">
        <v>40786</v>
      </c>
      <c r="B46" s="241">
        <f t="shared" si="0"/>
        <v>0</v>
      </c>
      <c r="C46" s="164">
        <f>'LSR Prepaid BPA interest'!I44</f>
        <v>314381.17732423684</v>
      </c>
      <c r="D46" s="159">
        <f>'LSR Prepaid BPA interest'!H44</f>
        <v>0</v>
      </c>
      <c r="E46" s="236"/>
      <c r="F46" s="237">
        <f t="shared" si="7"/>
        <v>0</v>
      </c>
      <c r="G46" s="238">
        <f t="shared" si="2"/>
        <v>1171319.3303789822</v>
      </c>
      <c r="H46" s="236">
        <f t="shared" si="9"/>
        <v>314381.17732423684</v>
      </c>
      <c r="I46" s="237">
        <f t="shared" si="3"/>
        <v>0</v>
      </c>
      <c r="J46" s="238">
        <f t="shared" si="4"/>
        <v>3452097.7766094706</v>
      </c>
      <c r="K46" s="236"/>
      <c r="L46" s="237"/>
      <c r="M46" s="238">
        <f t="shared" si="5"/>
        <v>0</v>
      </c>
      <c r="N46" s="236">
        <f>'LSR Prepaid BPA interest'!G44</f>
        <v>8965789.2599999998</v>
      </c>
      <c r="O46" s="237"/>
      <c r="P46" s="238">
        <f t="shared" si="6"/>
        <v>99765789.260000005</v>
      </c>
      <c r="Q46" s="240">
        <f t="shared" si="8"/>
        <v>79515241.219166666</v>
      </c>
      <c r="R46" s="154"/>
      <c r="S46" s="188"/>
      <c r="T46" s="235"/>
    </row>
    <row r="47" spans="1:20" outlineLevel="1">
      <c r="A47" s="227">
        <v>40816</v>
      </c>
      <c r="B47" s="241">
        <f t="shared" si="0"/>
        <v>0</v>
      </c>
      <c r="C47" s="164">
        <f>'LSR Prepaid BPA interest'!I45</f>
        <v>304239.849023455</v>
      </c>
      <c r="D47" s="159">
        <f>'LSR Prepaid BPA interest'!H45</f>
        <v>0</v>
      </c>
      <c r="E47" s="236"/>
      <c r="F47" s="237">
        <f t="shared" si="7"/>
        <v>0</v>
      </c>
      <c r="G47" s="238">
        <f t="shared" si="2"/>
        <v>1171319.3303789822</v>
      </c>
      <c r="H47" s="236">
        <f t="shared" si="9"/>
        <v>304239.849023455</v>
      </c>
      <c r="I47" s="237">
        <f t="shared" si="3"/>
        <v>0</v>
      </c>
      <c r="J47" s="238">
        <f t="shared" si="4"/>
        <v>3756337.6256329254</v>
      </c>
      <c r="K47" s="236"/>
      <c r="L47" s="237"/>
      <c r="M47" s="238">
        <f t="shared" si="5"/>
        <v>0</v>
      </c>
      <c r="N47" s="236">
        <f>'LSR Prepaid BPA interest'!G45</f>
        <v>0</v>
      </c>
      <c r="O47" s="237"/>
      <c r="P47" s="238">
        <f t="shared" si="6"/>
        <v>99765789.260000005</v>
      </c>
      <c r="Q47" s="240">
        <f t="shared" si="8"/>
        <v>82979056.990833327</v>
      </c>
      <c r="R47" s="154"/>
      <c r="S47" s="188"/>
      <c r="T47" s="235"/>
    </row>
    <row r="48" spans="1:20" outlineLevel="1">
      <c r="A48" s="227">
        <v>40847</v>
      </c>
      <c r="B48" s="241">
        <f t="shared" si="0"/>
        <v>0</v>
      </c>
      <c r="C48" s="164">
        <f>'LSR Prepaid BPA interest'!I46</f>
        <v>317125.05352908501</v>
      </c>
      <c r="D48" s="159">
        <f>'LSR Prepaid BPA interest'!H46</f>
        <v>0</v>
      </c>
      <c r="E48" s="236"/>
      <c r="F48" s="237">
        <f t="shared" si="7"/>
        <v>0</v>
      </c>
      <c r="G48" s="238">
        <f t="shared" si="2"/>
        <v>1171319.3303789822</v>
      </c>
      <c r="H48" s="236">
        <f t="shared" si="9"/>
        <v>317125.05352908501</v>
      </c>
      <c r="I48" s="237">
        <f t="shared" si="3"/>
        <v>0</v>
      </c>
      <c r="J48" s="238">
        <f t="shared" si="4"/>
        <v>4073462.6791620106</v>
      </c>
      <c r="K48" s="236"/>
      <c r="L48" s="237"/>
      <c r="M48" s="238">
        <f t="shared" si="5"/>
        <v>0</v>
      </c>
      <c r="N48" s="236">
        <f>'LSR Prepaid BPA interest'!G46</f>
        <v>0</v>
      </c>
      <c r="O48" s="237"/>
      <c r="P48" s="238">
        <f t="shared" si="6"/>
        <v>99765789.260000005</v>
      </c>
      <c r="Q48" s="240">
        <f t="shared" si="8"/>
        <v>85842872.762500003</v>
      </c>
      <c r="R48" s="154"/>
      <c r="S48" s="188"/>
      <c r="T48" s="235"/>
    </row>
    <row r="49" spans="1:24" outlineLevel="1">
      <c r="A49" s="227">
        <v>40877</v>
      </c>
      <c r="B49" s="241">
        <f t="shared" si="0"/>
        <v>0</v>
      </c>
      <c r="C49" s="164">
        <f>'LSR Prepaid BPA interest'!I47</f>
        <v>306895.21309266292</v>
      </c>
      <c r="D49" s="159">
        <f>'LSR Prepaid BPA interest'!H47</f>
        <v>0</v>
      </c>
      <c r="E49" s="236"/>
      <c r="F49" s="237">
        <f t="shared" si="7"/>
        <v>0</v>
      </c>
      <c r="G49" s="238">
        <f t="shared" si="2"/>
        <v>1171319.3303789822</v>
      </c>
      <c r="H49" s="236">
        <f t="shared" si="9"/>
        <v>306895.21309266292</v>
      </c>
      <c r="I49" s="237">
        <f t="shared" si="3"/>
        <v>0</v>
      </c>
      <c r="J49" s="238">
        <f t="shared" si="4"/>
        <v>4380357.8922546739</v>
      </c>
      <c r="K49" s="236"/>
      <c r="L49" s="237"/>
      <c r="M49" s="238">
        <f t="shared" si="5"/>
        <v>0</v>
      </c>
      <c r="N49" s="236">
        <f>'LSR Prepaid BPA interest'!G47</f>
        <v>0</v>
      </c>
      <c r="O49" s="237"/>
      <c r="P49" s="238">
        <f t="shared" si="6"/>
        <v>99765789.260000005</v>
      </c>
      <c r="Q49" s="240">
        <f t="shared" si="8"/>
        <v>88106688.534166664</v>
      </c>
      <c r="R49" s="154"/>
      <c r="S49" s="188"/>
      <c r="T49" s="235"/>
    </row>
    <row r="50" spans="1:24" outlineLevel="1">
      <c r="A50" s="227">
        <v>40908</v>
      </c>
      <c r="B50" s="241">
        <f t="shared" si="0"/>
        <v>0</v>
      </c>
      <c r="C50" s="164">
        <f>'LSR Prepaid BPA interest'!I48</f>
        <v>317125.05352908501</v>
      </c>
      <c r="D50" s="159">
        <f>'LSR Prepaid BPA interest'!H48</f>
        <v>0</v>
      </c>
      <c r="E50" s="236"/>
      <c r="F50" s="237">
        <f>-MIN(ABS(D50),ABS(G49))</f>
        <v>0</v>
      </c>
      <c r="G50" s="238">
        <f>G49+E50+F50</f>
        <v>1171319.3303789822</v>
      </c>
      <c r="H50" s="236">
        <f t="shared" si="9"/>
        <v>317125.05352908501</v>
      </c>
      <c r="I50" s="237">
        <f t="shared" si="3"/>
        <v>0</v>
      </c>
      <c r="J50" s="238">
        <f t="shared" si="4"/>
        <v>4697482.9457837585</v>
      </c>
      <c r="K50" s="236"/>
      <c r="L50" s="237"/>
      <c r="M50" s="238">
        <f t="shared" si="5"/>
        <v>0</v>
      </c>
      <c r="N50" s="236">
        <f>'LSR Prepaid BPA interest'!G48</f>
        <v>0</v>
      </c>
      <c r="O50" s="237"/>
      <c r="P50" s="238">
        <f t="shared" si="6"/>
        <v>99765789.260000005</v>
      </c>
      <c r="Q50" s="240">
        <f t="shared" si="8"/>
        <v>90370504.30583334</v>
      </c>
      <c r="R50" s="154"/>
      <c r="S50" s="188"/>
      <c r="T50" s="235"/>
    </row>
    <row r="51" spans="1:24" outlineLevel="1">
      <c r="A51" s="227">
        <v>40939</v>
      </c>
      <c r="B51" s="241">
        <f t="shared" si="0"/>
        <v>0</v>
      </c>
      <c r="C51" s="164">
        <f>'LSR Prepaid BPA interest'!I49</f>
        <v>319975.8600582318</v>
      </c>
      <c r="D51" s="159">
        <f>'LSR Prepaid BPA interest'!H49</f>
        <v>0</v>
      </c>
      <c r="E51" s="236"/>
      <c r="F51" s="237">
        <f t="shared" si="7"/>
        <v>0</v>
      </c>
      <c r="G51" s="238">
        <f>G50+E51+F51</f>
        <v>1171319.3303789822</v>
      </c>
      <c r="H51" s="236">
        <f t="shared" si="9"/>
        <v>319975.8600582318</v>
      </c>
      <c r="I51" s="237">
        <f t="shared" si="3"/>
        <v>0</v>
      </c>
      <c r="J51" s="238">
        <f t="shared" si="4"/>
        <v>5017458.8058419907</v>
      </c>
      <c r="K51" s="236"/>
      <c r="L51" s="237"/>
      <c r="M51" s="238">
        <f t="shared" si="5"/>
        <v>0</v>
      </c>
      <c r="N51" s="236">
        <f>'LSR Prepaid BPA interest'!G49</f>
        <v>0</v>
      </c>
      <c r="O51" s="237"/>
      <c r="P51" s="238">
        <f t="shared" si="6"/>
        <v>99765789.260000005</v>
      </c>
      <c r="Q51" s="240">
        <f t="shared" si="8"/>
        <v>92634320.077499986</v>
      </c>
      <c r="R51" s="154"/>
      <c r="S51" s="188"/>
      <c r="T51" s="235"/>
    </row>
    <row r="52" spans="1:24" outlineLevel="1">
      <c r="A52" s="227">
        <v>40968</v>
      </c>
      <c r="B52" s="241">
        <f t="shared" si="0"/>
        <v>0</v>
      </c>
      <c r="C52" s="164">
        <f>'LSR Prepaid BPA interest'!I50</f>
        <v>299332.25618350715</v>
      </c>
      <c r="D52" s="159">
        <f>'LSR Prepaid BPA interest'!H50</f>
        <v>0</v>
      </c>
      <c r="E52" s="236"/>
      <c r="F52" s="237">
        <f>-MIN(ABS(D52),ABS(G51))</f>
        <v>0</v>
      </c>
      <c r="G52" s="238">
        <f t="shared" si="2"/>
        <v>1171319.3303789822</v>
      </c>
      <c r="H52" s="236">
        <f t="shared" si="9"/>
        <v>299332.25618350715</v>
      </c>
      <c r="I52" s="237">
        <f t="shared" si="3"/>
        <v>0</v>
      </c>
      <c r="J52" s="238">
        <f>J51+H52+I52</f>
        <v>5316791.0620254977</v>
      </c>
      <c r="K52" s="236"/>
      <c r="L52" s="237"/>
      <c r="M52" s="238">
        <f t="shared" si="5"/>
        <v>0</v>
      </c>
      <c r="N52" s="236">
        <f>'LSR Prepaid BPA interest'!G50</f>
        <v>0</v>
      </c>
      <c r="O52" s="237"/>
      <c r="P52" s="238">
        <f t="shared" si="6"/>
        <v>99765789.260000005</v>
      </c>
      <c r="Q52" s="240">
        <f t="shared" si="8"/>
        <v>94898135.849166676</v>
      </c>
      <c r="R52" s="154"/>
      <c r="S52" s="188"/>
      <c r="T52" s="235"/>
    </row>
    <row r="53" spans="1:24" outlineLevel="1">
      <c r="A53" s="227">
        <v>40999</v>
      </c>
      <c r="B53" s="241">
        <f t="shared" si="0"/>
        <v>0</v>
      </c>
      <c r="C53" s="164">
        <f>'LSR Prepaid BPA interest'!I51</f>
        <v>319189.51032124547</v>
      </c>
      <c r="D53" s="159">
        <f>'LSR Prepaid BPA interest'!H51</f>
        <v>-259600</v>
      </c>
      <c r="E53" s="236"/>
      <c r="F53" s="237">
        <f>-MIN(ABS(D53),ABS(G52))</f>
        <v>-259600</v>
      </c>
      <c r="G53" s="238">
        <f t="shared" si="2"/>
        <v>911719.33037898224</v>
      </c>
      <c r="H53" s="236">
        <f t="shared" si="9"/>
        <v>319189.51032124547</v>
      </c>
      <c r="I53" s="237">
        <f>IF((F53-D53)&gt;D53,(D53-F53),0)</f>
        <v>0</v>
      </c>
      <c r="J53" s="238">
        <f>J52+H53+I53</f>
        <v>5635980.5723467432</v>
      </c>
      <c r="K53" s="236"/>
      <c r="L53" s="237"/>
      <c r="M53" s="238">
        <f t="shared" si="5"/>
        <v>0</v>
      </c>
      <c r="N53" s="236">
        <f>'LSR Prepaid BPA interest'!G51</f>
        <v>0</v>
      </c>
      <c r="O53" s="237"/>
      <c r="P53" s="238">
        <f t="shared" si="6"/>
        <v>99765789.260000005</v>
      </c>
      <c r="Q53" s="240">
        <f t="shared" si="8"/>
        <v>96403618.287499979</v>
      </c>
      <c r="R53" s="154"/>
      <c r="S53" s="188"/>
      <c r="T53" s="235"/>
      <c r="V53" s="154"/>
    </row>
    <row r="54" spans="1:24" outlineLevel="1">
      <c r="A54" s="227">
        <v>41029</v>
      </c>
      <c r="B54" s="241">
        <f t="shared" si="0"/>
        <v>0</v>
      </c>
      <c r="C54" s="164">
        <f>'LSR Prepaid BPA interest'!I52</f>
        <v>310370.09101714636</v>
      </c>
      <c r="D54" s="159">
        <f>'LSR Prepaid BPA interest'!H52</f>
        <v>-434632</v>
      </c>
      <c r="E54" s="236"/>
      <c r="F54" s="237">
        <f>-MIN(ABS(D54),ABS(G53))</f>
        <v>-434632</v>
      </c>
      <c r="G54" s="238">
        <f t="shared" si="2"/>
        <v>477087.33037898224</v>
      </c>
      <c r="H54" s="236">
        <v>0</v>
      </c>
      <c r="I54" s="237">
        <f t="shared" ref="I54:I67" si="10">IF((F54-D54)&gt;D54,(D54-F54),0)</f>
        <v>0</v>
      </c>
      <c r="J54" s="238">
        <f>J53+H54+I54</f>
        <v>5635980.5723467432</v>
      </c>
      <c r="K54" s="236">
        <f>C54</f>
        <v>310370.09101714636</v>
      </c>
      <c r="L54" s="237"/>
      <c r="M54" s="238">
        <f t="shared" si="5"/>
        <v>310370.09101714636</v>
      </c>
      <c r="N54" s="236">
        <f>'LSR Prepaid BPA interest'!G52</f>
        <v>0</v>
      </c>
      <c r="O54" s="237"/>
      <c r="P54" s="238">
        <f t="shared" si="6"/>
        <v>99765789.260000005</v>
      </c>
      <c r="Q54" s="240">
        <f t="shared" si="8"/>
        <v>97150767.392499998</v>
      </c>
      <c r="R54" s="154"/>
      <c r="S54" s="188"/>
      <c r="T54" s="235"/>
      <c r="V54" s="154"/>
    </row>
    <row r="55" spans="1:24" outlineLevel="1">
      <c r="A55" s="227">
        <v>41060</v>
      </c>
      <c r="B55" s="241">
        <f t="shared" si="0"/>
        <v>0</v>
      </c>
      <c r="C55" s="164">
        <f>'LSR Prepaid BPA interest'!I53</f>
        <v>319440.13242153981</v>
      </c>
      <c r="D55" s="159">
        <f>'LSR Prepaid BPA interest'!H53</f>
        <v>-421127</v>
      </c>
      <c r="E55" s="236"/>
      <c r="F55" s="237">
        <f t="shared" ref="F55:F117" si="11">-MIN(ABS(D55),ABS(G54))</f>
        <v>-421127</v>
      </c>
      <c r="G55" s="238">
        <f t="shared" si="2"/>
        <v>55960.330378982238</v>
      </c>
      <c r="H55" s="236">
        <v>0</v>
      </c>
      <c r="I55" s="237">
        <f t="shared" si="10"/>
        <v>0</v>
      </c>
      <c r="J55" s="238">
        <f>J54+H55+I55</f>
        <v>5635980.5723467432</v>
      </c>
      <c r="K55" s="236">
        <f>C55</f>
        <v>319440.13242153981</v>
      </c>
      <c r="L55" s="237"/>
      <c r="M55" s="238">
        <f t="shared" si="5"/>
        <v>629810.22343868623</v>
      </c>
      <c r="N55" s="236">
        <f>'LSR Prepaid BPA interest'!G53</f>
        <v>0</v>
      </c>
      <c r="O55" s="237"/>
      <c r="P55" s="238">
        <f t="shared" si="6"/>
        <v>99765789.260000005</v>
      </c>
      <c r="Q55" s="240">
        <f>(P55+P43+SUM(P44:P54)*2)/24</f>
        <v>97897916.497499987</v>
      </c>
      <c r="R55" s="154"/>
      <c r="S55" s="188"/>
      <c r="T55" s="235"/>
    </row>
    <row r="56" spans="1:24" outlineLevel="1">
      <c r="A56" s="227">
        <v>41090</v>
      </c>
      <c r="B56" s="241">
        <f>E56+K56+H56-C56</f>
        <v>0</v>
      </c>
      <c r="C56" s="164">
        <f>'LSR Prepaid BPA interest'!I54</f>
        <v>307884.72907879023</v>
      </c>
      <c r="D56" s="159">
        <f>'LSR Prepaid BPA interest'!H54</f>
        <v>-426723</v>
      </c>
      <c r="E56" s="236"/>
      <c r="F56" s="237">
        <f t="shared" si="11"/>
        <v>-55960.330378982238</v>
      </c>
      <c r="G56" s="238">
        <f t="shared" si="2"/>
        <v>0</v>
      </c>
      <c r="H56" s="236">
        <v>0</v>
      </c>
      <c r="I56" s="237">
        <f t="shared" si="10"/>
        <v>-370762.66962101776</v>
      </c>
      <c r="J56" s="238">
        <f t="shared" si="4"/>
        <v>5265217.9027257254</v>
      </c>
      <c r="K56" s="236">
        <f>C56</f>
        <v>307884.72907879023</v>
      </c>
      <c r="L56" s="237"/>
      <c r="M56" s="238">
        <f t="shared" si="5"/>
        <v>937694.9525174764</v>
      </c>
      <c r="N56" s="236">
        <f>'LSR Prepaid BPA interest'!G54</f>
        <v>0</v>
      </c>
      <c r="O56" s="237"/>
      <c r="P56" s="238">
        <f t="shared" si="6"/>
        <v>99765789.260000005</v>
      </c>
      <c r="Q56" s="240">
        <f t="shared" si="8"/>
        <v>98645065.602500007</v>
      </c>
      <c r="R56" s="154"/>
      <c r="S56" s="188"/>
      <c r="T56" s="235"/>
    </row>
    <row r="57" spans="1:24" outlineLevel="1">
      <c r="A57" s="227">
        <v>41121</v>
      </c>
      <c r="B57" s="241">
        <f>E57+K57+H57-C57</f>
        <v>0</v>
      </c>
      <c r="C57" s="164">
        <f>'LSR Prepaid BPA interest'!I55</f>
        <v>319586.8761644921</v>
      </c>
      <c r="D57" s="159">
        <f>'LSR Prepaid BPA interest'!H55</f>
        <v>-462527</v>
      </c>
      <c r="E57" s="236"/>
      <c r="F57" s="237">
        <f t="shared" si="11"/>
        <v>0</v>
      </c>
      <c r="G57" s="238">
        <f t="shared" si="2"/>
        <v>0</v>
      </c>
      <c r="H57" s="236">
        <v>0</v>
      </c>
      <c r="I57" s="237">
        <f t="shared" si="10"/>
        <v>-462527</v>
      </c>
      <c r="J57" s="238">
        <f t="shared" si="4"/>
        <v>4802690.9027257254</v>
      </c>
      <c r="K57" s="236">
        <f>C57</f>
        <v>319586.8761644921</v>
      </c>
      <c r="L57" s="237"/>
      <c r="M57" s="238">
        <f t="shared" si="5"/>
        <v>1257281.8286819686</v>
      </c>
      <c r="N57" s="236">
        <f>'LSR Prepaid BPA interest'!G55</f>
        <v>0</v>
      </c>
      <c r="O57" s="237"/>
      <c r="P57" s="238">
        <f t="shared" si="6"/>
        <v>99765789.260000005</v>
      </c>
      <c r="Q57" s="240">
        <f t="shared" si="8"/>
        <v>99392214.707500026</v>
      </c>
      <c r="R57" s="154"/>
      <c r="S57" s="188"/>
      <c r="T57" s="235"/>
    </row>
    <row r="58" spans="1:24" outlineLevel="1">
      <c r="A58" s="227">
        <v>41152</v>
      </c>
      <c r="B58" s="241">
        <f t="shared" si="0"/>
        <v>0</v>
      </c>
      <c r="C58" s="164">
        <f>'LSR Prepaid BPA interest'!I56</f>
        <v>318202.22817114968</v>
      </c>
      <c r="D58" s="159">
        <f>'LSR Prepaid BPA interest'!H56</f>
        <v>-457118</v>
      </c>
      <c r="E58" s="236"/>
      <c r="F58" s="237">
        <f t="shared" si="11"/>
        <v>0</v>
      </c>
      <c r="G58" s="238">
        <f t="shared" si="2"/>
        <v>0</v>
      </c>
      <c r="H58" s="236">
        <v>0</v>
      </c>
      <c r="I58" s="237">
        <f t="shared" si="10"/>
        <v>-457118</v>
      </c>
      <c r="J58" s="238">
        <f t="shared" si="4"/>
        <v>4345572.9027257254</v>
      </c>
      <c r="K58" s="236">
        <f>C58</f>
        <v>318202.22817114968</v>
      </c>
      <c r="L58" s="237"/>
      <c r="M58" s="238">
        <f>M57+K58+L58</f>
        <v>1575484.0568531184</v>
      </c>
      <c r="N58" s="236">
        <f>'LSR Prepaid BPA interest'!G56</f>
        <v>0</v>
      </c>
      <c r="O58" s="237"/>
      <c r="P58" s="238">
        <f t="shared" si="6"/>
        <v>99765789.260000005</v>
      </c>
      <c r="Q58" s="240">
        <f t="shared" si="8"/>
        <v>99765789.260000005</v>
      </c>
      <c r="R58" s="154"/>
      <c r="S58" s="188"/>
      <c r="T58" s="235"/>
      <c r="V58" s="235"/>
      <c r="W58" s="235"/>
      <c r="X58" s="235"/>
    </row>
    <row r="59" spans="1:24" outlineLevel="1">
      <c r="A59" s="227">
        <v>41182</v>
      </c>
      <c r="B59" s="241">
        <f t="shared" si="0"/>
        <v>0</v>
      </c>
      <c r="C59" s="164">
        <f>'LSR Prepaid BPA interest'!I57</f>
        <v>306597.65823658765</v>
      </c>
      <c r="D59" s="159">
        <f>'LSR Prepaid BPA interest'!H57</f>
        <v>-457118</v>
      </c>
      <c r="E59" s="236"/>
      <c r="F59" s="237">
        <f t="shared" si="11"/>
        <v>0</v>
      </c>
      <c r="G59" s="238">
        <f t="shared" si="2"/>
        <v>0</v>
      </c>
      <c r="H59" s="236">
        <v>0</v>
      </c>
      <c r="I59" s="237">
        <f t="shared" si="10"/>
        <v>-457118</v>
      </c>
      <c r="J59" s="238">
        <f t="shared" si="4"/>
        <v>3888454.9027257254</v>
      </c>
      <c r="K59" s="236">
        <f t="shared" ref="K59:K68" si="12">C59</f>
        <v>306597.65823658765</v>
      </c>
      <c r="L59" s="237"/>
      <c r="M59" s="238">
        <f>M58+K59+L59</f>
        <v>1882081.715089706</v>
      </c>
      <c r="N59" s="236">
        <f>'LSR Prepaid BPA interest'!G57</f>
        <v>0</v>
      </c>
      <c r="O59" s="237"/>
      <c r="P59" s="238">
        <f t="shared" si="6"/>
        <v>99765789.260000005</v>
      </c>
      <c r="Q59" s="240">
        <f t="shared" si="8"/>
        <v>99765789.260000005</v>
      </c>
      <c r="R59" s="154"/>
      <c r="S59" s="188"/>
      <c r="T59" s="235"/>
      <c r="V59" s="235"/>
      <c r="W59" s="235"/>
      <c r="X59" s="235"/>
    </row>
    <row r="60" spans="1:24" outlineLevel="1">
      <c r="A60" s="227">
        <v>41213</v>
      </c>
      <c r="B60" s="241">
        <f t="shared" si="0"/>
        <v>0</v>
      </c>
      <c r="C60" s="164">
        <f>'LSR Prepaid BPA interest'!I58</f>
        <v>318306.51572274236</v>
      </c>
      <c r="D60" s="159">
        <f>'LSR Prepaid BPA interest'!H58</f>
        <v>-452840</v>
      </c>
      <c r="E60" s="236"/>
      <c r="F60" s="237">
        <f t="shared" si="11"/>
        <v>0</v>
      </c>
      <c r="G60" s="238">
        <f t="shared" si="2"/>
        <v>0</v>
      </c>
      <c r="H60" s="236">
        <v>0</v>
      </c>
      <c r="I60" s="237">
        <f t="shared" si="10"/>
        <v>-452840</v>
      </c>
      <c r="J60" s="238">
        <f t="shared" si="4"/>
        <v>3435614.9027257254</v>
      </c>
      <c r="K60" s="236">
        <f t="shared" si="12"/>
        <v>318306.51572274236</v>
      </c>
      <c r="L60" s="237"/>
      <c r="M60" s="238">
        <f>M59+K60+L60</f>
        <v>2200388.2308124485</v>
      </c>
      <c r="N60" s="236">
        <f>'LSR Prepaid BPA interest'!G58</f>
        <v>0</v>
      </c>
      <c r="O60" s="237"/>
      <c r="P60" s="238">
        <f t="shared" si="6"/>
        <v>99765789.260000005</v>
      </c>
      <c r="Q60" s="240">
        <f t="shared" si="8"/>
        <v>99765789.260000005</v>
      </c>
      <c r="R60" s="154"/>
      <c r="S60" s="188"/>
      <c r="T60" s="235"/>
      <c r="V60" s="235"/>
      <c r="W60" s="235"/>
      <c r="X60" s="235"/>
    </row>
    <row r="61" spans="1:24" outlineLevel="1">
      <c r="A61" s="227">
        <v>41243</v>
      </c>
      <c r="B61" s="241">
        <f t="shared" si="0"/>
        <v>0</v>
      </c>
      <c r="C61" s="164">
        <f>'LSR Prepaid BPA interest'!I59</f>
        <v>306696.38900895522</v>
      </c>
      <c r="D61" s="159">
        <f>'LSR Prepaid BPA interest'!H59</f>
        <v>-457866</v>
      </c>
      <c r="E61" s="236"/>
      <c r="F61" s="237">
        <f t="shared" si="11"/>
        <v>0</v>
      </c>
      <c r="G61" s="238">
        <f t="shared" si="2"/>
        <v>0</v>
      </c>
      <c r="H61" s="236">
        <v>0</v>
      </c>
      <c r="I61" s="237">
        <f t="shared" si="10"/>
        <v>-457866</v>
      </c>
      <c r="J61" s="238">
        <f>J60+H61+I61</f>
        <v>2977748.9027257254</v>
      </c>
      <c r="K61" s="236">
        <f t="shared" si="12"/>
        <v>306696.38900895522</v>
      </c>
      <c r="L61" s="237"/>
      <c r="M61" s="238">
        <f t="shared" si="5"/>
        <v>2507084.6198214036</v>
      </c>
      <c r="N61" s="236">
        <f>'LSR Prepaid BPA interest'!G59</f>
        <v>0</v>
      </c>
      <c r="O61" s="237"/>
      <c r="P61" s="238">
        <f t="shared" si="6"/>
        <v>99765789.260000005</v>
      </c>
      <c r="Q61" s="240">
        <f t="shared" si="8"/>
        <v>99765789.260000005</v>
      </c>
      <c r="R61" s="154"/>
      <c r="S61" s="188"/>
      <c r="T61" s="235"/>
      <c r="V61" s="235"/>
      <c r="W61" s="235"/>
      <c r="X61" s="235"/>
    </row>
    <row r="62" spans="1:24" outlineLevel="1">
      <c r="A62" s="227">
        <v>41274</v>
      </c>
      <c r="B62" s="241">
        <f t="shared" si="0"/>
        <v>0</v>
      </c>
      <c r="C62" s="164">
        <f>'LSR Prepaid BPA interest'!I60</f>
        <v>315658.41937271494</v>
      </c>
      <c r="D62" s="159">
        <f>'LSR Prepaid BPA interest'!H60</f>
        <v>-416358</v>
      </c>
      <c r="E62" s="236"/>
      <c r="F62" s="237">
        <f t="shared" si="11"/>
        <v>0</v>
      </c>
      <c r="G62" s="238">
        <f t="shared" si="2"/>
        <v>0</v>
      </c>
      <c r="H62" s="236">
        <v>0</v>
      </c>
      <c r="I62" s="237">
        <f t="shared" si="10"/>
        <v>-416358</v>
      </c>
      <c r="J62" s="238">
        <f t="shared" si="4"/>
        <v>2561390.9027257254</v>
      </c>
      <c r="K62" s="236">
        <f t="shared" si="12"/>
        <v>315658.41937271494</v>
      </c>
      <c r="L62" s="237"/>
      <c r="M62" s="238">
        <f>M61+K62+L62</f>
        <v>2822743.0391941187</v>
      </c>
      <c r="N62" s="236">
        <f>'LSR Prepaid BPA interest'!G60</f>
        <v>0</v>
      </c>
      <c r="O62" s="237"/>
      <c r="P62" s="238">
        <f t="shared" si="6"/>
        <v>99765789.260000005</v>
      </c>
      <c r="Q62" s="240">
        <f t="shared" si="8"/>
        <v>99765789.260000005</v>
      </c>
      <c r="R62" s="154"/>
      <c r="S62" s="188"/>
      <c r="T62" s="235"/>
      <c r="V62" s="235"/>
      <c r="W62" s="235"/>
      <c r="X62" s="235"/>
    </row>
    <row r="63" spans="1:24" outlineLevel="1">
      <c r="A63" s="227">
        <v>41305</v>
      </c>
      <c r="B63" s="241">
        <f t="shared" si="0"/>
        <v>0</v>
      </c>
      <c r="C63" s="164">
        <f>'LSR Prepaid BPA interest'!I61</f>
        <v>317120.25844928937</v>
      </c>
      <c r="D63" s="159">
        <f>'LSR Prepaid BPA interest'!H61</f>
        <v>-458060</v>
      </c>
      <c r="E63" s="236"/>
      <c r="F63" s="237">
        <f t="shared" si="11"/>
        <v>0</v>
      </c>
      <c r="G63" s="238">
        <f t="shared" si="2"/>
        <v>0</v>
      </c>
      <c r="H63" s="236">
        <v>0</v>
      </c>
      <c r="I63" s="237">
        <f t="shared" si="10"/>
        <v>-458060</v>
      </c>
      <c r="J63" s="238">
        <f>J62+H63+I63</f>
        <v>2103330.9027257254</v>
      </c>
      <c r="K63" s="236">
        <f t="shared" si="12"/>
        <v>317120.25844928937</v>
      </c>
      <c r="L63" s="237"/>
      <c r="M63" s="238">
        <f t="shared" si="5"/>
        <v>3139863.2976434082</v>
      </c>
      <c r="N63" s="236">
        <f>'LSR Prepaid BPA interest'!G61</f>
        <v>0</v>
      </c>
      <c r="O63" s="237">
        <f t="shared" ref="O63:O72" si="13">IF((I63+L63)&gt;D63,(D63-I63)*$P$1,0)</f>
        <v>0</v>
      </c>
      <c r="P63" s="238">
        <f t="shared" si="6"/>
        <v>99765789.260000005</v>
      </c>
      <c r="Q63" s="240">
        <f t="shared" si="8"/>
        <v>99765789.260000005</v>
      </c>
      <c r="R63" s="154"/>
      <c r="S63" s="188"/>
      <c r="T63" s="235"/>
      <c r="V63" s="235"/>
      <c r="W63" s="235"/>
      <c r="X63" s="235"/>
    </row>
    <row r="64" spans="1:24" outlineLevel="1">
      <c r="A64" s="227">
        <v>41333</v>
      </c>
      <c r="B64" s="241">
        <f t="shared" si="0"/>
        <v>0</v>
      </c>
      <c r="C64" s="164">
        <f>'LSR Prepaid BPA interest'!I62</f>
        <v>285223.77384192118</v>
      </c>
      <c r="D64" s="159">
        <f>'LSR Prepaid BPA interest'!H62</f>
        <v>-441320</v>
      </c>
      <c r="E64" s="236"/>
      <c r="F64" s="237">
        <f t="shared" si="11"/>
        <v>0</v>
      </c>
      <c r="G64" s="238">
        <f t="shared" si="2"/>
        <v>0</v>
      </c>
      <c r="H64" s="236">
        <v>0</v>
      </c>
      <c r="I64" s="237">
        <f t="shared" si="10"/>
        <v>-441320</v>
      </c>
      <c r="J64" s="238">
        <f>J63+H64+I64</f>
        <v>1662010.9027257254</v>
      </c>
      <c r="K64" s="236">
        <f t="shared" si="12"/>
        <v>285223.77384192118</v>
      </c>
      <c r="L64" s="237"/>
      <c r="M64" s="238">
        <f t="shared" si="5"/>
        <v>3425087.0714853294</v>
      </c>
      <c r="N64" s="236">
        <f>'LSR Prepaid BPA interest'!G62</f>
        <v>0</v>
      </c>
      <c r="O64" s="237">
        <f t="shared" si="13"/>
        <v>0</v>
      </c>
      <c r="P64" s="238">
        <f t="shared" si="6"/>
        <v>99765789.260000005</v>
      </c>
      <c r="Q64" s="240">
        <f t="shared" si="8"/>
        <v>99765789.260000005</v>
      </c>
      <c r="R64" s="154"/>
      <c r="S64" s="188"/>
      <c r="T64" s="241"/>
      <c r="U64" s="241"/>
      <c r="V64" s="235"/>
      <c r="W64" s="235"/>
      <c r="X64" s="235"/>
    </row>
    <row r="65" spans="1:24" outlineLevel="1">
      <c r="A65" s="227">
        <v>41364</v>
      </c>
      <c r="B65" s="241">
        <f t="shared" si="0"/>
        <v>0</v>
      </c>
      <c r="C65" s="164">
        <f>'LSR Prepaid BPA interest'!I63</f>
        <v>314446.66934353596</v>
      </c>
      <c r="D65" s="159">
        <f>'LSR Prepaid BPA interest'!H63</f>
        <v>-441320</v>
      </c>
      <c r="E65" s="236"/>
      <c r="F65" s="237">
        <f t="shared" si="11"/>
        <v>0</v>
      </c>
      <c r="G65" s="238">
        <f t="shared" si="2"/>
        <v>0</v>
      </c>
      <c r="H65" s="236">
        <v>0</v>
      </c>
      <c r="I65" s="237">
        <f t="shared" si="10"/>
        <v>-441320</v>
      </c>
      <c r="J65" s="238">
        <f>J64+H65+I65</f>
        <v>1220690.9027257254</v>
      </c>
      <c r="K65" s="236">
        <f t="shared" si="12"/>
        <v>314446.66934353596</v>
      </c>
      <c r="L65" s="237"/>
      <c r="M65" s="238">
        <f t="shared" si="5"/>
        <v>3739533.7408288652</v>
      </c>
      <c r="N65" s="236">
        <f>'LSR Prepaid BPA interest'!G63</f>
        <v>0</v>
      </c>
      <c r="O65" s="237">
        <f t="shared" si="13"/>
        <v>0</v>
      </c>
      <c r="P65" s="238">
        <f t="shared" si="6"/>
        <v>99765789.260000005</v>
      </c>
      <c r="Q65" s="240">
        <f t="shared" si="8"/>
        <v>99765789.260000005</v>
      </c>
      <c r="R65" s="154"/>
      <c r="S65" s="188"/>
      <c r="T65" s="241"/>
      <c r="U65" s="241"/>
      <c r="V65" s="235"/>
      <c r="W65" s="235"/>
      <c r="X65" s="235"/>
    </row>
    <row r="66" spans="1:24" outlineLevel="1">
      <c r="A66" s="227">
        <v>41394</v>
      </c>
      <c r="B66" s="241">
        <f t="shared" si="0"/>
        <v>0</v>
      </c>
      <c r="C66" s="164">
        <f>'LSR Prepaid BPA interest'!I64</f>
        <v>305697.0088824883</v>
      </c>
      <c r="D66" s="159">
        <f>'LSR Prepaid BPA interest'!H64</f>
        <v>-441320</v>
      </c>
      <c r="E66" s="236"/>
      <c r="F66" s="237">
        <f t="shared" si="11"/>
        <v>0</v>
      </c>
      <c r="G66" s="238">
        <f t="shared" si="2"/>
        <v>0</v>
      </c>
      <c r="H66" s="236">
        <v>0</v>
      </c>
      <c r="I66" s="237">
        <f t="shared" si="10"/>
        <v>-441320</v>
      </c>
      <c r="J66" s="238">
        <f t="shared" si="4"/>
        <v>779370.90272572543</v>
      </c>
      <c r="K66" s="236">
        <f t="shared" si="12"/>
        <v>305697.0088824883</v>
      </c>
      <c r="L66" s="237"/>
      <c r="M66" s="238">
        <f>M65+K66+L66</f>
        <v>4045230.7497113533</v>
      </c>
      <c r="N66" s="236">
        <f>'LSR Prepaid BPA interest'!G64</f>
        <v>0</v>
      </c>
      <c r="O66" s="237">
        <f t="shared" si="13"/>
        <v>0</v>
      </c>
      <c r="P66" s="238">
        <f t="shared" si="6"/>
        <v>99765789.260000005</v>
      </c>
      <c r="Q66" s="240">
        <f t="shared" si="8"/>
        <v>99765789.260000005</v>
      </c>
      <c r="R66" s="154"/>
      <c r="S66" s="188"/>
      <c r="T66" s="241"/>
      <c r="U66" s="241"/>
      <c r="V66" s="235"/>
      <c r="W66" s="235"/>
      <c r="X66" s="235"/>
    </row>
    <row r="67" spans="1:24" outlineLevel="1">
      <c r="A67" s="227">
        <v>41425</v>
      </c>
      <c r="B67" s="241">
        <f t="shared" si="0"/>
        <v>0</v>
      </c>
      <c r="C67" s="164">
        <f>'LSR Prepaid BPA interest'!I65</f>
        <v>314549.93288076308</v>
      </c>
      <c r="D67" s="159">
        <f>'LSR Prepaid BPA interest'!H65</f>
        <v>-441380</v>
      </c>
      <c r="E67" s="236"/>
      <c r="F67" s="237">
        <f t="shared" si="11"/>
        <v>0</v>
      </c>
      <c r="G67" s="238">
        <f t="shared" si="2"/>
        <v>0</v>
      </c>
      <c r="H67" s="236">
        <v>0</v>
      </c>
      <c r="I67" s="237">
        <f t="shared" si="10"/>
        <v>-441380</v>
      </c>
      <c r="J67" s="238">
        <f>J66+H67+I67</f>
        <v>337990.90272572543</v>
      </c>
      <c r="K67" s="236">
        <f t="shared" si="12"/>
        <v>314549.93288076308</v>
      </c>
      <c r="L67" s="237">
        <f>IF((F67+I67)&gt;D67,(D67-F67-I67)*$M$1,0)</f>
        <v>0</v>
      </c>
      <c r="M67" s="238">
        <f t="shared" si="5"/>
        <v>4359780.6825921163</v>
      </c>
      <c r="N67" s="236">
        <f>'LSR Prepaid BPA interest'!G65</f>
        <v>0</v>
      </c>
      <c r="O67" s="237">
        <f t="shared" si="13"/>
        <v>0</v>
      </c>
      <c r="P67" s="238">
        <f t="shared" si="6"/>
        <v>99765789.260000005</v>
      </c>
      <c r="Q67" s="240">
        <f t="shared" si="8"/>
        <v>99765789.260000005</v>
      </c>
      <c r="R67" s="154"/>
      <c r="S67" s="188"/>
      <c r="T67" s="235"/>
      <c r="V67" s="235"/>
      <c r="W67" s="235"/>
      <c r="X67" s="235"/>
    </row>
    <row r="68" spans="1:24" outlineLevel="1">
      <c r="A68" s="227">
        <v>41455</v>
      </c>
      <c r="B68" s="241">
        <f t="shared" si="0"/>
        <v>0</v>
      </c>
      <c r="C68" s="164">
        <f>'LSR Prepaid BPA interest'!I66</f>
        <v>303109.48870440613</v>
      </c>
      <c r="D68" s="159">
        <f>'LSR Prepaid BPA interest'!H66</f>
        <v>-441320</v>
      </c>
      <c r="E68" s="236"/>
      <c r="F68" s="237">
        <f t="shared" si="11"/>
        <v>0</v>
      </c>
      <c r="G68" s="238">
        <f t="shared" si="2"/>
        <v>0</v>
      </c>
      <c r="H68" s="236">
        <v>0</v>
      </c>
      <c r="I68" s="237">
        <f>-J67</f>
        <v>-337990.90272572543</v>
      </c>
      <c r="J68" s="238">
        <f>J67+H68+I68</f>
        <v>0</v>
      </c>
      <c r="K68" s="236">
        <f t="shared" si="12"/>
        <v>303109.48870440613</v>
      </c>
      <c r="L68" s="237">
        <f t="shared" ref="L68:L77" si="14">IF((F68+I68)&gt;D68,(D68-F68-I68)*$M$1,0)</f>
        <v>-4329.4891757921041</v>
      </c>
      <c r="M68" s="238">
        <f t="shared" si="5"/>
        <v>4658560.6821207302</v>
      </c>
      <c r="N68" s="236">
        <f>'LSR Prepaid BPA interest'!G66</f>
        <v>0</v>
      </c>
      <c r="O68" s="237">
        <f>IF((I68+L68)&gt;D68,(D68-I68)*$P$1,0)</f>
        <v>-98999.608098482451</v>
      </c>
      <c r="P68" s="238">
        <f t="shared" si="6"/>
        <v>99666789.651901528</v>
      </c>
      <c r="Q68" s="240">
        <f t="shared" si="8"/>
        <v>99761664.276329234</v>
      </c>
      <c r="R68" s="154"/>
      <c r="S68" s="188"/>
      <c r="T68" s="235"/>
      <c r="V68" s="235"/>
      <c r="W68" s="235"/>
      <c r="X68" s="235"/>
    </row>
    <row r="69" spans="1:24" outlineLevel="1">
      <c r="A69" s="227">
        <v>41486</v>
      </c>
      <c r="B69" s="241">
        <f t="shared" si="0"/>
        <v>0</v>
      </c>
      <c r="C69" s="164">
        <f>'LSR Prepaid BPA interest'!I67</f>
        <v>314673.26629520557</v>
      </c>
      <c r="D69" s="159">
        <f>'LSR Prepaid BPA interest'!H67</f>
        <v>-441320</v>
      </c>
      <c r="E69" s="236"/>
      <c r="F69" s="237">
        <f t="shared" si="11"/>
        <v>0</v>
      </c>
      <c r="G69" s="238">
        <f t="shared" si="2"/>
        <v>0</v>
      </c>
      <c r="H69" s="236">
        <f t="shared" ref="H69:H74" si="15">C69</f>
        <v>314673.26629520557</v>
      </c>
      <c r="I69" s="237">
        <f>-J68-H69</f>
        <v>-314673.26629520557</v>
      </c>
      <c r="J69" s="238">
        <f t="shared" si="4"/>
        <v>0</v>
      </c>
      <c r="K69" s="236"/>
      <c r="L69" s="237">
        <f>IF((F69+I69)&gt;D69,(D69-F69-I69)*$M$1,0)</f>
        <v>-5306.4981422308865</v>
      </c>
      <c r="M69" s="238">
        <f t="shared" si="5"/>
        <v>4653254.1839784989</v>
      </c>
      <c r="N69" s="236">
        <f>'LSR Prepaid BPA interest'!G67</f>
        <v>0</v>
      </c>
      <c r="O69" s="237">
        <f t="shared" si="13"/>
        <v>-121340.23556256354</v>
      </c>
      <c r="P69" s="238">
        <f t="shared" si="6"/>
        <v>99545449.416338965</v>
      </c>
      <c r="Q69" s="240">
        <f t="shared" si="8"/>
        <v>99748358.465839267</v>
      </c>
      <c r="R69" s="154"/>
      <c r="S69" s="188"/>
      <c r="T69" s="235"/>
      <c r="V69" s="235"/>
      <c r="W69" s="235"/>
      <c r="X69" s="235"/>
    </row>
    <row r="70" spans="1:24" outlineLevel="1">
      <c r="A70" s="227">
        <v>41517</v>
      </c>
      <c r="B70" s="241">
        <f t="shared" si="0"/>
        <v>0</v>
      </c>
      <c r="C70" s="164">
        <f>'LSR Prepaid BPA interest'!I68</f>
        <v>313336.47174232884</v>
      </c>
      <c r="D70" s="159">
        <f>'LSR Prepaid BPA interest'!H68</f>
        <v>-441320</v>
      </c>
      <c r="E70" s="236"/>
      <c r="F70" s="237">
        <f t="shared" si="11"/>
        <v>0</v>
      </c>
      <c r="G70" s="238">
        <f t="shared" si="2"/>
        <v>0</v>
      </c>
      <c r="H70" s="236">
        <f t="shared" si="15"/>
        <v>313336.47174232884</v>
      </c>
      <c r="I70" s="237">
        <f t="shared" ref="I70:I130" si="16">-J69-H70</f>
        <v>-313336.47174232884</v>
      </c>
      <c r="J70" s="238">
        <f t="shared" si="4"/>
        <v>0</v>
      </c>
      <c r="K70" s="236"/>
      <c r="L70" s="237">
        <f t="shared" si="14"/>
        <v>-5362.5098339964215</v>
      </c>
      <c r="M70" s="238">
        <f t="shared" si="5"/>
        <v>4647891.6741445027</v>
      </c>
      <c r="N70" s="236">
        <f>'LSR Prepaid BPA interest'!G68</f>
        <v>0</v>
      </c>
      <c r="O70" s="237">
        <f t="shared" si="13"/>
        <v>-122621.01842367473</v>
      </c>
      <c r="P70" s="238">
        <f t="shared" si="6"/>
        <v>99422828.397915289</v>
      </c>
      <c r="Q70" s="240">
        <f t="shared" si="8"/>
        <v>99724887.603099838</v>
      </c>
      <c r="R70" s="154"/>
      <c r="S70" s="188"/>
      <c r="T70" s="235"/>
      <c r="V70" s="235"/>
      <c r="W70" s="235"/>
      <c r="X70" s="235"/>
    </row>
    <row r="71" spans="1:24" outlineLevel="1">
      <c r="A71" s="227">
        <v>41547</v>
      </c>
      <c r="B71" s="241">
        <f t="shared" si="0"/>
        <v>0</v>
      </c>
      <c r="C71" s="164">
        <f>'LSR Prepaid BPA interest'!I69</f>
        <v>301935.17147366336</v>
      </c>
      <c r="D71" s="159">
        <f>'LSR Prepaid BPA interest'!H69</f>
        <v>-441320</v>
      </c>
      <c r="E71" s="236"/>
      <c r="F71" s="237">
        <f t="shared" si="11"/>
        <v>0</v>
      </c>
      <c r="G71" s="238">
        <f t="shared" si="2"/>
        <v>0</v>
      </c>
      <c r="H71" s="236">
        <f t="shared" si="15"/>
        <v>301935.17147366336</v>
      </c>
      <c r="I71" s="237">
        <f t="shared" si="16"/>
        <v>-301935.17147366336</v>
      </c>
      <c r="J71" s="238">
        <f t="shared" si="4"/>
        <v>0</v>
      </c>
      <c r="K71" s="236"/>
      <c r="L71" s="237">
        <f t="shared" si="14"/>
        <v>-5840.2243152535057</v>
      </c>
      <c r="M71" s="238">
        <f t="shared" si="5"/>
        <v>4642051.4498292496</v>
      </c>
      <c r="N71" s="236">
        <f>'LSR Prepaid BPA interest'!G69</f>
        <v>0</v>
      </c>
      <c r="O71" s="237">
        <f t="shared" si="13"/>
        <v>-133544.60421108312</v>
      </c>
      <c r="P71" s="238">
        <f t="shared" si="6"/>
        <v>99289283.793704212</v>
      </c>
      <c r="Q71" s="240">
        <f t="shared" si="8"/>
        <v>99690743.172750652</v>
      </c>
      <c r="R71" s="154"/>
      <c r="S71" s="188"/>
      <c r="T71" s="235"/>
      <c r="V71" s="235"/>
      <c r="W71" s="235"/>
      <c r="X71" s="235"/>
    </row>
    <row r="72" spans="1:24" outlineLevel="1">
      <c r="A72" s="227">
        <v>41578</v>
      </c>
      <c r="B72" s="241">
        <f t="shared" ref="B72:B135" si="17">E72+K72+H72-C72</f>
        <v>0</v>
      </c>
      <c r="C72" s="164">
        <f>'LSR Prepaid BPA interest'!I70</f>
        <v>248618.07</v>
      </c>
      <c r="D72" s="159">
        <f>'LSR Prepaid BPA interest'!H70</f>
        <v>-441320</v>
      </c>
      <c r="E72" s="236"/>
      <c r="F72" s="237">
        <f t="shared" si="11"/>
        <v>0</v>
      </c>
      <c r="G72" s="238">
        <f t="shared" si="2"/>
        <v>0</v>
      </c>
      <c r="H72" s="236">
        <f t="shared" si="15"/>
        <v>248618.07</v>
      </c>
      <c r="I72" s="237">
        <f t="shared" si="16"/>
        <v>-248618.07</v>
      </c>
      <c r="J72" s="238">
        <f t="shared" si="4"/>
        <v>0</v>
      </c>
      <c r="K72" s="236"/>
      <c r="L72" s="237">
        <f>IF((F72+I72)&gt;D72,(D72-F72-I72)*$M$1,0)</f>
        <v>-8074.2108669999998</v>
      </c>
      <c r="M72" s="238">
        <f t="shared" si="5"/>
        <v>4633977.2389622498</v>
      </c>
      <c r="N72" s="236">
        <f>'LSR Prepaid BPA interest'!G70</f>
        <v>-22386834.66</v>
      </c>
      <c r="O72" s="237">
        <f t="shared" si="13"/>
        <v>-184627.71913299998</v>
      </c>
      <c r="P72" s="238">
        <f>P71+N72+O72</f>
        <v>76717821.414571211</v>
      </c>
      <c r="Q72" s="240">
        <f t="shared" si="8"/>
        <v>98710556.784762129</v>
      </c>
      <c r="R72" s="154"/>
      <c r="S72" s="188"/>
      <c r="T72" s="235"/>
      <c r="V72" s="235"/>
      <c r="W72" s="235"/>
      <c r="X72" s="235"/>
    </row>
    <row r="73" spans="1:24" outlineLevel="1">
      <c r="A73" s="227">
        <v>41608</v>
      </c>
      <c r="B73" s="241">
        <f t="shared" si="17"/>
        <v>0</v>
      </c>
      <c r="C73" s="164">
        <f>'LSR Prepaid BPA interest'!I71</f>
        <v>236269.3507078127</v>
      </c>
      <c r="D73" s="159">
        <f>'LSR Prepaid BPA interest'!H71</f>
        <v>-502860</v>
      </c>
      <c r="E73" s="236"/>
      <c r="F73" s="237">
        <f t="shared" si="11"/>
        <v>0</v>
      </c>
      <c r="G73" s="238">
        <f t="shared" ref="G73:G136" si="18">G72+E73+F73</f>
        <v>0</v>
      </c>
      <c r="H73" s="236">
        <f t="shared" si="15"/>
        <v>236269.3507078127</v>
      </c>
      <c r="I73" s="237">
        <f t="shared" si="16"/>
        <v>-236269.3507078127</v>
      </c>
      <c r="J73" s="238">
        <f t="shared" ref="J73:J136" si="19">J72+H73+I73</f>
        <v>0</v>
      </c>
      <c r="K73" s="236"/>
      <c r="L73" s="237">
        <f t="shared" si="14"/>
        <v>-11170.148205342648</v>
      </c>
      <c r="M73" s="238">
        <f t="shared" ref="M73:M136" si="20">M72+K73+L73</f>
        <v>4622807.0907569071</v>
      </c>
      <c r="N73" s="236">
        <f>'LSR Prepaid BPA interest'!G71</f>
        <v>0</v>
      </c>
      <c r="O73" s="237">
        <f>IF((I73+L73)&gt;D73,(D73-I73)*$P$1,0)</f>
        <v>-255420.50108684463</v>
      </c>
      <c r="P73" s="238">
        <f>P72+N73+O73</f>
        <v>76462400.913484365</v>
      </c>
      <c r="Q73" s="240">
        <f>(P73+P61+SUM(P62:P72)*2)/24</f>
        <v>96779250.276764452</v>
      </c>
      <c r="R73" s="154"/>
      <c r="S73" s="188"/>
      <c r="T73" s="235"/>
      <c r="V73" s="235"/>
      <c r="W73" s="235"/>
      <c r="X73" s="235"/>
    </row>
    <row r="74" spans="1:24" outlineLevel="1">
      <c r="A74" s="507">
        <v>41639</v>
      </c>
      <c r="B74" s="508">
        <f t="shared" si="17"/>
        <v>0</v>
      </c>
      <c r="C74" s="509">
        <f>'LSR Prepaid BPA interest'!I72</f>
        <v>242621.79146044757</v>
      </c>
      <c r="D74" s="510">
        <f>'LSR Prepaid BPA interest'!H72</f>
        <v>-502860</v>
      </c>
      <c r="E74" s="511"/>
      <c r="F74" s="512">
        <f t="shared" si="11"/>
        <v>0</v>
      </c>
      <c r="G74" s="513">
        <f t="shared" si="18"/>
        <v>0</v>
      </c>
      <c r="H74" s="511">
        <f t="shared" si="15"/>
        <v>242621.79146044757</v>
      </c>
      <c r="I74" s="512">
        <f t="shared" si="16"/>
        <v>-242621.79146044757</v>
      </c>
      <c r="J74" s="513">
        <f t="shared" si="19"/>
        <v>0</v>
      </c>
      <c r="K74" s="511"/>
      <c r="L74" s="512">
        <f t="shared" si="14"/>
        <v>-10903.980937807248</v>
      </c>
      <c r="M74" s="513">
        <f t="shared" si="20"/>
        <v>4611903.1098191002</v>
      </c>
      <c r="N74" s="511">
        <f>'LSR Prepaid BPA interest'!G72</f>
        <v>0</v>
      </c>
      <c r="O74" s="512">
        <f>IF((I74+L74)&gt;D74,(D74-I74)*$P$1,0)</f>
        <v>-249334.22760174517</v>
      </c>
      <c r="P74" s="514">
        <f>P73+N74+O74</f>
        <v>76213066.685882613</v>
      </c>
      <c r="Q74" s="515">
        <f>(P74+P62+SUM(P63:P73)*2)/24</f>
        <v>94826912.321738064</v>
      </c>
      <c r="R74" s="154"/>
      <c r="S74" s="188"/>
      <c r="T74" s="235"/>
      <c r="V74" s="235"/>
      <c r="W74" s="235"/>
      <c r="X74" s="235"/>
    </row>
    <row r="75" spans="1:24" outlineLevel="1">
      <c r="A75" s="507">
        <v>41670</v>
      </c>
      <c r="B75" s="508">
        <f t="shared" si="17"/>
        <v>0</v>
      </c>
      <c r="C75" s="509">
        <f>'LSR Prepaid BPA interest'!I73</f>
        <v>243302.27238842405</v>
      </c>
      <c r="D75" s="510">
        <f>'LSR Prepaid BPA interest'!H73</f>
        <v>-502860</v>
      </c>
      <c r="E75" s="511"/>
      <c r="F75" s="512">
        <f t="shared" si="11"/>
        <v>0</v>
      </c>
      <c r="G75" s="513">
        <f t="shared" si="18"/>
        <v>0</v>
      </c>
      <c r="H75" s="511">
        <f>C75</f>
        <v>243302.27238842405</v>
      </c>
      <c r="I75" s="512">
        <f t="shared" si="16"/>
        <v>-243302.27238842405</v>
      </c>
      <c r="J75" s="513">
        <f t="shared" si="19"/>
        <v>0</v>
      </c>
      <c r="K75" s="511"/>
      <c r="L75" s="512">
        <f t="shared" si="14"/>
        <v>-10875.468786925032</v>
      </c>
      <c r="M75" s="513">
        <f>M74+K75+L75</f>
        <v>4601027.6410321752</v>
      </c>
      <c r="N75" s="511">
        <f>'LSR Prepaid BPA interest'!G73</f>
        <v>0</v>
      </c>
      <c r="O75" s="512">
        <f>IF((I75+L75)&gt;D75,(D75-I75)*$P$1,0)</f>
        <v>-248682.2588246509</v>
      </c>
      <c r="P75" s="513">
        <f t="shared" ref="P75:P138" si="21">P74+N75+O75</f>
        <v>75964384.427057967</v>
      </c>
      <c r="Q75" s="240">
        <f>(P75+P63+SUM(P64:P74)*2)/24</f>
        <v>92853823.679777265</v>
      </c>
      <c r="R75" s="154"/>
      <c r="S75" s="188"/>
      <c r="T75" s="235"/>
      <c r="V75" s="235"/>
      <c r="W75" s="235"/>
      <c r="X75" s="235"/>
    </row>
    <row r="76" spans="1:24" outlineLevel="1">
      <c r="A76" s="507">
        <v>41698</v>
      </c>
      <c r="B76" s="508">
        <f t="shared" si="17"/>
        <v>0</v>
      </c>
      <c r="C76" s="509">
        <f>'LSR Prepaid BPA interest'!I74</f>
        <v>218216.78</v>
      </c>
      <c r="D76" s="510">
        <f>'LSR Prepaid BPA interest'!H74</f>
        <v>-502860</v>
      </c>
      <c r="E76" s="511"/>
      <c r="F76" s="512">
        <f t="shared" si="11"/>
        <v>0</v>
      </c>
      <c r="G76" s="513">
        <f t="shared" si="18"/>
        <v>0</v>
      </c>
      <c r="H76" s="511">
        <f>C76</f>
        <v>218216.78</v>
      </c>
      <c r="I76" s="512">
        <f t="shared" si="16"/>
        <v>-218216.78</v>
      </c>
      <c r="J76" s="513">
        <f t="shared" si="19"/>
        <v>0</v>
      </c>
      <c r="K76" s="511"/>
      <c r="L76" s="512">
        <f t="shared" si="14"/>
        <v>-11926.550917999999</v>
      </c>
      <c r="M76" s="513">
        <f>M75+K76+L76</f>
        <v>4589101.0901141753</v>
      </c>
      <c r="N76" s="511">
        <f>'LSR Prepaid BPA interest'!G74</f>
        <v>-105098.23</v>
      </c>
      <c r="O76" s="512">
        <f>IF((I76+L76)&gt;D76,(D76-I76)*$P$1,0)</f>
        <v>-272716.66908199998</v>
      </c>
      <c r="P76" s="513">
        <f>P75+N76+O76</f>
        <v>75586569.527975962</v>
      </c>
      <c r="Q76" s="240">
        <f>(P76+P64+SUM(P65:P75)*2)/24</f>
        <v>90854630.989570335</v>
      </c>
      <c r="R76" s="154"/>
      <c r="S76" s="188"/>
      <c r="T76" s="235"/>
      <c r="V76" s="235"/>
      <c r="W76" s="235"/>
      <c r="X76" s="235"/>
    </row>
    <row r="77" spans="1:24" outlineLevel="1">
      <c r="A77" s="516">
        <v>41729</v>
      </c>
      <c r="B77" s="517">
        <f t="shared" si="17"/>
        <v>0</v>
      </c>
      <c r="C77" s="518">
        <f>'LSR Prepaid BPA interest'!I75</f>
        <v>239937.51266962555</v>
      </c>
      <c r="D77" s="519">
        <f>'LSR Prepaid BPA interest'!H75</f>
        <v>-502860</v>
      </c>
      <c r="E77" s="520"/>
      <c r="F77" s="521">
        <f t="shared" si="11"/>
        <v>0</v>
      </c>
      <c r="G77" s="522">
        <f t="shared" si="18"/>
        <v>0</v>
      </c>
      <c r="H77" s="520">
        <f t="shared" ref="H77:H140" si="22">C77</f>
        <v>239937.51266962555</v>
      </c>
      <c r="I77" s="521">
        <f t="shared" si="16"/>
        <v>-239937.51266962555</v>
      </c>
      <c r="J77" s="522">
        <f t="shared" si="19"/>
        <v>0</v>
      </c>
      <c r="K77" s="520"/>
      <c r="L77" s="521">
        <f t="shared" si="14"/>
        <v>-11016.452219142688</v>
      </c>
      <c r="M77" s="522">
        <f>M76+K77+L77</f>
        <v>4578084.6378950328</v>
      </c>
      <c r="N77" s="520">
        <f>'LSR Prepaid BPA interest'!G75</f>
        <v>0</v>
      </c>
      <c r="O77" s="521">
        <f>IF((I77+L77)&gt;D77,(D77-I77)*$P$1,0)</f>
        <v>-251906.03511123173</v>
      </c>
      <c r="P77" s="522">
        <f t="shared" si="21"/>
        <v>75334663.492864728</v>
      </c>
      <c r="Q77" s="505">
        <f>(P77+P65+SUM(P66:P76)*2)/24</f>
        <v>88829199.927105367</v>
      </c>
      <c r="R77" s="154"/>
      <c r="S77" s="188"/>
      <c r="T77" s="235"/>
      <c r="V77" s="235"/>
      <c r="W77" s="235"/>
      <c r="X77" s="235"/>
    </row>
    <row r="78" spans="1:24" outlineLevel="1">
      <c r="A78" s="507">
        <v>41759</v>
      </c>
      <c r="B78" s="508">
        <f t="shared" si="17"/>
        <v>0</v>
      </c>
      <c r="C78" s="509">
        <f>'LSR Prepaid BPA interest'!I76</f>
        <v>232779.75289179845</v>
      </c>
      <c r="D78" s="510">
        <f>'LSR Prepaid BPA interest'!H76</f>
        <v>-502860</v>
      </c>
      <c r="E78" s="511"/>
      <c r="F78" s="512">
        <f t="shared" si="11"/>
        <v>0</v>
      </c>
      <c r="G78" s="513">
        <f t="shared" si="18"/>
        <v>0</v>
      </c>
      <c r="H78" s="511">
        <f t="shared" si="22"/>
        <v>232779.75289179845</v>
      </c>
      <c r="I78" s="512">
        <f t="shared" si="16"/>
        <v>-232779.75289179845</v>
      </c>
      <c r="J78" s="513">
        <f t="shared" si="19"/>
        <v>0</v>
      </c>
      <c r="K78" s="511"/>
      <c r="L78" s="512">
        <f>IF((F78+I78)&gt;D78,(D78-F78-I78)*$M$1,0)</f>
        <v>-11316.362353833645</v>
      </c>
      <c r="M78" s="513">
        <f t="shared" si="20"/>
        <v>4566768.2755411994</v>
      </c>
      <c r="N78" s="511">
        <f>'LSR Prepaid BPA interest'!G76</f>
        <v>0</v>
      </c>
      <c r="O78" s="512">
        <f t="shared" ref="O78:O141" si="23">IF((I78+L78)&gt;D78,(D78-I78)*$P$1,0)</f>
        <v>-258763.8847543679</v>
      </c>
      <c r="P78" s="513">
        <f t="shared" si="21"/>
        <v>75075899.608110353</v>
      </c>
      <c r="Q78" s="240">
        <f t="shared" si="8"/>
        <v>86782490.951312661</v>
      </c>
      <c r="R78" s="154"/>
      <c r="S78" s="188"/>
      <c r="T78" s="235"/>
      <c r="V78" s="235"/>
      <c r="W78" s="235"/>
      <c r="X78" s="235"/>
    </row>
    <row r="79" spans="1:24" outlineLevel="1">
      <c r="A79" s="507">
        <v>41790</v>
      </c>
      <c r="B79" s="508">
        <f t="shared" si="17"/>
        <v>0</v>
      </c>
      <c r="C79" s="509">
        <f>'LSR Prepaid BPA interest'!I77</f>
        <v>239015.87371723281</v>
      </c>
      <c r="D79" s="510">
        <f>'LSR Prepaid BPA interest'!H77</f>
        <v>-502860</v>
      </c>
      <c r="E79" s="511"/>
      <c r="F79" s="512">
        <f t="shared" si="11"/>
        <v>0</v>
      </c>
      <c r="G79" s="513">
        <f t="shared" si="18"/>
        <v>0</v>
      </c>
      <c r="H79" s="511">
        <f t="shared" si="22"/>
        <v>239015.87371723281</v>
      </c>
      <c r="I79" s="512">
        <f t="shared" si="16"/>
        <v>-239015.87371723281</v>
      </c>
      <c r="J79" s="513">
        <f t="shared" si="19"/>
        <v>0</v>
      </c>
      <c r="K79" s="511"/>
      <c r="L79" s="512">
        <f t="shared" ref="L79:L142" si="24">IF((F79+I79)&gt;D79,(D79-F79-I79)*$M$1,0)</f>
        <v>-11055.068891247944</v>
      </c>
      <c r="M79" s="513">
        <f t="shared" si="20"/>
        <v>4555713.2066499516</v>
      </c>
      <c r="N79" s="511">
        <f>'LSR Prepaid BPA interest'!G77</f>
        <v>0</v>
      </c>
      <c r="O79" s="512">
        <f t="shared" si="23"/>
        <v>-252789.05739151919</v>
      </c>
      <c r="P79" s="513">
        <f t="shared" si="21"/>
        <v>74823110.550718829</v>
      </c>
      <c r="Q79" s="240">
        <f t="shared" si="8"/>
        <v>84714467.269597203</v>
      </c>
      <c r="R79" s="154"/>
      <c r="S79" s="188"/>
      <c r="T79" s="235"/>
      <c r="V79" s="235"/>
      <c r="W79" s="235"/>
      <c r="X79" s="235"/>
    </row>
    <row r="80" spans="1:24" outlineLevel="1">
      <c r="A80" s="507">
        <v>41820</v>
      </c>
      <c r="B80" s="508">
        <f t="shared" si="17"/>
        <v>0</v>
      </c>
      <c r="C80" s="509">
        <f>'LSR Prepaid BPA interest'!I78</f>
        <v>229831.6155931683</v>
      </c>
      <c r="D80" s="510">
        <f>'LSR Prepaid BPA interest'!H78</f>
        <v>-502860</v>
      </c>
      <c r="E80" s="511"/>
      <c r="F80" s="512">
        <f t="shared" si="11"/>
        <v>0</v>
      </c>
      <c r="G80" s="513">
        <f t="shared" si="18"/>
        <v>0</v>
      </c>
      <c r="H80" s="511">
        <f t="shared" si="22"/>
        <v>229831.6155931683</v>
      </c>
      <c r="I80" s="512">
        <f t="shared" si="16"/>
        <v>-229831.6155931683</v>
      </c>
      <c r="J80" s="513">
        <f t="shared" si="19"/>
        <v>0</v>
      </c>
      <c r="K80" s="511"/>
      <c r="L80" s="512">
        <f t="shared" si="24"/>
        <v>-11439.889306646248</v>
      </c>
      <c r="M80" s="513">
        <f t="shared" si="20"/>
        <v>4544273.3173433058</v>
      </c>
      <c r="N80" s="511">
        <f>'LSR Prepaid BPA interest'!G78</f>
        <v>0</v>
      </c>
      <c r="O80" s="512">
        <f t="shared" si="23"/>
        <v>-261588.49510018545</v>
      </c>
      <c r="P80" s="513">
        <f t="shared" si="21"/>
        <v>74561522.055618644</v>
      </c>
      <c r="Q80" s="240">
        <f t="shared" si="8"/>
        <v>82629136.173532039</v>
      </c>
      <c r="R80" s="154"/>
      <c r="S80" s="188"/>
      <c r="T80" s="235"/>
      <c r="V80" s="235"/>
      <c r="W80" s="235"/>
      <c r="X80" s="235"/>
    </row>
    <row r="81" spans="1:24" outlineLevel="1">
      <c r="A81" s="507">
        <v>41851</v>
      </c>
      <c r="B81" s="508">
        <f t="shared" si="17"/>
        <v>0</v>
      </c>
      <c r="C81" s="509">
        <f>'LSR Prepaid BPA interest'!I79</f>
        <v>238094.75175993796</v>
      </c>
      <c r="D81" s="510">
        <f>'LSR Prepaid BPA interest'!H79</f>
        <v>-502860</v>
      </c>
      <c r="E81" s="511"/>
      <c r="F81" s="512">
        <f t="shared" si="11"/>
        <v>0</v>
      </c>
      <c r="G81" s="513">
        <f t="shared" si="18"/>
        <v>0</v>
      </c>
      <c r="H81" s="511">
        <f t="shared" si="22"/>
        <v>238094.75175993796</v>
      </c>
      <c r="I81" s="512">
        <f t="shared" si="16"/>
        <v>-238094.75175993796</v>
      </c>
      <c r="J81" s="513">
        <f>J80+H81+I81</f>
        <v>0</v>
      </c>
      <c r="K81" s="511"/>
      <c r="L81" s="512">
        <f t="shared" si="24"/>
        <v>-11093.663901258598</v>
      </c>
      <c r="M81" s="513">
        <f t="shared" si="20"/>
        <v>4533179.6534420475</v>
      </c>
      <c r="N81" s="511">
        <f>'LSR Prepaid BPA interest'!G79</f>
        <v>0</v>
      </c>
      <c r="O81" s="512">
        <f t="shared" si="23"/>
        <v>-253671.58433880343</v>
      </c>
      <c r="P81" s="513">
        <f t="shared" si="21"/>
        <v>74307850.471279845</v>
      </c>
      <c r="Q81" s="240">
        <f t="shared" si="8"/>
        <v>80531516.734309465</v>
      </c>
      <c r="R81" s="154"/>
      <c r="S81" s="188"/>
      <c r="T81" s="235"/>
      <c r="V81" s="235"/>
      <c r="W81" s="235"/>
      <c r="X81" s="235"/>
    </row>
    <row r="82" spans="1:24" outlineLevel="1">
      <c r="A82" s="507">
        <v>41882</v>
      </c>
      <c r="B82" s="508">
        <f t="shared" si="17"/>
        <v>0</v>
      </c>
      <c r="C82" s="509">
        <f>'LSR Prepaid BPA interest'!I80</f>
        <v>236571.54748897903</v>
      </c>
      <c r="D82" s="510">
        <f>'LSR Prepaid BPA interest'!H80</f>
        <v>-502860</v>
      </c>
      <c r="E82" s="511"/>
      <c r="F82" s="512">
        <f t="shared" si="11"/>
        <v>0</v>
      </c>
      <c r="G82" s="513">
        <f t="shared" si="18"/>
        <v>0</v>
      </c>
      <c r="H82" s="511">
        <f t="shared" si="22"/>
        <v>236571.54748897903</v>
      </c>
      <c r="I82" s="512">
        <f t="shared" si="16"/>
        <v>-236571.54748897903</v>
      </c>
      <c r="J82" s="513">
        <f t="shared" si="19"/>
        <v>0</v>
      </c>
      <c r="K82" s="511"/>
      <c r="L82" s="512">
        <f t="shared" si="24"/>
        <v>-11157.486160211778</v>
      </c>
      <c r="M82" s="513">
        <f t="shared" si="20"/>
        <v>4522022.1672818353</v>
      </c>
      <c r="N82" s="511">
        <f>'LSR Prepaid BPA interest'!G80</f>
        <v>0</v>
      </c>
      <c r="O82" s="512">
        <f t="shared" si="23"/>
        <v>-255130.96635080915</v>
      </c>
      <c r="P82" s="513">
        <f t="shared" si="21"/>
        <v>74052719.504929036</v>
      </c>
      <c r="Q82" s="240">
        <f t="shared" si="8"/>
        <v>78422862.241057575</v>
      </c>
      <c r="R82" s="154"/>
      <c r="S82" s="188"/>
      <c r="T82" s="235"/>
      <c r="V82" s="235"/>
      <c r="W82" s="235"/>
      <c r="X82" s="235"/>
    </row>
    <row r="83" spans="1:24" outlineLevel="1">
      <c r="A83" s="507">
        <v>41912</v>
      </c>
      <c r="B83" s="508">
        <f t="shared" si="17"/>
        <v>0</v>
      </c>
      <c r="C83" s="509">
        <f>'LSR Prepaid BPA interest'!I81</f>
        <v>227466.13859808401</v>
      </c>
      <c r="D83" s="510">
        <f>'LSR Prepaid BPA interest'!H81</f>
        <v>-502860</v>
      </c>
      <c r="E83" s="511"/>
      <c r="F83" s="512">
        <f t="shared" si="11"/>
        <v>0</v>
      </c>
      <c r="G83" s="513">
        <f t="shared" si="18"/>
        <v>0</v>
      </c>
      <c r="H83" s="511">
        <f t="shared" si="22"/>
        <v>227466.13859808401</v>
      </c>
      <c r="I83" s="512">
        <f t="shared" si="16"/>
        <v>-227466.13859808401</v>
      </c>
      <c r="J83" s="513">
        <f t="shared" si="19"/>
        <v>0</v>
      </c>
      <c r="K83" s="511"/>
      <c r="L83" s="512">
        <f t="shared" si="24"/>
        <v>-11539.002792740281</v>
      </c>
      <c r="M83" s="513">
        <f t="shared" si="20"/>
        <v>4510483.1644890951</v>
      </c>
      <c r="N83" s="511">
        <f>'LSR Prepaid BPA interest'!G81</f>
        <v>0</v>
      </c>
      <c r="O83" s="512">
        <f t="shared" si="23"/>
        <v>-263854.85860917572</v>
      </c>
      <c r="P83" s="513">
        <f t="shared" si="21"/>
        <v>73788864.646319866</v>
      </c>
      <c r="Q83" s="240">
        <f t="shared" si="8"/>
        <v>76303256.906042144</v>
      </c>
      <c r="R83" s="154"/>
      <c r="S83" s="188"/>
      <c r="T83" s="235"/>
      <c r="V83" s="235"/>
      <c r="W83" s="235"/>
      <c r="X83" s="235"/>
    </row>
    <row r="84" spans="1:24" outlineLevel="1">
      <c r="A84" s="507">
        <v>41943</v>
      </c>
      <c r="B84" s="508">
        <f t="shared" si="17"/>
        <v>0</v>
      </c>
      <c r="C84" s="509">
        <f>'LSR Prepaid BPA interest'!I82</f>
        <v>235651.95581081518</v>
      </c>
      <c r="D84" s="510">
        <f>'LSR Prepaid BPA interest'!H82</f>
        <v>-502860</v>
      </c>
      <c r="E84" s="511"/>
      <c r="F84" s="512">
        <f t="shared" si="11"/>
        <v>0</v>
      </c>
      <c r="G84" s="513">
        <f t="shared" si="18"/>
        <v>0</v>
      </c>
      <c r="H84" s="511">
        <f t="shared" si="22"/>
        <v>235651.95581081518</v>
      </c>
      <c r="I84" s="512">
        <f t="shared" si="16"/>
        <v>-235651.95581081518</v>
      </c>
      <c r="J84" s="513">
        <f t="shared" si="19"/>
        <v>0</v>
      </c>
      <c r="K84" s="511"/>
      <c r="L84" s="512">
        <f>IF((F84+I84)&gt;D84,(D84-F84-I84)*$M$1,0)</f>
        <v>-11196.017051526842</v>
      </c>
      <c r="M84" s="513">
        <f t="shared" si="20"/>
        <v>4499287.1474375678</v>
      </c>
      <c r="N84" s="511">
        <f>'LSR Prepaid BPA interest'!G82</f>
        <v>0</v>
      </c>
      <c r="O84" s="512">
        <f t="shared" si="23"/>
        <v>-256012.02713765792</v>
      </c>
      <c r="P84" s="513">
        <f t="shared" si="21"/>
        <v>73532852.619182214</v>
      </c>
      <c r="Q84" s="240">
        <f>(P84+P72+SUM(P73:P83)*2)/24</f>
        <v>75108032.408426583</v>
      </c>
      <c r="R84" s="154"/>
      <c r="S84" s="188"/>
      <c r="T84" s="235"/>
      <c r="V84" s="235"/>
      <c r="W84" s="235"/>
      <c r="X84" s="235"/>
    </row>
    <row r="85" spans="1:24" outlineLevel="1">
      <c r="A85" s="507">
        <v>41973</v>
      </c>
      <c r="B85" s="508">
        <f t="shared" si="17"/>
        <v>0</v>
      </c>
      <c r="C85" s="509">
        <f>'LSR Prepaid BPA interest'!I83</f>
        <v>226576.21116760289</v>
      </c>
      <c r="D85" s="510">
        <f>'LSR Prepaid BPA interest'!H83</f>
        <v>-502860</v>
      </c>
      <c r="E85" s="511"/>
      <c r="F85" s="512">
        <f t="shared" si="11"/>
        <v>0</v>
      </c>
      <c r="G85" s="513">
        <f t="shared" si="18"/>
        <v>0</v>
      </c>
      <c r="H85" s="511">
        <f t="shared" si="22"/>
        <v>226576.21116760289</v>
      </c>
      <c r="I85" s="512">
        <f t="shared" si="16"/>
        <v>-226576.21116760289</v>
      </c>
      <c r="J85" s="513">
        <f t="shared" si="19"/>
        <v>0</v>
      </c>
      <c r="K85" s="511"/>
      <c r="L85" s="512">
        <f t="shared" si="24"/>
        <v>-11576.290752077437</v>
      </c>
      <c r="M85" s="513">
        <f t="shared" si="20"/>
        <v>4487710.8566854903</v>
      </c>
      <c r="N85" s="511">
        <f>'LSR Prepaid BPA interest'!G83</f>
        <v>0</v>
      </c>
      <c r="O85" s="512">
        <f t="shared" si="23"/>
        <v>-264707.49808031961</v>
      </c>
      <c r="P85" s="513">
        <f t="shared" si="21"/>
        <v>73268145.121101901</v>
      </c>
      <c r="Q85" s="240">
        <f t="shared" ref="Q85:Q148" si="25">(P85+P73+SUM(P74:P84)*2)/24</f>
        <v>74842231.383936092</v>
      </c>
      <c r="R85" s="154"/>
      <c r="S85" s="188"/>
      <c r="T85" s="235"/>
      <c r="V85" s="235"/>
      <c r="W85" s="235"/>
      <c r="X85" s="235"/>
    </row>
    <row r="86" spans="1:24" outlineLevel="1">
      <c r="A86" s="507">
        <v>42004</v>
      </c>
      <c r="B86" s="508">
        <f t="shared" si="17"/>
        <v>0</v>
      </c>
      <c r="C86" s="509">
        <f>'LSR Prepaid BPA interest'!I84</f>
        <v>232605.54726889738</v>
      </c>
      <c r="D86" s="510">
        <f>'LSR Prepaid BPA interest'!H84</f>
        <v>-502860</v>
      </c>
      <c r="E86" s="511"/>
      <c r="F86" s="512">
        <f t="shared" si="11"/>
        <v>0</v>
      </c>
      <c r="G86" s="513">
        <f t="shared" si="18"/>
        <v>0</v>
      </c>
      <c r="H86" s="511">
        <f t="shared" si="22"/>
        <v>232605.54726889738</v>
      </c>
      <c r="I86" s="512">
        <f t="shared" si="16"/>
        <v>-232605.54726889738</v>
      </c>
      <c r="J86" s="513">
        <f t="shared" si="19"/>
        <v>0</v>
      </c>
      <c r="K86" s="511"/>
      <c r="L86" s="512">
        <f t="shared" si="24"/>
        <v>-11323.661569433198</v>
      </c>
      <c r="M86" s="513">
        <f t="shared" si="20"/>
        <v>4476387.1951160571</v>
      </c>
      <c r="N86" s="511">
        <f>'LSR Prepaid BPA interest'!G84</f>
        <v>0</v>
      </c>
      <c r="O86" s="512">
        <f t="shared" si="23"/>
        <v>-258930.79116166939</v>
      </c>
      <c r="P86" s="513">
        <f t="shared" si="21"/>
        <v>73009214.32994023</v>
      </c>
      <c r="Q86" s="240">
        <f t="shared" si="25"/>
        <v>74575643.544422567</v>
      </c>
      <c r="R86" s="265"/>
      <c r="S86" s="222"/>
      <c r="T86" s="241"/>
      <c r="U86" s="222"/>
      <c r="V86" s="241"/>
      <c r="W86" s="235"/>
      <c r="X86" s="235"/>
    </row>
    <row r="87" spans="1:24" outlineLevel="1">
      <c r="A87" s="507">
        <v>42035</v>
      </c>
      <c r="B87" s="508">
        <f t="shared" si="17"/>
        <v>0</v>
      </c>
      <c r="C87" s="509">
        <f>'LSR Prepaid BPA interest'!I85</f>
        <v>233187.05142801395</v>
      </c>
      <c r="D87" s="510">
        <f>'LSR Prepaid BPA interest'!H85</f>
        <v>-502860</v>
      </c>
      <c r="E87" s="511"/>
      <c r="F87" s="512">
        <f t="shared" si="11"/>
        <v>0</v>
      </c>
      <c r="G87" s="513">
        <f t="shared" si="18"/>
        <v>0</v>
      </c>
      <c r="H87" s="511">
        <f t="shared" si="22"/>
        <v>233187.05142801395</v>
      </c>
      <c r="I87" s="512">
        <f t="shared" si="16"/>
        <v>-233187.05142801395</v>
      </c>
      <c r="J87" s="513">
        <f t="shared" si="19"/>
        <v>0</v>
      </c>
      <c r="K87" s="511"/>
      <c r="L87" s="512">
        <f t="shared" si="24"/>
        <v>-11299.296545166215</v>
      </c>
      <c r="M87" s="513">
        <f t="shared" si="20"/>
        <v>4465087.8985708905</v>
      </c>
      <c r="N87" s="511">
        <f>'LSR Prepaid BPA interest'!G85</f>
        <v>0</v>
      </c>
      <c r="O87" s="512">
        <f t="shared" si="23"/>
        <v>-258373.65202681982</v>
      </c>
      <c r="P87" s="513">
        <f t="shared" si="21"/>
        <v>72750840.677913412</v>
      </c>
      <c r="Q87" s="240">
        <f t="shared" si="25"/>
        <v>74308252.040043935</v>
      </c>
      <c r="R87" s="265"/>
      <c r="S87" s="222"/>
      <c r="T87" s="241"/>
      <c r="U87" s="222"/>
      <c r="V87" s="241"/>
      <c r="W87" s="235"/>
      <c r="X87" s="235"/>
    </row>
    <row r="88" spans="1:24" outlineLevel="1">
      <c r="A88" s="507">
        <v>42063</v>
      </c>
      <c r="B88" s="508">
        <f t="shared" si="17"/>
        <v>0</v>
      </c>
      <c r="C88" s="509">
        <f>'LSR Prepaid BPA interest'!I86</f>
        <v>209244.76517411426</v>
      </c>
      <c r="D88" s="510">
        <f>'LSR Prepaid BPA interest'!H86</f>
        <v>-502860</v>
      </c>
      <c r="E88" s="511"/>
      <c r="F88" s="512">
        <f t="shared" si="11"/>
        <v>0</v>
      </c>
      <c r="G88" s="513">
        <f t="shared" si="18"/>
        <v>0</v>
      </c>
      <c r="H88" s="511">
        <f t="shared" si="22"/>
        <v>209244.76517411426</v>
      </c>
      <c r="I88" s="512">
        <f t="shared" si="16"/>
        <v>-209244.76517411426</v>
      </c>
      <c r="J88" s="513">
        <f t="shared" si="19"/>
        <v>0</v>
      </c>
      <c r="K88" s="511"/>
      <c r="L88" s="512">
        <f>IF((F88+I88)&gt;D88,(D88-F88-I88)*$M$1,0)</f>
        <v>-12302.478339204612</v>
      </c>
      <c r="M88" s="513">
        <f t="shared" si="20"/>
        <v>4452785.420231686</v>
      </c>
      <c r="N88" s="511">
        <f>'LSR Prepaid BPA interest'!G86</f>
        <v>0</v>
      </c>
      <c r="O88" s="512">
        <f t="shared" si="23"/>
        <v>-281312.75648668112</v>
      </c>
      <c r="P88" s="513">
        <f t="shared" si="21"/>
        <v>72469527.921426728</v>
      </c>
      <c r="Q88" s="240">
        <f t="shared" si="25"/>
        <v>74044477.650223374</v>
      </c>
      <c r="R88" s="265"/>
      <c r="S88" s="222"/>
      <c r="T88" s="241"/>
      <c r="U88" s="222"/>
      <c r="V88" s="241"/>
      <c r="W88" s="235"/>
      <c r="X88" s="235"/>
    </row>
    <row r="89" spans="1:24" outlineLevel="1">
      <c r="A89" s="507">
        <v>42094</v>
      </c>
      <c r="B89" s="508">
        <f t="shared" si="17"/>
        <v>0</v>
      </c>
      <c r="C89" s="509">
        <f>'LSR Prepaid BPA interest'!I87</f>
        <v>230140.64288609615</v>
      </c>
      <c r="D89" s="510">
        <f>'LSR Prepaid BPA interest'!H87</f>
        <v>-502860</v>
      </c>
      <c r="E89" s="511"/>
      <c r="F89" s="512">
        <f t="shared" si="11"/>
        <v>0</v>
      </c>
      <c r="G89" s="513">
        <f t="shared" si="18"/>
        <v>0</v>
      </c>
      <c r="H89" s="511">
        <f t="shared" si="22"/>
        <v>230140.64288609615</v>
      </c>
      <c r="I89" s="512">
        <f t="shared" si="16"/>
        <v>-230140.64288609615</v>
      </c>
      <c r="J89" s="513">
        <f t="shared" si="19"/>
        <v>0</v>
      </c>
      <c r="K89" s="511"/>
      <c r="L89" s="512">
        <f t="shared" si="24"/>
        <v>-11426.941063072571</v>
      </c>
      <c r="M89" s="513">
        <f t="shared" si="20"/>
        <v>4441358.4791686134</v>
      </c>
      <c r="N89" s="511">
        <f>'LSR Prepaid BPA interest'!G87</f>
        <v>0</v>
      </c>
      <c r="O89" s="512">
        <f t="shared" si="23"/>
        <v>-261292.41605083126</v>
      </c>
      <c r="P89" s="513">
        <f t="shared" si="21"/>
        <v>72208235.505375892</v>
      </c>
      <c r="Q89" s="240">
        <f t="shared" si="25"/>
        <v>73784333.083805114</v>
      </c>
      <c r="R89" s="265"/>
      <c r="S89" s="222"/>
      <c r="T89" s="241"/>
      <c r="U89" s="222"/>
      <c r="V89" s="241"/>
      <c r="W89" s="235"/>
      <c r="X89" s="235"/>
    </row>
    <row r="90" spans="1:24" outlineLevel="1">
      <c r="A90" s="507">
        <v>42124</v>
      </c>
      <c r="B90" s="508">
        <f t="shared" si="17"/>
        <v>0</v>
      </c>
      <c r="C90" s="509">
        <f>'LSR Prepaid BPA interest'!I88</f>
        <v>223214.24116921483</v>
      </c>
      <c r="D90" s="510">
        <f>'LSR Prepaid BPA interest'!H88</f>
        <v>-502860</v>
      </c>
      <c r="E90" s="511"/>
      <c r="F90" s="512">
        <f t="shared" si="11"/>
        <v>0</v>
      </c>
      <c r="G90" s="513">
        <f t="shared" si="18"/>
        <v>0</v>
      </c>
      <c r="H90" s="511">
        <f t="shared" si="22"/>
        <v>223214.24116921483</v>
      </c>
      <c r="I90" s="512">
        <f t="shared" si="16"/>
        <v>-223214.24116921483</v>
      </c>
      <c r="J90" s="513">
        <f t="shared" si="19"/>
        <v>0</v>
      </c>
      <c r="K90" s="511"/>
      <c r="L90" s="512">
        <f t="shared" si="24"/>
        <v>-11717.157295009898</v>
      </c>
      <c r="M90" s="513">
        <f t="shared" si="20"/>
        <v>4429641.3218736034</v>
      </c>
      <c r="N90" s="511">
        <f>'LSR Prepaid BPA interest'!G88</f>
        <v>0</v>
      </c>
      <c r="O90" s="512">
        <f t="shared" si="23"/>
        <v>-267928.60153577523</v>
      </c>
      <c r="P90" s="513">
        <f t="shared" si="21"/>
        <v>71940306.90384011</v>
      </c>
      <c r="Q90" s="240">
        <f t="shared" si="25"/>
        <v>73523415.554981828</v>
      </c>
      <c r="R90" s="265"/>
      <c r="S90" s="222"/>
      <c r="T90" s="241"/>
      <c r="U90" s="222"/>
      <c r="V90" s="241"/>
      <c r="W90" s="235"/>
      <c r="X90" s="235"/>
    </row>
    <row r="91" spans="1:24" outlineLevel="1">
      <c r="A91" s="507">
        <v>42155</v>
      </c>
      <c r="B91" s="508">
        <f t="shared" si="17"/>
        <v>0</v>
      </c>
      <c r="C91" s="509">
        <f>'LSR Prepaid BPA interest'!I89</f>
        <v>229131.51160389639</v>
      </c>
      <c r="D91" s="510">
        <f>'LSR Prepaid BPA interest'!H89</f>
        <v>-502860</v>
      </c>
      <c r="E91" s="511"/>
      <c r="F91" s="512">
        <f t="shared" si="11"/>
        <v>0</v>
      </c>
      <c r="G91" s="513">
        <f t="shared" si="18"/>
        <v>0</v>
      </c>
      <c r="H91" s="511">
        <f t="shared" si="22"/>
        <v>229131.51160389639</v>
      </c>
      <c r="I91" s="512">
        <f t="shared" si="16"/>
        <v>-229131.51160389639</v>
      </c>
      <c r="J91" s="513">
        <f t="shared" si="19"/>
        <v>0</v>
      </c>
      <c r="K91" s="511"/>
      <c r="L91" s="512">
        <f t="shared" si="24"/>
        <v>-11469.223663796742</v>
      </c>
      <c r="M91" s="513">
        <f t="shared" si="20"/>
        <v>4418172.0982098067</v>
      </c>
      <c r="N91" s="511">
        <f>'LSR Prepaid BPA interest'!G89</f>
        <v>0</v>
      </c>
      <c r="O91" s="512">
        <f t="shared" si="23"/>
        <v>-262259.26473230688</v>
      </c>
      <c r="P91" s="513">
        <f t="shared" si="21"/>
        <v>71678047.639107808</v>
      </c>
      <c r="Q91" s="240">
        <f t="shared" si="25"/>
        <v>73261721.570986778</v>
      </c>
      <c r="R91" s="265"/>
      <c r="S91" s="222"/>
      <c r="T91" s="241"/>
      <c r="U91" s="222"/>
      <c r="V91" s="241"/>
      <c r="W91" s="235"/>
      <c r="X91" s="235"/>
    </row>
    <row r="92" spans="1:24" outlineLevel="1">
      <c r="A92" s="507">
        <v>42185</v>
      </c>
      <c r="B92" s="508">
        <f t="shared" si="17"/>
        <v>0</v>
      </c>
      <c r="C92" s="509">
        <f>'LSR Prepaid BPA interest'!I90</f>
        <v>220266.10387058469</v>
      </c>
      <c r="D92" s="510">
        <f>'LSR Prepaid BPA interest'!H90</f>
        <v>-502860</v>
      </c>
      <c r="E92" s="511"/>
      <c r="F92" s="512">
        <f t="shared" si="11"/>
        <v>0</v>
      </c>
      <c r="G92" s="513">
        <f t="shared" si="18"/>
        <v>0</v>
      </c>
      <c r="H92" s="511">
        <f t="shared" si="22"/>
        <v>220266.10387058469</v>
      </c>
      <c r="I92" s="512">
        <f t="shared" si="16"/>
        <v>-220266.10387058469</v>
      </c>
      <c r="J92" s="513">
        <f t="shared" si="19"/>
        <v>0</v>
      </c>
      <c r="K92" s="511"/>
      <c r="L92" s="512">
        <f t="shared" si="24"/>
        <v>-11840.684247822501</v>
      </c>
      <c r="M92" s="513">
        <f t="shared" si="20"/>
        <v>4406331.4139619842</v>
      </c>
      <c r="N92" s="511">
        <f>'LSR Prepaid BPA interest'!G90</f>
        <v>0</v>
      </c>
      <c r="O92" s="512">
        <f t="shared" si="23"/>
        <v>-270753.21188159281</v>
      </c>
      <c r="P92" s="513">
        <f t="shared" si="21"/>
        <v>71407294.427226216</v>
      </c>
      <c r="Q92" s="240">
        <f t="shared" si="25"/>
        <v>72999251.131819949</v>
      </c>
      <c r="R92" s="265"/>
      <c r="S92" s="222"/>
      <c r="T92" s="241"/>
      <c r="U92" s="222"/>
      <c r="V92" s="241"/>
      <c r="W92" s="235"/>
      <c r="X92" s="235"/>
    </row>
    <row r="93" spans="1:24" outlineLevel="1">
      <c r="A93" s="507">
        <v>42216</v>
      </c>
      <c r="B93" s="508">
        <f t="shared" si="17"/>
        <v>0</v>
      </c>
      <c r="C93" s="509">
        <f>'LSR Prepaid BPA interest'!I91</f>
        <v>228122.49965891862</v>
      </c>
      <c r="D93" s="510">
        <f>'LSR Prepaid BPA interest'!H91</f>
        <v>-502860</v>
      </c>
      <c r="E93" s="511"/>
      <c r="F93" s="512">
        <f t="shared" si="11"/>
        <v>0</v>
      </c>
      <c r="G93" s="513">
        <f t="shared" si="18"/>
        <v>0</v>
      </c>
      <c r="H93" s="511">
        <f t="shared" si="22"/>
        <v>228122.49965891862</v>
      </c>
      <c r="I93" s="512">
        <f t="shared" si="16"/>
        <v>-228122.49965891862</v>
      </c>
      <c r="J93" s="513">
        <f t="shared" si="19"/>
        <v>0</v>
      </c>
      <c r="K93" s="511"/>
      <c r="L93" s="512">
        <f t="shared" si="24"/>
        <v>-11511.501264291312</v>
      </c>
      <c r="M93" s="513">
        <f t="shared" si="20"/>
        <v>4394819.9126976933</v>
      </c>
      <c r="N93" s="511">
        <f>'LSR Prepaid BPA interest'!G91</f>
        <v>0</v>
      </c>
      <c r="O93" s="512">
        <f t="shared" si="23"/>
        <v>-263225.99907679006</v>
      </c>
      <c r="P93" s="513">
        <f t="shared" si="21"/>
        <v>71144068.428149432</v>
      </c>
      <c r="Q93" s="240">
        <f t="shared" si="25"/>
        <v>72736000.72883983</v>
      </c>
      <c r="R93" s="265"/>
      <c r="S93" s="222"/>
      <c r="T93" s="241"/>
      <c r="U93" s="222"/>
      <c r="V93" s="241"/>
      <c r="W93" s="235"/>
      <c r="X93" s="235"/>
    </row>
    <row r="94" spans="1:24" outlineLevel="1">
      <c r="A94" s="507">
        <v>42247</v>
      </c>
      <c r="B94" s="508">
        <f t="shared" si="17"/>
        <v>0</v>
      </c>
      <c r="C94" s="509">
        <f>'LSR Prepaid BPA interest'!I92</f>
        <v>226599.29538795972</v>
      </c>
      <c r="D94" s="510">
        <f>'LSR Prepaid BPA interest'!H92</f>
        <v>-502860</v>
      </c>
      <c r="E94" s="511"/>
      <c r="F94" s="512">
        <f t="shared" si="11"/>
        <v>0</v>
      </c>
      <c r="G94" s="513">
        <f t="shared" si="18"/>
        <v>0</v>
      </c>
      <c r="H94" s="511">
        <f t="shared" si="22"/>
        <v>226599.29538795972</v>
      </c>
      <c r="I94" s="512">
        <f t="shared" si="16"/>
        <v>-226599.29538795972</v>
      </c>
      <c r="J94" s="513">
        <f t="shared" si="19"/>
        <v>0</v>
      </c>
      <c r="K94" s="511"/>
      <c r="L94" s="512">
        <f t="shared" si="24"/>
        <v>-11575.323523244489</v>
      </c>
      <c r="M94" s="513">
        <f t="shared" si="20"/>
        <v>4383244.5891744485</v>
      </c>
      <c r="N94" s="511">
        <f>'LSR Prepaid BPA interest'!G92</f>
        <v>0</v>
      </c>
      <c r="O94" s="512">
        <f t="shared" si="23"/>
        <v>-264685.38108879578</v>
      </c>
      <c r="P94" s="513">
        <f t="shared" si="21"/>
        <v>70879383.047060639</v>
      </c>
      <c r="Q94" s="240">
        <f t="shared" si="25"/>
        <v>72471954.124631569</v>
      </c>
      <c r="R94" s="265"/>
      <c r="S94" s="222"/>
      <c r="T94" s="241"/>
      <c r="U94" s="222"/>
      <c r="V94" s="241"/>
      <c r="W94" s="235"/>
      <c r="X94" s="235"/>
    </row>
    <row r="95" spans="1:24" outlineLevel="1">
      <c r="A95" s="507">
        <v>42277</v>
      </c>
      <c r="B95" s="508">
        <f t="shared" si="17"/>
        <v>0</v>
      </c>
      <c r="C95" s="509">
        <f>'LSR Prepaid BPA interest'!I93</f>
        <v>217815.57204871048</v>
      </c>
      <c r="D95" s="510">
        <f>'LSR Prepaid BPA interest'!H93</f>
        <v>-502860</v>
      </c>
      <c r="E95" s="511"/>
      <c r="F95" s="512">
        <f t="shared" si="11"/>
        <v>0</v>
      </c>
      <c r="G95" s="513">
        <f t="shared" si="18"/>
        <v>0</v>
      </c>
      <c r="H95" s="511">
        <f t="shared" si="22"/>
        <v>217815.57204871048</v>
      </c>
      <c r="I95" s="512">
        <f t="shared" si="16"/>
        <v>-217815.57204871048</v>
      </c>
      <c r="J95" s="513">
        <f t="shared" si="19"/>
        <v>0</v>
      </c>
      <c r="K95" s="511"/>
      <c r="L95" s="512">
        <f t="shared" si="24"/>
        <v>-11943.361531159031</v>
      </c>
      <c r="M95" s="513">
        <f t="shared" si="20"/>
        <v>4371301.2276432896</v>
      </c>
      <c r="N95" s="511">
        <f>'LSR Prepaid BPA interest'!G93</f>
        <v>0</v>
      </c>
      <c r="O95" s="512">
        <f t="shared" si="23"/>
        <v>-273101.06642013049</v>
      </c>
      <c r="P95" s="513">
        <f t="shared" si="21"/>
        <v>70606281.980640501</v>
      </c>
      <c r="Q95" s="240">
        <f t="shared" si="25"/>
        <v>72207124.161150381</v>
      </c>
      <c r="R95" s="265"/>
      <c r="S95" s="222"/>
      <c r="T95" s="241"/>
      <c r="U95" s="222"/>
      <c r="V95" s="241"/>
      <c r="W95" s="235"/>
      <c r="X95" s="235"/>
    </row>
    <row r="96" spans="1:24" outlineLevel="1">
      <c r="A96" s="507">
        <v>42308</v>
      </c>
      <c r="B96" s="508">
        <f t="shared" si="17"/>
        <v>0</v>
      </c>
      <c r="C96" s="509">
        <f>'LSR Prepaid BPA interest'!I94</f>
        <v>225590.05780801829</v>
      </c>
      <c r="D96" s="510">
        <f>'LSR Prepaid BPA interest'!H94</f>
        <v>-502860</v>
      </c>
      <c r="E96" s="511"/>
      <c r="F96" s="512">
        <f t="shared" si="11"/>
        <v>0</v>
      </c>
      <c r="G96" s="513">
        <f t="shared" si="18"/>
        <v>0</v>
      </c>
      <c r="H96" s="511">
        <f t="shared" si="22"/>
        <v>225590.05780801829</v>
      </c>
      <c r="I96" s="512">
        <f t="shared" si="16"/>
        <v>-225590.05780801829</v>
      </c>
      <c r="J96" s="513">
        <f t="shared" si="19"/>
        <v>0</v>
      </c>
      <c r="K96" s="511"/>
      <c r="L96" s="512">
        <f t="shared" si="24"/>
        <v>-11617.610577844034</v>
      </c>
      <c r="M96" s="513">
        <f t="shared" si="20"/>
        <v>4359683.6170654455</v>
      </c>
      <c r="N96" s="511">
        <f>'LSR Prepaid BPA interest'!G94</f>
        <v>0</v>
      </c>
      <c r="O96" s="512">
        <f t="shared" si="23"/>
        <v>-265652.33161413769</v>
      </c>
      <c r="P96" s="513">
        <f t="shared" si="21"/>
        <v>70340629.649026364</v>
      </c>
      <c r="Q96" s="240">
        <f t="shared" si="25"/>
        <v>71941507.259657264</v>
      </c>
      <c r="R96" s="265"/>
      <c r="S96" s="222"/>
      <c r="T96" s="241"/>
      <c r="U96" s="222"/>
      <c r="V96" s="241"/>
      <c r="W96" s="235"/>
      <c r="X96" s="235"/>
    </row>
    <row r="97" spans="1:24" outlineLevel="1">
      <c r="A97" s="507">
        <v>42338</v>
      </c>
      <c r="B97" s="508">
        <f t="shared" si="17"/>
        <v>0</v>
      </c>
      <c r="C97" s="509">
        <f>'LSR Prepaid BPA interest'!I95</f>
        <v>216828.92386220064</v>
      </c>
      <c r="D97" s="510">
        <f>'LSR Prepaid BPA interest'!H95</f>
        <v>-506260</v>
      </c>
      <c r="E97" s="511"/>
      <c r="F97" s="512">
        <f t="shared" si="11"/>
        <v>0</v>
      </c>
      <c r="G97" s="513">
        <f t="shared" si="18"/>
        <v>0</v>
      </c>
      <c r="H97" s="511">
        <f t="shared" si="22"/>
        <v>216828.92386220064</v>
      </c>
      <c r="I97" s="512">
        <f t="shared" si="16"/>
        <v>-216828.92386220064</v>
      </c>
      <c r="J97" s="513">
        <f t="shared" si="19"/>
        <v>0</v>
      </c>
      <c r="K97" s="511"/>
      <c r="L97" s="512">
        <f t="shared" si="24"/>
        <v>-12127.162090173793</v>
      </c>
      <c r="M97" s="513">
        <f t="shared" si="20"/>
        <v>4347556.4549752716</v>
      </c>
      <c r="N97" s="511">
        <f>'LSR Prepaid BPA interest'!G95</f>
        <v>0</v>
      </c>
      <c r="O97" s="512">
        <f t="shared" si="23"/>
        <v>-277303.91404762556</v>
      </c>
      <c r="P97" s="513">
        <f>P96+N97+O97</f>
        <v>70063325.734978735</v>
      </c>
      <c r="Q97" s="240">
        <f t="shared" si="25"/>
        <v>71674963.828145638</v>
      </c>
      <c r="R97" s="265"/>
      <c r="S97" s="222"/>
      <c r="T97" s="241"/>
      <c r="U97" s="222"/>
      <c r="V97" s="241"/>
      <c r="W97" s="235"/>
      <c r="X97" s="235"/>
    </row>
    <row r="98" spans="1:24" outlineLevel="1">
      <c r="A98" s="507">
        <v>42369</v>
      </c>
      <c r="B98" s="508">
        <f t="shared" si="17"/>
        <v>0</v>
      </c>
      <c r="C98" s="509">
        <f>'LSR Prepaid BPA interest'!I96</f>
        <v>222523.05150719636</v>
      </c>
      <c r="D98" s="510">
        <f>'LSR Prepaid BPA interest'!H96</f>
        <v>-506260</v>
      </c>
      <c r="E98" s="511"/>
      <c r="F98" s="512">
        <f t="shared" si="11"/>
        <v>0</v>
      </c>
      <c r="G98" s="513">
        <f t="shared" si="18"/>
        <v>0</v>
      </c>
      <c r="H98" s="511">
        <f t="shared" si="22"/>
        <v>222523.05150719636</v>
      </c>
      <c r="I98" s="512">
        <f t="shared" si="16"/>
        <v>-222523.05150719636</v>
      </c>
      <c r="J98" s="513">
        <f t="shared" si="19"/>
        <v>0</v>
      </c>
      <c r="K98" s="511"/>
      <c r="L98" s="512">
        <f t="shared" si="24"/>
        <v>-11888.578141848471</v>
      </c>
      <c r="M98" s="513">
        <f t="shared" si="20"/>
        <v>4335667.876833423</v>
      </c>
      <c r="N98" s="511">
        <f>'LSR Prepaid BPA interest'!G96</f>
        <v>0</v>
      </c>
      <c r="O98" s="512">
        <f t="shared" si="23"/>
        <v>-271848.37035095511</v>
      </c>
      <c r="P98" s="513">
        <f t="shared" si="21"/>
        <v>69791477.364627779</v>
      </c>
      <c r="Q98" s="240">
        <f t="shared" si="25"/>
        <v>71407357.313502476</v>
      </c>
      <c r="R98" s="265"/>
      <c r="S98" s="222"/>
      <c r="T98" s="241"/>
      <c r="U98" s="222"/>
      <c r="V98" s="241"/>
      <c r="W98" s="235"/>
      <c r="X98" s="235"/>
    </row>
    <row r="99" spans="1:24" outlineLevel="1">
      <c r="A99" s="507">
        <v>42400</v>
      </c>
      <c r="B99" s="508">
        <f t="shared" si="17"/>
        <v>0</v>
      </c>
      <c r="C99" s="509">
        <f>'LSR Prepaid BPA interest'!I97</f>
        <v>223003.71242804962</v>
      </c>
      <c r="D99" s="510">
        <f>'LSR Prepaid BPA interest'!H97</f>
        <v>-506260</v>
      </c>
      <c r="E99" s="511"/>
      <c r="F99" s="512">
        <f t="shared" si="11"/>
        <v>0</v>
      </c>
      <c r="G99" s="513">
        <f t="shared" si="18"/>
        <v>0</v>
      </c>
      <c r="H99" s="511">
        <f t="shared" si="22"/>
        <v>223003.71242804962</v>
      </c>
      <c r="I99" s="512">
        <f t="shared" si="16"/>
        <v>-223003.71242804962</v>
      </c>
      <c r="J99" s="513">
        <f t="shared" si="19"/>
        <v>0</v>
      </c>
      <c r="K99" s="511"/>
      <c r="L99" s="512">
        <f t="shared" si="24"/>
        <v>-11868.43844926472</v>
      </c>
      <c r="M99" s="513">
        <f t="shared" si="20"/>
        <v>4323799.4383841585</v>
      </c>
      <c r="N99" s="511">
        <f>'LSR Prepaid BPA interest'!G97</f>
        <v>0</v>
      </c>
      <c r="O99" s="512">
        <f t="shared" si="23"/>
        <v>-271387.84912268561</v>
      </c>
      <c r="P99" s="513">
        <f t="shared" si="21"/>
        <v>69520089.51550509</v>
      </c>
      <c r="Q99" s="240">
        <f t="shared" si="25"/>
        <v>71138670.308180809</v>
      </c>
      <c r="R99" s="265"/>
      <c r="S99" s="222"/>
      <c r="T99" s="241"/>
      <c r="U99" s="222"/>
      <c r="V99" s="241"/>
      <c r="W99" s="235"/>
      <c r="X99" s="235"/>
    </row>
    <row r="100" spans="1:24" outlineLevel="1">
      <c r="A100" s="227">
        <v>42429</v>
      </c>
      <c r="B100" s="235">
        <f t="shared" si="17"/>
        <v>0</v>
      </c>
      <c r="C100" s="164">
        <f>'LSR Prepaid BPA interest'!I98</f>
        <v>207181.80867908135</v>
      </c>
      <c r="D100" s="159">
        <f>'LSR Prepaid BPA interest'!H98</f>
        <v>-506260</v>
      </c>
      <c r="E100" s="236"/>
      <c r="F100" s="237">
        <f t="shared" si="11"/>
        <v>0</v>
      </c>
      <c r="G100" s="238">
        <f t="shared" si="18"/>
        <v>0</v>
      </c>
      <c r="H100" s="236">
        <f t="shared" si="22"/>
        <v>207181.80867908135</v>
      </c>
      <c r="I100" s="237">
        <f t="shared" si="16"/>
        <v>-207181.80867908135</v>
      </c>
      <c r="J100" s="238">
        <f t="shared" si="19"/>
        <v>0</v>
      </c>
      <c r="K100" s="236"/>
      <c r="L100" s="237">
        <f t="shared" si="24"/>
        <v>-12531.376216346491</v>
      </c>
      <c r="M100" s="238">
        <f t="shared" si="20"/>
        <v>4311268.0621678121</v>
      </c>
      <c r="N100" s="236">
        <f>'LSR Prepaid BPA interest'!G98</f>
        <v>0</v>
      </c>
      <c r="O100" s="237">
        <f t="shared" si="23"/>
        <v>-286546.8151045721</v>
      </c>
      <c r="P100" s="238">
        <f>P99+N100+O100</f>
        <v>69233542.700400516</v>
      </c>
      <c r="Q100" s="240">
        <f>(P100+P88+SUM(P89:P99)*2)/24</f>
        <v>70869222.958871022</v>
      </c>
      <c r="R100" s="154"/>
      <c r="S100" s="188"/>
      <c r="T100" s="235"/>
      <c r="V100" s="235"/>
      <c r="W100" s="235"/>
      <c r="X100" s="235"/>
    </row>
    <row r="101" spans="1:24" outlineLevel="1">
      <c r="A101" s="227">
        <v>42460</v>
      </c>
      <c r="B101" s="235">
        <f t="shared" si="17"/>
        <v>0</v>
      </c>
      <c r="C101" s="164">
        <f>'LSR Prepaid BPA interest'!I99</f>
        <v>219936.70612722772</v>
      </c>
      <c r="D101" s="159">
        <f>'LSR Prepaid BPA interest'!H99</f>
        <v>-506260</v>
      </c>
      <c r="E101" s="236"/>
      <c r="F101" s="237">
        <f t="shared" si="11"/>
        <v>0</v>
      </c>
      <c r="G101" s="238">
        <f t="shared" si="18"/>
        <v>0</v>
      </c>
      <c r="H101" s="236">
        <f t="shared" si="22"/>
        <v>219936.70612722772</v>
      </c>
      <c r="I101" s="237">
        <f t="shared" si="16"/>
        <v>-219936.70612722772</v>
      </c>
      <c r="J101" s="238">
        <f t="shared" si="19"/>
        <v>0</v>
      </c>
      <c r="K101" s="236"/>
      <c r="L101" s="237">
        <f t="shared" si="24"/>
        <v>-11996.946013269157</v>
      </c>
      <c r="M101" s="238">
        <f t="shared" si="20"/>
        <v>4299271.1161545431</v>
      </c>
      <c r="N101" s="236">
        <f>'LSR Prepaid BPA interest'!G99</f>
        <v>0</v>
      </c>
      <c r="O101" s="237">
        <f t="shared" si="23"/>
        <v>-274326.34785950306</v>
      </c>
      <c r="P101" s="238">
        <f t="shared" si="21"/>
        <v>68959216.352541015</v>
      </c>
      <c r="Q101" s="240">
        <f t="shared" si="25"/>
        <v>70599014.443293467</v>
      </c>
      <c r="R101" s="154"/>
      <c r="S101" s="188"/>
      <c r="T101" s="235"/>
      <c r="V101" s="235"/>
      <c r="W101" s="235"/>
      <c r="X101" s="235"/>
    </row>
    <row r="102" spans="1:24" outlineLevel="1">
      <c r="A102" s="227">
        <v>42490</v>
      </c>
      <c r="B102" s="235">
        <f t="shared" si="17"/>
        <v>0</v>
      </c>
      <c r="C102" s="164">
        <f>'LSR Prepaid BPA interest'!I100</f>
        <v>213263.68706885146</v>
      </c>
      <c r="D102" s="159">
        <f>'LSR Prepaid BPA interest'!H100</f>
        <v>-506260</v>
      </c>
      <c r="E102" s="236"/>
      <c r="F102" s="237">
        <f t="shared" si="11"/>
        <v>0</v>
      </c>
      <c r="G102" s="238">
        <f t="shared" si="18"/>
        <v>0</v>
      </c>
      <c r="H102" s="236">
        <f t="shared" si="22"/>
        <v>213263.68706885146</v>
      </c>
      <c r="I102" s="237">
        <f t="shared" si="16"/>
        <v>-213263.68706885146</v>
      </c>
      <c r="J102" s="238">
        <f t="shared" si="19"/>
        <v>0</v>
      </c>
      <c r="K102" s="236"/>
      <c r="L102" s="237">
        <f t="shared" si="24"/>
        <v>-12276.545511815126</v>
      </c>
      <c r="M102" s="238">
        <f t="shared" si="20"/>
        <v>4286994.5706427284</v>
      </c>
      <c r="N102" s="236">
        <f>'LSR Prepaid BPA interest'!G100</f>
        <v>0</v>
      </c>
      <c r="O102" s="237">
        <f t="shared" si="23"/>
        <v>-280719.76741933345</v>
      </c>
      <c r="P102" s="238">
        <f t="shared" si="21"/>
        <v>68678496.585121676</v>
      </c>
      <c r="Q102" s="240">
        <f t="shared" si="25"/>
        <v>70327729.881978735</v>
      </c>
      <c r="R102" s="154"/>
      <c r="S102" s="188"/>
      <c r="T102" s="235"/>
      <c r="V102" s="235"/>
      <c r="W102" s="235"/>
      <c r="X102" s="235"/>
    </row>
    <row r="103" spans="1:24" outlineLevel="1">
      <c r="A103" s="227">
        <v>42521</v>
      </c>
      <c r="B103" s="235">
        <f t="shared" si="17"/>
        <v>0</v>
      </c>
      <c r="C103" s="164">
        <f>'LSR Prepaid BPA interest'!I101</f>
        <v>218838.97348740225</v>
      </c>
      <c r="D103" s="159">
        <f>'LSR Prepaid BPA interest'!H101</f>
        <v>-506260</v>
      </c>
      <c r="E103" s="236"/>
      <c r="F103" s="237">
        <f t="shared" si="11"/>
        <v>0</v>
      </c>
      <c r="G103" s="238">
        <f t="shared" si="18"/>
        <v>0</v>
      </c>
      <c r="H103" s="236">
        <f t="shared" si="22"/>
        <v>218838.97348740225</v>
      </c>
      <c r="I103" s="237">
        <f t="shared" si="16"/>
        <v>-218838.97348740225</v>
      </c>
      <c r="J103" s="238">
        <f t="shared" si="19"/>
        <v>0</v>
      </c>
      <c r="K103" s="236"/>
      <c r="L103" s="237">
        <f t="shared" si="24"/>
        <v>-12042.941010877845</v>
      </c>
      <c r="M103" s="238">
        <f t="shared" si="20"/>
        <v>4274951.6296318509</v>
      </c>
      <c r="N103" s="236">
        <f>'LSR Prepaid BPA interest'!G101</f>
        <v>0</v>
      </c>
      <c r="O103" s="237">
        <f t="shared" si="23"/>
        <v>-275378.08550171991</v>
      </c>
      <c r="P103" s="238">
        <f t="shared" si="21"/>
        <v>68403118.499619961</v>
      </c>
      <c r="Q103" s="240">
        <f t="shared" si="25"/>
        <v>70055365.737886801</v>
      </c>
      <c r="R103" s="154"/>
      <c r="S103" s="188"/>
      <c r="T103" s="235"/>
      <c r="V103" s="235"/>
      <c r="W103" s="235"/>
      <c r="X103" s="235"/>
    </row>
    <row r="104" spans="1:24" outlineLevel="1">
      <c r="A104" s="227">
        <v>42551</v>
      </c>
      <c r="B104" s="235">
        <f t="shared" si="17"/>
        <v>0</v>
      </c>
      <c r="C104" s="164">
        <f>'LSR Prepaid BPA interest'!I102</f>
        <v>210295.61645515283</v>
      </c>
      <c r="D104" s="159">
        <f>'LSR Prepaid BPA interest'!H102</f>
        <v>-506260</v>
      </c>
      <c r="E104" s="236"/>
      <c r="F104" s="237">
        <f t="shared" si="11"/>
        <v>0</v>
      </c>
      <c r="G104" s="238">
        <f t="shared" si="18"/>
        <v>0</v>
      </c>
      <c r="H104" s="236">
        <f t="shared" si="22"/>
        <v>210295.61645515283</v>
      </c>
      <c r="I104" s="237">
        <f t="shared" si="16"/>
        <v>-210295.61645515283</v>
      </c>
      <c r="J104" s="238">
        <f t="shared" si="19"/>
        <v>0</v>
      </c>
      <c r="K104" s="236"/>
      <c r="L104" s="237">
        <f t="shared" si="24"/>
        <v>-12400.907670529095</v>
      </c>
      <c r="M104" s="238">
        <f t="shared" si="20"/>
        <v>4262550.7219613213</v>
      </c>
      <c r="N104" s="236">
        <f>'LSR Prepaid BPA interest'!G102</f>
        <v>0</v>
      </c>
      <c r="O104" s="237">
        <f t="shared" si="23"/>
        <v>-283563.47587431804</v>
      </c>
      <c r="P104" s="238">
        <f t="shared" si="21"/>
        <v>68119555.023745641</v>
      </c>
      <c r="Q104" s="240">
        <f t="shared" si="25"/>
        <v>69781921.215263128</v>
      </c>
      <c r="R104" s="154"/>
      <c r="S104" s="188"/>
      <c r="T104" s="235"/>
      <c r="V104" s="235"/>
      <c r="W104" s="235"/>
      <c r="X104" s="235"/>
    </row>
    <row r="105" spans="1:24" outlineLevel="1">
      <c r="A105" s="227">
        <v>42582</v>
      </c>
      <c r="B105" s="235">
        <f t="shared" si="17"/>
        <v>0</v>
      </c>
      <c r="C105" s="164">
        <f>'LSR Prepaid BPA interest'!I103</f>
        <v>217717.84436750627</v>
      </c>
      <c r="D105" s="159">
        <f>'LSR Prepaid BPA interest'!H103</f>
        <v>-506260</v>
      </c>
      <c r="E105" s="236"/>
      <c r="F105" s="237">
        <f t="shared" si="11"/>
        <v>0</v>
      </c>
      <c r="G105" s="238">
        <f t="shared" si="18"/>
        <v>0</v>
      </c>
      <c r="H105" s="236">
        <f t="shared" si="22"/>
        <v>217717.84436750627</v>
      </c>
      <c r="I105" s="237">
        <f t="shared" si="16"/>
        <v>-217717.84436750627</v>
      </c>
      <c r="J105" s="238">
        <f t="shared" si="19"/>
        <v>0</v>
      </c>
      <c r="K105" s="236"/>
      <c r="L105" s="237">
        <f t="shared" si="24"/>
        <v>-12089.916321001487</v>
      </c>
      <c r="M105" s="238">
        <f t="shared" si="20"/>
        <v>4250460.8056403194</v>
      </c>
      <c r="N105" s="236">
        <f>'LSR Prepaid BPA interest'!G103</f>
        <v>0</v>
      </c>
      <c r="O105" s="237">
        <f t="shared" si="23"/>
        <v>-276452.23931149225</v>
      </c>
      <c r="P105" s="238">
        <f t="shared" si="21"/>
        <v>67843102.784434155</v>
      </c>
      <c r="Q105" s="240">
        <f t="shared" si="25"/>
        <v>69507391.838296637</v>
      </c>
      <c r="R105" s="154"/>
      <c r="S105" s="188"/>
      <c r="T105" s="235"/>
      <c r="V105" s="235"/>
      <c r="W105" s="235"/>
      <c r="X105" s="235"/>
    </row>
    <row r="106" spans="1:24" outlineLevel="1">
      <c r="A106" s="227">
        <v>42613</v>
      </c>
      <c r="B106" s="235">
        <f t="shared" si="17"/>
        <v>0</v>
      </c>
      <c r="C106" s="164">
        <f>'LSR Prepaid BPA interest'!I104</f>
        <v>216184.34121709532</v>
      </c>
      <c r="D106" s="159">
        <f>'LSR Prepaid BPA interest'!H104</f>
        <v>-506260</v>
      </c>
      <c r="E106" s="236"/>
      <c r="F106" s="237">
        <f t="shared" si="11"/>
        <v>0</v>
      </c>
      <c r="G106" s="238">
        <f t="shared" si="18"/>
        <v>0</v>
      </c>
      <c r="H106" s="236">
        <f t="shared" si="22"/>
        <v>216184.34121709532</v>
      </c>
      <c r="I106" s="237">
        <f t="shared" si="16"/>
        <v>-216184.34121709532</v>
      </c>
      <c r="J106" s="238">
        <f t="shared" si="19"/>
        <v>0</v>
      </c>
      <c r="K106" s="236"/>
      <c r="L106" s="237">
        <f t="shared" si="24"/>
        <v>-12154.170103003706</v>
      </c>
      <c r="M106" s="238">
        <f t="shared" si="20"/>
        <v>4238306.6355373161</v>
      </c>
      <c r="N106" s="236">
        <f>'LSR Prepaid BPA interest'!G104</f>
        <v>0</v>
      </c>
      <c r="O106" s="237">
        <f t="shared" si="23"/>
        <v>-277921.48867990094</v>
      </c>
      <c r="P106" s="238">
        <f t="shared" si="21"/>
        <v>67565181.295754254</v>
      </c>
      <c r="Q106" s="240">
        <f t="shared" si="25"/>
        <v>69231759.863504082</v>
      </c>
      <c r="R106" s="154"/>
      <c r="S106" s="188"/>
      <c r="T106" s="235"/>
      <c r="V106" s="235"/>
      <c r="W106" s="235"/>
      <c r="X106" s="235"/>
    </row>
    <row r="107" spans="1:24" outlineLevel="1">
      <c r="A107" s="227">
        <v>42643</v>
      </c>
      <c r="B107" s="235">
        <f t="shared" si="17"/>
        <v>0</v>
      </c>
      <c r="C107" s="164">
        <f>'LSR Prepaid BPA interest'!I105</f>
        <v>207726.61748388808</v>
      </c>
      <c r="D107" s="159">
        <f>'LSR Prepaid BPA interest'!H105</f>
        <v>-506260</v>
      </c>
      <c r="E107" s="236"/>
      <c r="F107" s="237">
        <f t="shared" si="11"/>
        <v>0</v>
      </c>
      <c r="G107" s="238">
        <f t="shared" si="18"/>
        <v>0</v>
      </c>
      <c r="H107" s="236">
        <f t="shared" si="22"/>
        <v>207726.61748388808</v>
      </c>
      <c r="I107" s="237">
        <f t="shared" si="16"/>
        <v>-207726.61748388808</v>
      </c>
      <c r="J107" s="238">
        <f t="shared" si="19"/>
        <v>0</v>
      </c>
      <c r="K107" s="236"/>
      <c r="L107" s="237">
        <f t="shared" si="24"/>
        <v>-12508.54872742509</v>
      </c>
      <c r="M107" s="238">
        <f t="shared" si="20"/>
        <v>4225798.0868098913</v>
      </c>
      <c r="N107" s="236">
        <f>'LSR Prepaid BPA interest'!G105</f>
        <v>0</v>
      </c>
      <c r="O107" s="237">
        <f t="shared" si="23"/>
        <v>-286024.83378868684</v>
      </c>
      <c r="P107" s="238">
        <f t="shared" si="21"/>
        <v>67279156.461965561</v>
      </c>
      <c r="Q107" s="240">
        <f t="shared" si="25"/>
        <v>68955037.893921509</v>
      </c>
      <c r="R107" s="154"/>
      <c r="S107" s="188"/>
      <c r="T107" s="235"/>
      <c r="V107" s="235"/>
      <c r="W107" s="235"/>
      <c r="X107" s="235"/>
    </row>
    <row r="108" spans="1:24" outlineLevel="1">
      <c r="A108" s="227">
        <v>42674</v>
      </c>
      <c r="B108" s="235">
        <f t="shared" si="17"/>
        <v>0</v>
      </c>
      <c r="C108" s="164">
        <f>'LSR Prepaid BPA interest'!I106</f>
        <v>215060.88129738177</v>
      </c>
      <c r="D108" s="159">
        <f>'LSR Prepaid BPA interest'!H106</f>
        <v>-506260</v>
      </c>
      <c r="E108" s="236"/>
      <c r="F108" s="237">
        <f t="shared" si="11"/>
        <v>0</v>
      </c>
      <c r="G108" s="238">
        <f t="shared" si="18"/>
        <v>0</v>
      </c>
      <c r="H108" s="236">
        <f t="shared" si="22"/>
        <v>215060.88129738177</v>
      </c>
      <c r="I108" s="237">
        <f t="shared" si="16"/>
        <v>-215060.88129738177</v>
      </c>
      <c r="J108" s="238">
        <f t="shared" si="19"/>
        <v>0</v>
      </c>
      <c r="K108" s="236"/>
      <c r="L108" s="237">
        <f t="shared" si="24"/>
        <v>-12201.243073639704</v>
      </c>
      <c r="M108" s="238">
        <f t="shared" si="20"/>
        <v>4213596.8437362518</v>
      </c>
      <c r="N108" s="236">
        <f>'LSR Prepaid BPA interest'!G106</f>
        <v>0</v>
      </c>
      <c r="O108" s="237">
        <f t="shared" si="23"/>
        <v>-278997.87562897854</v>
      </c>
      <c r="P108" s="238">
        <f t="shared" si="21"/>
        <v>67000158.586336583</v>
      </c>
      <c r="Q108" s="240">
        <f t="shared" si="25"/>
        <v>68677221.369697988</v>
      </c>
      <c r="R108" s="154"/>
      <c r="S108" s="188"/>
      <c r="T108" s="235"/>
      <c r="V108" s="235"/>
      <c r="W108" s="235"/>
      <c r="X108" s="235"/>
    </row>
    <row r="109" spans="1:24" outlineLevel="1">
      <c r="A109" s="227">
        <v>42704</v>
      </c>
      <c r="B109" s="235">
        <f t="shared" si="17"/>
        <v>0</v>
      </c>
      <c r="C109" s="164">
        <f>'LSR Prepaid BPA interest'!I107</f>
        <v>206639.39820674597</v>
      </c>
      <c r="D109" s="159">
        <f>'LSR Prepaid BPA interest'!H107</f>
        <v>-506260</v>
      </c>
      <c r="E109" s="236"/>
      <c r="F109" s="237">
        <f t="shared" si="11"/>
        <v>0</v>
      </c>
      <c r="G109" s="238">
        <f t="shared" si="18"/>
        <v>0</v>
      </c>
      <c r="H109" s="236">
        <f t="shared" si="22"/>
        <v>206639.39820674597</v>
      </c>
      <c r="I109" s="237">
        <f t="shared" si="16"/>
        <v>-206639.39820674597</v>
      </c>
      <c r="J109" s="238">
        <f t="shared" si="19"/>
        <v>0</v>
      </c>
      <c r="K109" s="236"/>
      <c r="L109" s="237">
        <f t="shared" si="24"/>
        <v>-12554.103215137344</v>
      </c>
      <c r="M109" s="238">
        <f t="shared" si="20"/>
        <v>4201042.7405211143</v>
      </c>
      <c r="N109" s="236">
        <f>'LSR Prepaid BPA interest'!G107</f>
        <v>0</v>
      </c>
      <c r="O109" s="237">
        <f t="shared" si="23"/>
        <v>-287066.49857811665</v>
      </c>
      <c r="P109" s="238">
        <f t="shared" si="21"/>
        <v>66713092.087758467</v>
      </c>
      <c r="Q109" s="240">
        <f t="shared" si="25"/>
        <v>68398442.00678508</v>
      </c>
      <c r="R109" s="154"/>
      <c r="S109" s="188"/>
      <c r="T109" s="235"/>
      <c r="V109" s="235"/>
      <c r="W109" s="235"/>
      <c r="X109" s="235"/>
    </row>
    <row r="110" spans="1:24" ht="12.75" customHeight="1" outlineLevel="1">
      <c r="A110" s="227">
        <v>42735</v>
      </c>
      <c r="B110" s="235">
        <f t="shared" si="17"/>
        <v>0</v>
      </c>
      <c r="C110" s="164">
        <f>'LSR Prepaid BPA interest'!I108</f>
        <v>211993.87499655987</v>
      </c>
      <c r="D110" s="159">
        <f>'LSR Prepaid BPA interest'!H108</f>
        <v>-506260</v>
      </c>
      <c r="E110" s="236"/>
      <c r="F110" s="237">
        <f t="shared" si="11"/>
        <v>0</v>
      </c>
      <c r="G110" s="238">
        <f t="shared" si="18"/>
        <v>0</v>
      </c>
      <c r="H110" s="236">
        <f t="shared" si="22"/>
        <v>211993.87499655987</v>
      </c>
      <c r="I110" s="237">
        <f t="shared" si="16"/>
        <v>-211993.87499655987</v>
      </c>
      <c r="J110" s="238">
        <f t="shared" si="19"/>
        <v>0</v>
      </c>
      <c r="K110" s="236"/>
      <c r="L110" s="237">
        <f t="shared" si="24"/>
        <v>-12329.750637644142</v>
      </c>
      <c r="M110" s="238">
        <f t="shared" si="20"/>
        <v>4188712.9898834703</v>
      </c>
      <c r="N110" s="236">
        <f>'LSR Prepaid BPA interest'!G108</f>
        <v>0</v>
      </c>
      <c r="O110" s="237">
        <f t="shared" si="23"/>
        <v>-281936.37436579599</v>
      </c>
      <c r="P110" s="238">
        <f t="shared" si="21"/>
        <v>66431155.713392667</v>
      </c>
      <c r="Q110" s="240">
        <f t="shared" si="25"/>
        <v>68118835.536016092</v>
      </c>
      <c r="R110" s="154"/>
      <c r="S110" s="188"/>
      <c r="T110" s="235"/>
      <c r="V110" s="235"/>
      <c r="W110" s="235"/>
      <c r="X110" s="235"/>
    </row>
    <row r="111" spans="1:24" ht="12.75" customHeight="1" outlineLevel="1">
      <c r="A111" s="227">
        <v>42766</v>
      </c>
      <c r="B111" s="235">
        <f t="shared" si="17"/>
        <v>0</v>
      </c>
      <c r="C111" s="164">
        <f>'LSR Prepaid BPA interest'!I109</f>
        <v>212379.88352458255</v>
      </c>
      <c r="D111" s="159">
        <f>'LSR Prepaid BPA interest'!H109</f>
        <v>-506260</v>
      </c>
      <c r="E111" s="236"/>
      <c r="F111" s="237">
        <f t="shared" si="11"/>
        <v>0</v>
      </c>
      <c r="G111" s="238">
        <f t="shared" si="18"/>
        <v>0</v>
      </c>
      <c r="H111" s="236">
        <f t="shared" si="22"/>
        <v>212379.88352458255</v>
      </c>
      <c r="I111" s="237">
        <f t="shared" si="16"/>
        <v>-212379.88352458255</v>
      </c>
      <c r="J111" s="238">
        <f t="shared" si="19"/>
        <v>0</v>
      </c>
      <c r="K111" s="236"/>
      <c r="L111" s="237">
        <f t="shared" si="24"/>
        <v>-12313.576880319992</v>
      </c>
      <c r="M111" s="238">
        <f t="shared" si="20"/>
        <v>4176399.4130031504</v>
      </c>
      <c r="N111" s="236">
        <f>'LSR Prepaid BPA interest'!G109</f>
        <v>0</v>
      </c>
      <c r="O111" s="237">
        <f t="shared" si="23"/>
        <v>-281566.53959509742</v>
      </c>
      <c r="P111" s="238">
        <f t="shared" si="21"/>
        <v>66149589.17379757</v>
      </c>
      <c r="Q111" s="240">
        <f t="shared" si="25"/>
        <v>67838384.61964348</v>
      </c>
      <c r="R111" s="154"/>
      <c r="S111" s="188"/>
      <c r="T111" s="235"/>
      <c r="V111" s="235"/>
      <c r="W111" s="235"/>
      <c r="X111" s="235"/>
    </row>
    <row r="112" spans="1:24" ht="12.75" customHeight="1" outlineLevel="1">
      <c r="A112" s="227">
        <v>42794</v>
      </c>
      <c r="B112" s="235">
        <f t="shared" si="17"/>
        <v>0</v>
      </c>
      <c r="C112" s="164">
        <f>'LSR Prepaid BPA interest'!I110</f>
        <v>190441.89195086466</v>
      </c>
      <c r="D112" s="159">
        <f>'LSR Prepaid BPA interest'!H110</f>
        <v>-506260</v>
      </c>
      <c r="E112" s="236"/>
      <c r="F112" s="237">
        <f t="shared" si="11"/>
        <v>0</v>
      </c>
      <c r="G112" s="238">
        <f t="shared" si="18"/>
        <v>0</v>
      </c>
      <c r="H112" s="236">
        <f t="shared" si="22"/>
        <v>190441.89195086466</v>
      </c>
      <c r="I112" s="237">
        <f t="shared" si="16"/>
        <v>-190441.89195086466</v>
      </c>
      <c r="J112" s="238">
        <f t="shared" si="19"/>
        <v>0</v>
      </c>
      <c r="K112" s="236"/>
      <c r="L112" s="237">
        <f t="shared" si="24"/>
        <v>-13232.778727258768</v>
      </c>
      <c r="M112" s="238">
        <f t="shared" si="20"/>
        <v>4163166.6342758918</v>
      </c>
      <c r="N112" s="236">
        <f>'LSR Prepaid BPA interest'!G110</f>
        <v>0</v>
      </c>
      <c r="O112" s="237">
        <f t="shared" si="23"/>
        <v>-302585.32932187652</v>
      </c>
      <c r="P112" s="238">
        <f t="shared" si="21"/>
        <v>65847003.844475694</v>
      </c>
      <c r="Q112" s="240">
        <f t="shared" si="25"/>
        <v>67556841.319742128</v>
      </c>
      <c r="R112" s="312"/>
      <c r="S112" s="188"/>
      <c r="T112" s="235"/>
      <c r="V112" s="235"/>
      <c r="W112" s="235"/>
      <c r="X112" s="235"/>
    </row>
    <row r="113" spans="1:24" ht="12.75" customHeight="1" outlineLevel="1">
      <c r="A113" s="227">
        <v>42825</v>
      </c>
      <c r="B113" s="235">
        <f t="shared" si="17"/>
        <v>0</v>
      </c>
      <c r="C113" s="164">
        <f>'LSR Prepaid BPA interest'!I111</f>
        <v>209312.87722376062</v>
      </c>
      <c r="D113" s="159">
        <f>'LSR Prepaid BPA interest'!H111</f>
        <v>-506260</v>
      </c>
      <c r="E113" s="236"/>
      <c r="F113" s="237">
        <f t="shared" si="11"/>
        <v>0</v>
      </c>
      <c r="G113" s="238">
        <f t="shared" si="18"/>
        <v>0</v>
      </c>
      <c r="H113" s="236">
        <f t="shared" si="22"/>
        <v>209312.87722376062</v>
      </c>
      <c r="I113" s="237">
        <f t="shared" si="16"/>
        <v>-209312.87722376062</v>
      </c>
      <c r="J113" s="238">
        <f t="shared" si="19"/>
        <v>0</v>
      </c>
      <c r="K113" s="236"/>
      <c r="L113" s="237">
        <f t="shared" si="24"/>
        <v>-12442.084444324431</v>
      </c>
      <c r="M113" s="238">
        <f t="shared" si="20"/>
        <v>4150724.5498315673</v>
      </c>
      <c r="N113" s="236">
        <f>'LSR Prepaid BPA interest'!G111</f>
        <v>0</v>
      </c>
      <c r="O113" s="237">
        <f t="shared" si="23"/>
        <v>-284505.03833191498</v>
      </c>
      <c r="P113" s="238">
        <f t="shared" si="21"/>
        <v>65562498.806143776</v>
      </c>
      <c r="Q113" s="240">
        <f t="shared" si="25"/>
        <v>67274205.636312053</v>
      </c>
      <c r="R113" s="312"/>
      <c r="S113" s="188"/>
      <c r="T113" s="235"/>
      <c r="V113" s="235"/>
      <c r="W113" s="235"/>
      <c r="X113" s="235"/>
    </row>
    <row r="114" spans="1:24" ht="12.75" customHeight="1" outlineLevel="1">
      <c r="A114" s="227">
        <v>42855</v>
      </c>
      <c r="B114" s="235">
        <f t="shared" si="17"/>
        <v>0</v>
      </c>
      <c r="C114" s="164">
        <f>'LSR Prepaid BPA interest'!I112</f>
        <v>202871.20669239946</v>
      </c>
      <c r="D114" s="159">
        <f>'LSR Prepaid BPA interest'!H112</f>
        <v>-506260</v>
      </c>
      <c r="E114" s="236"/>
      <c r="F114" s="237">
        <f t="shared" si="11"/>
        <v>0</v>
      </c>
      <c r="G114" s="238">
        <f t="shared" si="18"/>
        <v>0</v>
      </c>
      <c r="H114" s="236">
        <f t="shared" si="22"/>
        <v>202871.20669239946</v>
      </c>
      <c r="I114" s="237">
        <f t="shared" si="16"/>
        <v>-202871.20669239946</v>
      </c>
      <c r="J114" s="238">
        <f t="shared" si="19"/>
        <v>0</v>
      </c>
      <c r="K114" s="236"/>
      <c r="L114" s="237">
        <f t="shared" si="24"/>
        <v>-12711.990439588462</v>
      </c>
      <c r="M114" s="238">
        <f t="shared" si="20"/>
        <v>4138012.5593919787</v>
      </c>
      <c r="N114" s="236">
        <f>'LSR Prepaid BPA interest'!G112</f>
        <v>0</v>
      </c>
      <c r="O114" s="237">
        <v>-340068</v>
      </c>
      <c r="P114" s="238">
        <f t="shared" si="21"/>
        <v>65222430.806143776</v>
      </c>
      <c r="Q114" s="240">
        <f t="shared" si="25"/>
        <v>66988672.99775476</v>
      </c>
      <c r="R114" s="312"/>
      <c r="S114" s="188"/>
      <c r="T114" s="235"/>
      <c r="V114" s="235"/>
      <c r="W114" s="235"/>
      <c r="X114" s="235"/>
    </row>
    <row r="115" spans="1:24" ht="12.75" customHeight="1" outlineLevel="1">
      <c r="A115" s="227">
        <v>42886</v>
      </c>
      <c r="B115" s="235">
        <f t="shared" si="17"/>
        <v>0</v>
      </c>
      <c r="C115" s="164">
        <f>'LSR Prepaid BPA interest'!I113</f>
        <v>208100.07709840179</v>
      </c>
      <c r="D115" s="159">
        <f>'LSR Prepaid BPA interest'!H113</f>
        <v>-506260</v>
      </c>
      <c r="E115" s="236"/>
      <c r="F115" s="237">
        <f t="shared" si="11"/>
        <v>0</v>
      </c>
      <c r="G115" s="238">
        <f t="shared" si="18"/>
        <v>0</v>
      </c>
      <c r="H115" s="236">
        <f t="shared" si="22"/>
        <v>208100.07709840179</v>
      </c>
      <c r="I115" s="237">
        <f t="shared" si="16"/>
        <v>-208100.07709840179</v>
      </c>
      <c r="J115" s="238">
        <f t="shared" si="19"/>
        <v>0</v>
      </c>
      <c r="K115" s="236"/>
      <c r="L115" s="237">
        <f t="shared" si="24"/>
        <v>-12492.900769576965</v>
      </c>
      <c r="M115" s="238">
        <f t="shared" si="20"/>
        <v>4125519.6586224018</v>
      </c>
      <c r="N115" s="236">
        <f>'LSR Prepaid BPA interest'!G113</f>
        <v>0</v>
      </c>
      <c r="O115" s="237">
        <v>-236275</v>
      </c>
      <c r="P115" s="238">
        <f t="shared" si="21"/>
        <v>64986155.806143776</v>
      </c>
      <c r="Q115" s="240">
        <f t="shared" si="25"/>
        <v>66702296.811402507</v>
      </c>
      <c r="R115" s="312"/>
      <c r="S115" s="188"/>
      <c r="T115" s="235"/>
      <c r="V115" s="235"/>
      <c r="W115" s="235"/>
      <c r="X115" s="235"/>
    </row>
    <row r="116" spans="1:24" ht="12.75" customHeight="1" outlineLevel="1">
      <c r="A116" s="227">
        <v>42916</v>
      </c>
      <c r="B116" s="235">
        <f t="shared" si="17"/>
        <v>0</v>
      </c>
      <c r="C116" s="164">
        <f>'LSR Prepaid BPA interest'!I114</f>
        <v>199903.1360787008</v>
      </c>
      <c r="D116" s="159">
        <f>'LSR Prepaid BPA interest'!H114</f>
        <v>-506260</v>
      </c>
      <c r="E116" s="236"/>
      <c r="F116" s="237">
        <f t="shared" si="11"/>
        <v>0</v>
      </c>
      <c r="G116" s="238">
        <f t="shared" si="18"/>
        <v>0</v>
      </c>
      <c r="H116" s="236">
        <f t="shared" si="22"/>
        <v>199903.1360787008</v>
      </c>
      <c r="I116" s="237">
        <f t="shared" si="16"/>
        <v>-199903.1360787008</v>
      </c>
      <c r="J116" s="238">
        <f t="shared" si="19"/>
        <v>0</v>
      </c>
      <c r="K116" s="236"/>
      <c r="L116" s="237">
        <f t="shared" si="24"/>
        <v>-12836.352598302437</v>
      </c>
      <c r="M116" s="238">
        <f t="shared" si="20"/>
        <v>4112683.3060240992</v>
      </c>
      <c r="N116" s="236">
        <f>'LSR Prepaid BPA interest'!G114</f>
        <v>0</v>
      </c>
      <c r="O116" s="237">
        <f t="shared" si="23"/>
        <v>-293520.51132299675</v>
      </c>
      <c r="P116" s="238">
        <f t="shared" si="21"/>
        <v>64692635.294820778</v>
      </c>
      <c r="Q116" s="240">
        <f t="shared" si="25"/>
        <v>66417135.043802448</v>
      </c>
      <c r="R116" s="312"/>
      <c r="S116" s="188"/>
      <c r="T116" s="235"/>
      <c r="V116" s="235"/>
      <c r="W116" s="235"/>
      <c r="X116" s="235"/>
    </row>
    <row r="117" spans="1:24" ht="12.75" customHeight="1" outlineLevel="1">
      <c r="A117" s="227">
        <v>42947</v>
      </c>
      <c r="B117" s="235">
        <f t="shared" si="17"/>
        <v>0</v>
      </c>
      <c r="C117" s="164">
        <f>'LSR Prepaid BPA interest'!I115</f>
        <v>206883.45962422102</v>
      </c>
      <c r="D117" s="159">
        <f>'LSR Prepaid BPA interest'!H115</f>
        <v>-506260</v>
      </c>
      <c r="E117" s="236"/>
      <c r="F117" s="237">
        <f t="shared" si="11"/>
        <v>0</v>
      </c>
      <c r="G117" s="238">
        <f t="shared" si="18"/>
        <v>0</v>
      </c>
      <c r="H117" s="236">
        <f t="shared" si="22"/>
        <v>206883.45962422102</v>
      </c>
      <c r="I117" s="237">
        <f t="shared" si="16"/>
        <v>-206883.45962422102</v>
      </c>
      <c r="J117" s="238">
        <f t="shared" si="19"/>
        <v>0</v>
      </c>
      <c r="K117" s="236"/>
      <c r="L117" s="237">
        <f t="shared" si="24"/>
        <v>-12543.87704174514</v>
      </c>
      <c r="M117" s="238">
        <f t="shared" si="20"/>
        <v>4100139.4289823542</v>
      </c>
      <c r="N117" s="236">
        <f>'LSR Prepaid BPA interest'!G115</f>
        <v>0</v>
      </c>
      <c r="O117" s="237">
        <f t="shared" si="23"/>
        <v>-286832.6633340338</v>
      </c>
      <c r="P117" s="238">
        <f t="shared" si="21"/>
        <v>64405802.631486744</v>
      </c>
      <c r="Q117" s="240">
        <f t="shared" si="25"/>
        <v>66131125.882057779</v>
      </c>
      <c r="R117" s="312"/>
      <c r="S117" s="188"/>
      <c r="T117" s="235"/>
      <c r="V117" s="235"/>
      <c r="W117" s="235"/>
      <c r="X117" s="235"/>
    </row>
    <row r="118" spans="1:24" ht="12.75" customHeight="1" outlineLevel="1">
      <c r="A118" s="227">
        <v>42978</v>
      </c>
      <c r="B118" s="235">
        <f t="shared" si="17"/>
        <v>0</v>
      </c>
      <c r="C118" s="164">
        <f>'LSR Prepaid BPA interest'!I116</f>
        <v>205349.95647381005</v>
      </c>
      <c r="D118" s="159">
        <f>'LSR Prepaid BPA interest'!H116</f>
        <v>-506260</v>
      </c>
      <c r="E118" s="236"/>
      <c r="F118" s="237">
        <f t="shared" ref="F118:F181" si="26">-MIN(ABS(D118),ABS(G117))</f>
        <v>0</v>
      </c>
      <c r="G118" s="238">
        <f t="shared" si="18"/>
        <v>0</v>
      </c>
      <c r="H118" s="236">
        <f t="shared" si="22"/>
        <v>205349.95647381005</v>
      </c>
      <c r="I118" s="237">
        <f t="shared" si="16"/>
        <v>-205349.95647381005</v>
      </c>
      <c r="J118" s="238">
        <f t="shared" si="19"/>
        <v>0</v>
      </c>
      <c r="K118" s="236"/>
      <c r="L118" s="237">
        <f t="shared" si="24"/>
        <v>-12608.13082374736</v>
      </c>
      <c r="M118" s="238">
        <f t="shared" si="20"/>
        <v>4087531.298158607</v>
      </c>
      <c r="N118" s="236">
        <f>'LSR Prepaid BPA interest'!G116</f>
        <v>0</v>
      </c>
      <c r="O118" s="237">
        <f t="shared" si="23"/>
        <v>-288301.91270244261</v>
      </c>
      <c r="P118" s="238">
        <f t="shared" si="21"/>
        <v>64117500.718784302</v>
      </c>
      <c r="Q118" s="240">
        <f t="shared" si="25"/>
        <v>65844251.684977889</v>
      </c>
      <c r="R118" s="312"/>
      <c r="S118" s="188"/>
      <c r="T118" s="235"/>
      <c r="V118" s="235"/>
      <c r="W118" s="235"/>
      <c r="X118" s="235"/>
    </row>
    <row r="119" spans="1:24" ht="12.75" customHeight="1" outlineLevel="1">
      <c r="A119" s="227">
        <v>43008</v>
      </c>
      <c r="B119" s="235">
        <f t="shared" si="17"/>
        <v>0</v>
      </c>
      <c r="C119" s="164">
        <f>'LSR Prepaid BPA interest'!I117</f>
        <v>197241.72902264429</v>
      </c>
      <c r="D119" s="159">
        <f>'LSR Prepaid BPA interest'!H117</f>
        <v>-506260</v>
      </c>
      <c r="E119" s="236"/>
      <c r="F119" s="237">
        <f t="shared" si="26"/>
        <v>0</v>
      </c>
      <c r="G119" s="238">
        <f t="shared" si="18"/>
        <v>0</v>
      </c>
      <c r="H119" s="236">
        <f t="shared" si="22"/>
        <v>197241.72902264429</v>
      </c>
      <c r="I119" s="237">
        <f t="shared" si="16"/>
        <v>-197241.72902264429</v>
      </c>
      <c r="J119" s="238">
        <f t="shared" si="19"/>
        <v>0</v>
      </c>
      <c r="K119" s="236"/>
      <c r="L119" s="237">
        <f t="shared" si="24"/>
        <v>-12947.865553951204</v>
      </c>
      <c r="M119" s="238">
        <f t="shared" si="20"/>
        <v>4074583.4326046556</v>
      </c>
      <c r="N119" s="236">
        <f>'LSR Prepaid BPA interest'!G117</f>
        <v>0</v>
      </c>
      <c r="O119" s="237">
        <f t="shared" si="23"/>
        <v>-296070.40542340447</v>
      </c>
      <c r="P119" s="238">
        <f t="shared" si="21"/>
        <v>63821430.3133609</v>
      </c>
      <c r="Q119" s="240">
        <f t="shared" si="25"/>
        <v>65556526.404745616</v>
      </c>
      <c r="R119" s="312"/>
      <c r="S119" s="188"/>
      <c r="T119" s="235"/>
      <c r="V119" s="235"/>
      <c r="W119" s="235"/>
      <c r="X119" s="235"/>
    </row>
    <row r="120" spans="1:24" ht="12.75" customHeight="1" outlineLevel="1">
      <c r="A120" s="227">
        <v>43039</v>
      </c>
      <c r="B120" s="235">
        <f t="shared" si="17"/>
        <v>0</v>
      </c>
      <c r="C120" s="164">
        <f>'LSR Prepaid BPA interest'!I118</f>
        <v>204129.32155868353</v>
      </c>
      <c r="D120" s="159">
        <f>'LSR Prepaid BPA interest'!H118</f>
        <v>-500140</v>
      </c>
      <c r="E120" s="236"/>
      <c r="F120" s="237">
        <f t="shared" si="26"/>
        <v>0</v>
      </c>
      <c r="G120" s="238">
        <f t="shared" si="18"/>
        <v>0</v>
      </c>
      <c r="H120" s="236">
        <f t="shared" si="22"/>
        <v>204129.32155868353</v>
      </c>
      <c r="I120" s="237">
        <f t="shared" si="16"/>
        <v>-204129.32155868353</v>
      </c>
      <c r="J120" s="238">
        <f t="shared" si="19"/>
        <v>0</v>
      </c>
      <c r="K120" s="236"/>
      <c r="L120" s="237">
        <f t="shared" si="24"/>
        <v>-12402.84742669116</v>
      </c>
      <c r="M120" s="238">
        <f t="shared" si="20"/>
        <v>4062180.5851779645</v>
      </c>
      <c r="N120" s="236">
        <f>'LSR Prepaid BPA interest'!G118</f>
        <v>0</v>
      </c>
      <c r="O120" s="237">
        <v>-289472</v>
      </c>
      <c r="P120" s="238">
        <f t="shared" si="21"/>
        <v>63531958.3133609</v>
      </c>
      <c r="Q120" s="240">
        <f t="shared" si="25"/>
        <v>65267946.13717977</v>
      </c>
      <c r="R120" s="312"/>
      <c r="S120" s="188"/>
      <c r="T120" s="235"/>
      <c r="V120" s="235"/>
      <c r="W120" s="235"/>
      <c r="X120" s="235"/>
    </row>
    <row r="121" spans="1:24" ht="12.75" customHeight="1" outlineLevel="1">
      <c r="A121" s="227">
        <v>43069</v>
      </c>
      <c r="B121" s="235">
        <f t="shared" si="17"/>
        <v>0</v>
      </c>
      <c r="C121" s="164">
        <f>'LSR Prepaid BPA interest'!I119</f>
        <v>196078.54095459342</v>
      </c>
      <c r="D121" s="159">
        <f>'LSR Prepaid BPA interest'!H119</f>
        <v>-500140</v>
      </c>
      <c r="E121" s="236"/>
      <c r="F121" s="237">
        <f t="shared" si="26"/>
        <v>0</v>
      </c>
      <c r="G121" s="238">
        <f t="shared" si="18"/>
        <v>0</v>
      </c>
      <c r="H121" s="236">
        <f t="shared" si="22"/>
        <v>196078.54095459342</v>
      </c>
      <c r="I121" s="237">
        <f t="shared" si="16"/>
        <v>-196078.54095459342</v>
      </c>
      <c r="J121" s="238">
        <f t="shared" si="19"/>
        <v>0</v>
      </c>
      <c r="K121" s="236"/>
      <c r="L121" s="237">
        <f t="shared" si="24"/>
        <v>-12740.175134002535</v>
      </c>
      <c r="M121" s="238">
        <f t="shared" si="20"/>
        <v>4049440.4100439618</v>
      </c>
      <c r="N121" s="236">
        <f>'LSR Prepaid BPA interest'!G119</f>
        <v>0</v>
      </c>
      <c r="O121" s="237">
        <f t="shared" si="23"/>
        <v>-291321.28391140403</v>
      </c>
      <c r="P121" s="238">
        <f t="shared" si="21"/>
        <v>63240637.029449493</v>
      </c>
      <c r="Q121" s="240">
        <f t="shared" si="25"/>
        <v>64978752.165042914</v>
      </c>
      <c r="R121" s="312"/>
      <c r="S121" s="188"/>
      <c r="T121" s="235"/>
      <c r="V121" s="235"/>
      <c r="W121" s="235"/>
      <c r="X121" s="235"/>
    </row>
    <row r="122" spans="1:24" ht="12.75" customHeight="1" outlineLevel="1" thickBot="1">
      <c r="A122" s="227">
        <v>43100</v>
      </c>
      <c r="B122" s="235">
        <f t="shared" si="17"/>
        <v>0</v>
      </c>
      <c r="C122" s="164">
        <f>'LSR Prepaid BPA interest'!I120</f>
        <v>201099.66308080955</v>
      </c>
      <c r="D122" s="159">
        <f>'LSR Prepaid BPA interest'!H120</f>
        <v>-500140</v>
      </c>
      <c r="E122" s="236"/>
      <c r="F122" s="237">
        <f t="shared" si="26"/>
        <v>0</v>
      </c>
      <c r="G122" s="238">
        <f t="shared" si="18"/>
        <v>0</v>
      </c>
      <c r="H122" s="236">
        <f t="shared" si="22"/>
        <v>201099.66308080955</v>
      </c>
      <c r="I122" s="237">
        <f t="shared" si="16"/>
        <v>-201099.66308080955</v>
      </c>
      <c r="J122" s="238">
        <f t="shared" si="19"/>
        <v>0</v>
      </c>
      <c r="K122" s="236"/>
      <c r="L122" s="237">
        <f t="shared" si="24"/>
        <v>-12529.79011691408</v>
      </c>
      <c r="M122" s="238">
        <f t="shared" si="20"/>
        <v>4036910.6199270478</v>
      </c>
      <c r="N122" s="236">
        <f>'LSR Prepaid BPA interest'!G120</f>
        <v>0</v>
      </c>
      <c r="O122" s="237">
        <f t="shared" si="23"/>
        <v>-286510.5468022764</v>
      </c>
      <c r="P122" s="238">
        <f t="shared" si="21"/>
        <v>62954126.482647218</v>
      </c>
      <c r="Q122" s="240">
        <f t="shared" si="25"/>
        <v>64689190.319665641</v>
      </c>
      <c r="R122" s="312"/>
      <c r="S122" s="188"/>
      <c r="T122" s="235"/>
      <c r="V122" s="235"/>
      <c r="W122" s="235"/>
      <c r="X122" s="235"/>
    </row>
    <row r="123" spans="1:24" ht="12.6" customHeight="1">
      <c r="A123" s="227">
        <v>43131</v>
      </c>
      <c r="B123" s="235">
        <f t="shared" si="17"/>
        <v>0</v>
      </c>
      <c r="C123" s="164">
        <f>'LSR Prepaid BPA interest'!I121</f>
        <v>201406.08033557987</v>
      </c>
      <c r="D123" s="159">
        <f>'LSR Prepaid BPA interest'!H121</f>
        <v>-500140</v>
      </c>
      <c r="E123" s="236"/>
      <c r="F123" s="237">
        <f t="shared" si="26"/>
        <v>0</v>
      </c>
      <c r="G123" s="238">
        <f t="shared" si="18"/>
        <v>0</v>
      </c>
      <c r="H123" s="236">
        <f t="shared" si="22"/>
        <v>201406.08033557987</v>
      </c>
      <c r="I123" s="237">
        <f t="shared" si="16"/>
        <v>-201406.08033557987</v>
      </c>
      <c r="J123" s="238">
        <f t="shared" si="19"/>
        <v>0</v>
      </c>
      <c r="K123" s="236"/>
      <c r="L123" s="237">
        <f t="shared" si="24"/>
        <v>-12516.951233939204</v>
      </c>
      <c r="M123" s="238">
        <f t="shared" si="20"/>
        <v>4024393.6686931085</v>
      </c>
      <c r="N123" s="236">
        <f>'LSR Prepaid BPA interest'!G121</f>
        <v>0</v>
      </c>
      <c r="O123" s="930">
        <f t="shared" si="23"/>
        <v>-286216.96843048092</v>
      </c>
      <c r="P123" s="238">
        <f t="shared" si="21"/>
        <v>62667909.514216736</v>
      </c>
      <c r="Q123" s="240">
        <f t="shared" si="25"/>
        <v>64399244.115902044</v>
      </c>
      <c r="R123" s="312"/>
      <c r="S123" s="188"/>
      <c r="T123" s="235"/>
      <c r="V123" s="235"/>
      <c r="W123" s="235"/>
      <c r="X123" s="235"/>
    </row>
    <row r="124" spans="1:24" ht="12.75" customHeight="1">
      <c r="A124" s="227">
        <v>43159</v>
      </c>
      <c r="B124" s="235">
        <f t="shared" si="17"/>
        <v>0</v>
      </c>
      <c r="C124" s="164">
        <f>'LSR Prepaid BPA interest'!I122</f>
        <v>180546.93647438713</v>
      </c>
      <c r="D124" s="159">
        <f>'LSR Prepaid BPA interest'!H122</f>
        <v>-500140</v>
      </c>
      <c r="E124" s="236"/>
      <c r="F124" s="237">
        <f t="shared" si="26"/>
        <v>0</v>
      </c>
      <c r="G124" s="238">
        <f t="shared" si="18"/>
        <v>0</v>
      </c>
      <c r="H124" s="236">
        <f t="shared" si="22"/>
        <v>180546.93647438713</v>
      </c>
      <c r="I124" s="237">
        <f t="shared" si="16"/>
        <v>-180546.93647438713</v>
      </c>
      <c r="J124" s="238">
        <f t="shared" si="19"/>
        <v>0</v>
      </c>
      <c r="K124" s="236"/>
      <c r="L124" s="237">
        <f t="shared" si="24"/>
        <v>-13390.94936172318</v>
      </c>
      <c r="M124" s="238">
        <f t="shared" si="20"/>
        <v>4011002.7193313851</v>
      </c>
      <c r="N124" s="236">
        <f>'LSR Prepaid BPA interest'!G122</f>
        <v>0</v>
      </c>
      <c r="O124" s="667">
        <f t="shared" si="23"/>
        <v>-306202.11416388967</v>
      </c>
      <c r="P124" s="238">
        <f t="shared" si="21"/>
        <v>62361707.400052845</v>
      </c>
      <c r="Q124" s="240">
        <f t="shared" si="25"/>
        <v>64108953.444901891</v>
      </c>
      <c r="R124" s="312"/>
      <c r="S124" s="188"/>
      <c r="T124" s="235"/>
      <c r="V124" s="235"/>
      <c r="W124" s="235"/>
      <c r="X124" s="235"/>
    </row>
    <row r="125" spans="1:24" ht="12.75" customHeight="1">
      <c r="A125" s="227">
        <v>43190</v>
      </c>
      <c r="B125" s="235">
        <f t="shared" si="17"/>
        <v>0</v>
      </c>
      <c r="C125" s="164">
        <f>'LSR Prepaid BPA interest'!I123</f>
        <v>198376.42185770589</v>
      </c>
      <c r="D125" s="159">
        <f>'LSR Prepaid BPA interest'!H123</f>
        <v>-500140</v>
      </c>
      <c r="E125" s="236"/>
      <c r="F125" s="237">
        <f t="shared" si="26"/>
        <v>0</v>
      </c>
      <c r="G125" s="238">
        <f t="shared" si="18"/>
        <v>0</v>
      </c>
      <c r="H125" s="236">
        <f t="shared" si="22"/>
        <v>198376.42185770589</v>
      </c>
      <c r="I125" s="237">
        <f t="shared" si="16"/>
        <v>-198376.42185770589</v>
      </c>
      <c r="J125" s="238">
        <f t="shared" si="19"/>
        <v>0</v>
      </c>
      <c r="K125" s="236"/>
      <c r="L125" s="237">
        <f t="shared" si="24"/>
        <v>-12643.893924162121</v>
      </c>
      <c r="M125" s="238">
        <f t="shared" si="20"/>
        <v>3998358.8254072228</v>
      </c>
      <c r="N125" s="236">
        <f>'LSR Prepaid BPA interest'!G123</f>
        <v>0</v>
      </c>
      <c r="O125" s="667">
        <f t="shared" si="23"/>
        <v>-289119.68421813194</v>
      </c>
      <c r="P125" s="238">
        <f t="shared" si="21"/>
        <v>62072587.715834714</v>
      </c>
      <c r="Q125" s="240">
        <f t="shared" si="25"/>
        <v>63818319.797621392</v>
      </c>
      <c r="R125" s="312"/>
      <c r="S125" s="188"/>
      <c r="T125" s="235"/>
      <c r="V125" s="235"/>
      <c r="W125" s="235"/>
      <c r="X125" s="235"/>
    </row>
    <row r="126" spans="1:24" ht="12.75" customHeight="1">
      <c r="A126" s="227">
        <v>43220</v>
      </c>
      <c r="B126" s="235">
        <f t="shared" si="17"/>
        <v>0</v>
      </c>
      <c r="C126" s="164">
        <f>'LSR Prepaid BPA interest'!I124</f>
        <v>192212.22625586277</v>
      </c>
      <c r="D126" s="159">
        <f>'LSR Prepaid BPA interest'!H124</f>
        <v>-500140</v>
      </c>
      <c r="E126" s="236"/>
      <c r="F126" s="237">
        <f t="shared" si="26"/>
        <v>0</v>
      </c>
      <c r="G126" s="238">
        <f t="shared" si="18"/>
        <v>0</v>
      </c>
      <c r="H126" s="236">
        <f t="shared" si="22"/>
        <v>192212.22625586277</v>
      </c>
      <c r="I126" s="237">
        <f t="shared" si="16"/>
        <v>-192212.22625586277</v>
      </c>
      <c r="J126" s="238">
        <f t="shared" si="19"/>
        <v>0</v>
      </c>
      <c r="K126" s="236"/>
      <c r="L126" s="237">
        <f t="shared" si="24"/>
        <v>-12902.173719879351</v>
      </c>
      <c r="M126" s="238">
        <f t="shared" si="20"/>
        <v>3985456.6516873436</v>
      </c>
      <c r="N126" s="236">
        <f>'LSR Prepaid BPA interest'!G124</f>
        <v>0</v>
      </c>
      <c r="O126" s="667">
        <f t="shared" si="23"/>
        <v>-295025.6000242579</v>
      </c>
      <c r="P126" s="238">
        <f t="shared" si="21"/>
        <v>61777562.115810454</v>
      </c>
      <c r="Q126" s="240">
        <f t="shared" si="25"/>
        <v>63529370.64009463</v>
      </c>
      <c r="R126" s="312"/>
      <c r="S126" s="188"/>
      <c r="T126" s="235"/>
      <c r="V126" s="235"/>
      <c r="W126" s="235"/>
      <c r="X126" s="235"/>
    </row>
    <row r="127" spans="1:24" ht="12.75" customHeight="1">
      <c r="A127" s="227">
        <v>43251</v>
      </c>
      <c r="B127" s="235">
        <f t="shared" si="17"/>
        <v>0</v>
      </c>
      <c r="C127" s="164">
        <f>'LSR Prepaid BPA interest'!I125</f>
        <v>197104.47122545453</v>
      </c>
      <c r="D127" s="159">
        <f>'LSR Prepaid BPA interest'!H125</f>
        <v>-500140</v>
      </c>
      <c r="E127" s="236"/>
      <c r="F127" s="237">
        <f t="shared" si="26"/>
        <v>0</v>
      </c>
      <c r="G127" s="238">
        <f t="shared" si="18"/>
        <v>0</v>
      </c>
      <c r="H127" s="236">
        <f t="shared" si="22"/>
        <v>197104.47122545453</v>
      </c>
      <c r="I127" s="237">
        <f t="shared" si="16"/>
        <v>-197104.47122545453</v>
      </c>
      <c r="J127" s="238">
        <f t="shared" si="19"/>
        <v>0</v>
      </c>
      <c r="K127" s="236"/>
      <c r="L127" s="237">
        <f t="shared" si="24"/>
        <v>-12697.188655653455</v>
      </c>
      <c r="M127" s="238">
        <f t="shared" si="20"/>
        <v>3972759.4630316901</v>
      </c>
      <c r="N127" s="236">
        <f>'LSR Prepaid BPA interest'!G125</f>
        <v>0</v>
      </c>
      <c r="O127" s="667">
        <f t="shared" si="23"/>
        <v>-290338.34011889203</v>
      </c>
      <c r="P127" s="238">
        <f t="shared" si="21"/>
        <v>61487223.775691561</v>
      </c>
      <c r="Q127" s="240">
        <f t="shared" si="25"/>
        <v>63240045.610061906</v>
      </c>
      <c r="R127" s="312"/>
      <c r="S127" s="188"/>
      <c r="T127" s="235"/>
      <c r="V127" s="235"/>
      <c r="W127" s="235"/>
      <c r="X127" s="235"/>
    </row>
    <row r="128" spans="1:24" ht="12.75" customHeight="1">
      <c r="A128" s="227">
        <v>43281</v>
      </c>
      <c r="B128" s="235">
        <f t="shared" si="17"/>
        <v>0</v>
      </c>
      <c r="C128" s="164">
        <f>'LSR Prepaid BPA interest'!I126</f>
        <v>189280.29869662988</v>
      </c>
      <c r="D128" s="164">
        <f>'LSR Prepaid BPA interest'!H126</f>
        <v>-500140</v>
      </c>
      <c r="E128" s="236"/>
      <c r="F128" s="237">
        <f t="shared" si="26"/>
        <v>0</v>
      </c>
      <c r="G128" s="238">
        <f t="shared" si="18"/>
        <v>0</v>
      </c>
      <c r="H128" s="236">
        <f t="shared" si="22"/>
        <v>189280.29869662988</v>
      </c>
      <c r="I128" s="237">
        <f t="shared" si="16"/>
        <v>-189280.29869662988</v>
      </c>
      <c r="J128" s="238">
        <f t="shared" si="19"/>
        <v>0</v>
      </c>
      <c r="K128" s="236"/>
      <c r="L128" s="237">
        <f t="shared" si="24"/>
        <v>-13025.021484611209</v>
      </c>
      <c r="M128" s="238">
        <f t="shared" si="20"/>
        <v>3959734.441547079</v>
      </c>
      <c r="N128" s="236">
        <f>'LSR Prepaid BPA interest'!G126</f>
        <v>0</v>
      </c>
      <c r="O128" s="667">
        <f t="shared" si="23"/>
        <v>-297834.67981875892</v>
      </c>
      <c r="P128" s="238">
        <f t="shared" si="21"/>
        <v>61189389.095872805</v>
      </c>
      <c r="Q128" s="240">
        <f t="shared" si="25"/>
        <v>62948288.183836877</v>
      </c>
      <c r="R128" s="312"/>
      <c r="S128" s="188"/>
      <c r="T128" s="235"/>
      <c r="V128" s="235"/>
      <c r="W128" s="235"/>
      <c r="X128" s="235"/>
    </row>
    <row r="129" spans="1:24" ht="12.75" customHeight="1">
      <c r="A129" s="227">
        <v>43312</v>
      </c>
      <c r="B129" s="235">
        <f t="shared" si="17"/>
        <v>0</v>
      </c>
      <c r="C129" s="164">
        <f>'LSR Prepaid BPA interest'!I127</f>
        <v>195827.27335335387</v>
      </c>
      <c r="D129" s="159">
        <f>'LSR Prepaid BPA interest'!H127</f>
        <v>-500140</v>
      </c>
      <c r="E129" s="236"/>
      <c r="F129" s="237">
        <f t="shared" si="26"/>
        <v>0</v>
      </c>
      <c r="G129" s="238">
        <f t="shared" si="18"/>
        <v>0</v>
      </c>
      <c r="H129" s="236">
        <f t="shared" si="22"/>
        <v>195827.27335335387</v>
      </c>
      <c r="I129" s="237">
        <f t="shared" si="16"/>
        <v>-195827.27335335387</v>
      </c>
      <c r="J129" s="238">
        <f t="shared" si="19"/>
        <v>0</v>
      </c>
      <c r="K129" s="236"/>
      <c r="L129" s="237">
        <f t="shared" si="24"/>
        <v>-12750.703246494473</v>
      </c>
      <c r="M129" s="238">
        <f t="shared" si="20"/>
        <v>3946983.7383005847</v>
      </c>
      <c r="N129" s="236">
        <f>'LSR Prepaid BPA interest'!G127</f>
        <v>0</v>
      </c>
      <c r="O129" s="667">
        <f t="shared" si="23"/>
        <v>-291562.02340015169</v>
      </c>
      <c r="P129" s="238">
        <f t="shared" si="21"/>
        <v>60897827.072472654</v>
      </c>
      <c r="Q129" s="240">
        <f t="shared" si="25"/>
        <v>62656153.943921797</v>
      </c>
      <c r="R129" s="312"/>
      <c r="S129" s="188"/>
      <c r="T129" s="235"/>
      <c r="V129" s="235"/>
      <c r="W129" s="235"/>
      <c r="X129" s="235"/>
    </row>
    <row r="130" spans="1:24" ht="12.75" customHeight="1">
      <c r="A130" s="227">
        <v>43343</v>
      </c>
      <c r="B130" s="235">
        <f t="shared" si="17"/>
        <v>0</v>
      </c>
      <c r="C130" s="164">
        <f>'LSR Prepaid BPA interest'!I128</f>
        <v>194312.4441144169</v>
      </c>
      <c r="D130" s="159">
        <f>'LSR Prepaid BPA interest'!H128</f>
        <v>-500140</v>
      </c>
      <c r="E130" s="236"/>
      <c r="F130" s="237">
        <f t="shared" si="26"/>
        <v>0</v>
      </c>
      <c r="G130" s="238">
        <f t="shared" si="18"/>
        <v>0</v>
      </c>
      <c r="H130" s="236">
        <f t="shared" si="22"/>
        <v>194312.4441144169</v>
      </c>
      <c r="I130" s="237">
        <f t="shared" si="16"/>
        <v>-194312.4441144169</v>
      </c>
      <c r="J130" s="238">
        <f t="shared" si="19"/>
        <v>0</v>
      </c>
      <c r="K130" s="236"/>
      <c r="L130" s="237">
        <f t="shared" si="24"/>
        <v>-12814.174591605932</v>
      </c>
      <c r="M130" s="238">
        <f t="shared" si="20"/>
        <v>3934169.5637089787</v>
      </c>
      <c r="N130" s="236">
        <f>'LSR Prepaid BPA interest'!G128</f>
        <v>0</v>
      </c>
      <c r="O130" s="667">
        <f t="shared" si="23"/>
        <v>-293013.38129397715</v>
      </c>
      <c r="P130" s="238">
        <f t="shared" si="21"/>
        <v>60604813.691178679</v>
      </c>
      <c r="Q130" s="240">
        <f t="shared" si="25"/>
        <v>62363626.336145975</v>
      </c>
      <c r="R130" s="312"/>
      <c r="S130" s="188"/>
      <c r="T130" s="235"/>
      <c r="V130" s="235"/>
      <c r="W130" s="235"/>
      <c r="X130" s="235"/>
    </row>
    <row r="131" spans="1:24" ht="12.75" customHeight="1">
      <c r="A131" s="227">
        <v>43373</v>
      </c>
      <c r="B131" s="235">
        <f t="shared" si="17"/>
        <v>0</v>
      </c>
      <c r="C131" s="164">
        <f>'LSR Prepaid BPA interest'!I129</f>
        <v>186578.33697627086</v>
      </c>
      <c r="D131" s="159">
        <f>'LSR Prepaid BPA interest'!H129</f>
        <v>-500140</v>
      </c>
      <c r="E131" s="236"/>
      <c r="F131" s="237">
        <f t="shared" si="26"/>
        <v>0</v>
      </c>
      <c r="G131" s="238">
        <f t="shared" si="18"/>
        <v>0</v>
      </c>
      <c r="H131" s="236">
        <f t="shared" si="22"/>
        <v>186578.33697627086</v>
      </c>
      <c r="I131" s="237">
        <f t="shared" ref="I131:I194" si="27">-J130-H131</f>
        <v>-186578.33697627086</v>
      </c>
      <c r="J131" s="238">
        <f t="shared" si="19"/>
        <v>0</v>
      </c>
      <c r="K131" s="236"/>
      <c r="L131" s="237">
        <f t="shared" si="24"/>
        <v>-13138.233680694249</v>
      </c>
      <c r="M131" s="238">
        <f t="shared" si="20"/>
        <v>3921031.3300282843</v>
      </c>
      <c r="N131" s="236">
        <f>'LSR Prepaid BPA interest'!G129</f>
        <v>0</v>
      </c>
      <c r="O131" s="667">
        <f t="shared" si="23"/>
        <v>-300423.42934303486</v>
      </c>
      <c r="P131" s="238">
        <f t="shared" si="21"/>
        <v>60304390.261835642</v>
      </c>
      <c r="Q131" s="240">
        <f t="shared" si="25"/>
        <v>62070721.041182198</v>
      </c>
      <c r="R131" s="312"/>
      <c r="S131" s="188"/>
      <c r="T131" s="235"/>
      <c r="V131" s="235"/>
      <c r="W131" s="235"/>
      <c r="X131" s="235"/>
    </row>
    <row r="132" spans="1:24" ht="12.75" customHeight="1">
      <c r="A132" s="227">
        <v>43404</v>
      </c>
      <c r="B132" s="235">
        <f t="shared" si="17"/>
        <v>0</v>
      </c>
      <c r="C132" s="164">
        <f>'LSR Prepaid BPA interest'!I130</f>
        <v>193029.55528403097</v>
      </c>
      <c r="D132" s="159">
        <f>'LSR Prepaid BPA interest'!H130</f>
        <v>-500140</v>
      </c>
      <c r="E132" s="236"/>
      <c r="F132" s="237">
        <f t="shared" si="26"/>
        <v>0</v>
      </c>
      <c r="G132" s="238">
        <f t="shared" si="18"/>
        <v>0</v>
      </c>
      <c r="H132" s="236">
        <f t="shared" si="22"/>
        <v>193029.55528403097</v>
      </c>
      <c r="I132" s="237">
        <f t="shared" si="27"/>
        <v>-193029.55528403097</v>
      </c>
      <c r="J132" s="238">
        <f t="shared" si="19"/>
        <v>0</v>
      </c>
      <c r="K132" s="236"/>
      <c r="L132" s="237">
        <f t="shared" si="24"/>
        <v>-12867.927633599102</v>
      </c>
      <c r="M132" s="238">
        <f t="shared" si="20"/>
        <v>3908163.4023946854</v>
      </c>
      <c r="N132" s="236">
        <f>'LSR Prepaid BPA interest'!G130</f>
        <v>0</v>
      </c>
      <c r="O132" s="667">
        <f t="shared" si="23"/>
        <v>-294242.51708236989</v>
      </c>
      <c r="P132" s="238">
        <f t="shared" si="21"/>
        <v>60010147.744753271</v>
      </c>
      <c r="Q132" s="240">
        <f t="shared" si="25"/>
        <v>61777435.598676659</v>
      </c>
      <c r="R132" s="312"/>
      <c r="S132" s="188"/>
      <c r="T132" s="235"/>
      <c r="V132" s="235"/>
      <c r="W132" s="235"/>
      <c r="X132" s="235"/>
    </row>
    <row r="133" spans="1:24" ht="12.75" customHeight="1">
      <c r="A133" s="227">
        <v>43434</v>
      </c>
      <c r="B133" s="235">
        <f t="shared" si="17"/>
        <v>0</v>
      </c>
      <c r="C133" s="164">
        <f>'LSR Prepaid BPA interest'!I131</f>
        <v>185336.83165654258</v>
      </c>
      <c r="D133" s="159">
        <f>'LSR Prepaid BPA interest'!H131</f>
        <v>-500140</v>
      </c>
      <c r="E133" s="236"/>
      <c r="F133" s="237">
        <f t="shared" si="26"/>
        <v>0</v>
      </c>
      <c r="G133" s="238">
        <f t="shared" si="18"/>
        <v>0</v>
      </c>
      <c r="H133" s="236">
        <f t="shared" si="22"/>
        <v>185336.83165654258</v>
      </c>
      <c r="I133" s="237">
        <f t="shared" si="27"/>
        <v>-185336.83165654258</v>
      </c>
      <c r="J133" s="238">
        <f t="shared" si="19"/>
        <v>0</v>
      </c>
      <c r="K133" s="236"/>
      <c r="L133" s="237">
        <f t="shared" si="24"/>
        <v>-13190.252753590865</v>
      </c>
      <c r="M133" s="238">
        <f t="shared" si="20"/>
        <v>3894973.1496410947</v>
      </c>
      <c r="N133" s="236">
        <f>'LSR Prepaid BPA interest'!G131</f>
        <v>0</v>
      </c>
      <c r="O133" s="667">
        <f t="shared" si="23"/>
        <v>-301612.91558986652</v>
      </c>
      <c r="P133" s="238">
        <f t="shared" si="21"/>
        <v>59708534.829163402</v>
      </c>
      <c r="Q133" s="240">
        <f t="shared" si="25"/>
        <v>61483522.566639423</v>
      </c>
      <c r="R133" s="312"/>
      <c r="S133" s="188"/>
      <c r="T133" s="235"/>
      <c r="V133" s="235"/>
      <c r="W133" s="235"/>
      <c r="X133" s="235"/>
    </row>
    <row r="134" spans="1:24" ht="12.75" customHeight="1" thickBot="1">
      <c r="A134" s="227">
        <v>43465</v>
      </c>
      <c r="B134" s="235">
        <f t="shared" si="17"/>
        <v>0</v>
      </c>
      <c r="C134" s="164">
        <f>'LSR Prepaid BPA interest'!I132</f>
        <v>189999.89680615702</v>
      </c>
      <c r="D134" s="159">
        <f>'LSR Prepaid BPA interest'!H132</f>
        <v>-500140</v>
      </c>
      <c r="E134" s="236"/>
      <c r="F134" s="237">
        <f t="shared" si="26"/>
        <v>0</v>
      </c>
      <c r="G134" s="238">
        <f t="shared" si="18"/>
        <v>0</v>
      </c>
      <c r="H134" s="236">
        <f t="shared" si="22"/>
        <v>189999.89680615702</v>
      </c>
      <c r="I134" s="237">
        <f t="shared" si="27"/>
        <v>-189999.89680615702</v>
      </c>
      <c r="J134" s="238">
        <f t="shared" si="19"/>
        <v>0</v>
      </c>
      <c r="K134" s="236"/>
      <c r="L134" s="237">
        <f t="shared" si="24"/>
        <v>-12994.870323822021</v>
      </c>
      <c r="M134" s="238">
        <f t="shared" si="20"/>
        <v>3881978.2793172728</v>
      </c>
      <c r="N134" s="236">
        <f>'LSR Prepaid BPA interest'!G132</f>
        <v>0</v>
      </c>
      <c r="O134" s="931">
        <f t="shared" si="23"/>
        <v>-297145.23287002096</v>
      </c>
      <c r="P134" s="238">
        <f t="shared" si="21"/>
        <v>59411389.596293382</v>
      </c>
      <c r="Q134" s="240">
        <f t="shared" si="25"/>
        <v>61188737.604696095</v>
      </c>
      <c r="R134" s="312"/>
      <c r="S134" s="188"/>
      <c r="T134" s="235"/>
      <c r="V134" s="235"/>
      <c r="W134" s="235"/>
      <c r="X134" s="235"/>
    </row>
    <row r="135" spans="1:24" ht="12.75" customHeight="1">
      <c r="A135" s="227">
        <v>43496</v>
      </c>
      <c r="B135" s="235">
        <f t="shared" si="17"/>
        <v>0</v>
      </c>
      <c r="C135" s="164">
        <f>'LSR Prepaid BPA interest'!I133</f>
        <v>190206.54128467015</v>
      </c>
      <c r="D135" s="159">
        <f>'LSR Prepaid BPA interest'!H133</f>
        <v>-500140</v>
      </c>
      <c r="E135" s="236"/>
      <c r="F135" s="237">
        <f t="shared" si="26"/>
        <v>0</v>
      </c>
      <c r="G135" s="238">
        <f t="shared" si="18"/>
        <v>0</v>
      </c>
      <c r="H135" s="236">
        <f t="shared" si="22"/>
        <v>190206.54128467015</v>
      </c>
      <c r="I135" s="237">
        <f t="shared" si="27"/>
        <v>-190206.54128467015</v>
      </c>
      <c r="J135" s="238">
        <f t="shared" si="19"/>
        <v>0</v>
      </c>
      <c r="K135" s="236"/>
      <c r="L135" s="237">
        <f t="shared" si="24"/>
        <v>-12986.211920172322</v>
      </c>
      <c r="M135" s="238">
        <f t="shared" si="20"/>
        <v>3868992.0673971004</v>
      </c>
      <c r="N135" s="236">
        <f>'LSR Prepaid BPA interest'!G133</f>
        <v>0</v>
      </c>
      <c r="O135" s="237">
        <f t="shared" si="23"/>
        <v>-296947.24679515755</v>
      </c>
      <c r="P135" s="238">
        <f t="shared" si="21"/>
        <v>59114442.349498227</v>
      </c>
      <c r="Q135" s="240">
        <f t="shared" si="25"/>
        <v>60893062.435901403</v>
      </c>
      <c r="R135" s="312"/>
      <c r="S135" s="188"/>
      <c r="T135" s="235"/>
      <c r="V135" s="235"/>
      <c r="W135" s="235"/>
      <c r="X135" s="235"/>
    </row>
    <row r="136" spans="1:24" ht="12.75" customHeight="1">
      <c r="A136" s="227">
        <v>43524</v>
      </c>
      <c r="B136" s="235">
        <f t="shared" ref="B136:B199" si="28">E136+K136+H136-C136</f>
        <v>0</v>
      </c>
      <c r="C136" s="164">
        <f>'LSR Prepaid BPA interest'!I134</f>
        <v>170431.22378324287</v>
      </c>
      <c r="D136" s="159">
        <f>'LSR Prepaid BPA interest'!H134</f>
        <v>-500140</v>
      </c>
      <c r="E136" s="236"/>
      <c r="F136" s="237">
        <f t="shared" si="26"/>
        <v>0</v>
      </c>
      <c r="G136" s="238">
        <f t="shared" si="18"/>
        <v>0</v>
      </c>
      <c r="H136" s="236">
        <f t="shared" si="22"/>
        <v>170431.22378324287</v>
      </c>
      <c r="I136" s="237">
        <f t="shared" si="27"/>
        <v>-170431.22378324287</v>
      </c>
      <c r="J136" s="238">
        <f t="shared" si="19"/>
        <v>0</v>
      </c>
      <c r="K136" s="236"/>
      <c r="L136" s="237">
        <f t="shared" si="24"/>
        <v>-13814.797723482125</v>
      </c>
      <c r="M136" s="238">
        <f t="shared" si="20"/>
        <v>3855177.2696736185</v>
      </c>
      <c r="N136" s="236">
        <f>'LSR Prepaid BPA interest'!G134</f>
        <v>0</v>
      </c>
      <c r="O136" s="237">
        <f t="shared" si="23"/>
        <v>-315893.978493275</v>
      </c>
      <c r="P136" s="238">
        <f t="shared" si="21"/>
        <v>58798548.371004954</v>
      </c>
      <c r="Q136" s="240">
        <f t="shared" si="25"/>
        <v>60596536.344494469</v>
      </c>
      <c r="R136" s="154"/>
      <c r="S136" s="188"/>
      <c r="T136" s="235"/>
      <c r="V136" s="235"/>
      <c r="W136" s="235"/>
      <c r="X136" s="235"/>
    </row>
    <row r="137" spans="1:24" ht="12.75" customHeight="1">
      <c r="A137" s="227">
        <v>43555</v>
      </c>
      <c r="B137" s="235">
        <f t="shared" si="28"/>
        <v>0</v>
      </c>
      <c r="C137" s="164">
        <f>'LSR Prepaid BPA interest'!I135</f>
        <v>187176.88280679617</v>
      </c>
      <c r="D137" s="159">
        <f>'LSR Prepaid BPA interest'!H135</f>
        <v>-500140</v>
      </c>
      <c r="E137" s="236"/>
      <c r="F137" s="237">
        <f t="shared" si="26"/>
        <v>0</v>
      </c>
      <c r="G137" s="238">
        <f t="shared" ref="G137:G200" si="29">G136+E137+F137</f>
        <v>0</v>
      </c>
      <c r="H137" s="236">
        <f t="shared" si="22"/>
        <v>187176.88280679617</v>
      </c>
      <c r="I137" s="237">
        <f t="shared" si="27"/>
        <v>-187176.88280679617</v>
      </c>
      <c r="J137" s="238">
        <f t="shared" ref="J137:J200" si="30">J136+H137+I137</f>
        <v>0</v>
      </c>
      <c r="K137" s="236"/>
      <c r="L137" s="237">
        <f t="shared" si="24"/>
        <v>-13113.154610395241</v>
      </c>
      <c r="M137" s="238">
        <f t="shared" ref="M137:M200" si="31">M136+K137+L137</f>
        <v>3842064.1150632231</v>
      </c>
      <c r="N137" s="236">
        <f>'LSR Prepaid BPA interest'!G135</f>
        <v>0</v>
      </c>
      <c r="O137" s="237">
        <f t="shared" si="23"/>
        <v>-299849.96258280857</v>
      </c>
      <c r="P137" s="238">
        <f t="shared" si="21"/>
        <v>58498698.408422142</v>
      </c>
      <c r="Q137" s="240">
        <f t="shared" si="25"/>
        <v>60299159.330475293</v>
      </c>
      <c r="R137" s="154"/>
      <c r="S137" s="188"/>
      <c r="T137" s="235"/>
      <c r="V137" s="235"/>
      <c r="W137" s="235"/>
      <c r="X137" s="235"/>
    </row>
    <row r="138" spans="1:24" ht="12.75" customHeight="1">
      <c r="A138" s="227">
        <v>43585</v>
      </c>
      <c r="B138" s="235">
        <f t="shared" si="28"/>
        <v>0</v>
      </c>
      <c r="C138" s="164">
        <f>'LSR Prepaid BPA interest'!I136</f>
        <v>181278.65833221088</v>
      </c>
      <c r="D138" s="159">
        <f>'LSR Prepaid BPA interest'!H136</f>
        <v>-500140</v>
      </c>
      <c r="E138" s="236"/>
      <c r="F138" s="237">
        <f t="shared" si="26"/>
        <v>0</v>
      </c>
      <c r="G138" s="238">
        <f t="shared" si="29"/>
        <v>0</v>
      </c>
      <c r="H138" s="236">
        <f t="shared" si="22"/>
        <v>181278.65833221088</v>
      </c>
      <c r="I138" s="237">
        <f t="shared" si="27"/>
        <v>-181278.65833221088</v>
      </c>
      <c r="J138" s="238">
        <f t="shared" si="30"/>
        <v>0</v>
      </c>
      <c r="K138" s="236"/>
      <c r="L138" s="237">
        <f t="shared" si="24"/>
        <v>-13360.290215880364</v>
      </c>
      <c r="M138" s="238">
        <f t="shared" si="31"/>
        <v>3828703.8248473429</v>
      </c>
      <c r="N138" s="236">
        <f>'LSR Prepaid BPA interest'!G136</f>
        <v>0</v>
      </c>
      <c r="O138" s="237">
        <f t="shared" si="23"/>
        <v>-305501.05145190877</v>
      </c>
      <c r="P138" s="238">
        <f t="shared" si="21"/>
        <v>58193197.356970236</v>
      </c>
      <c r="Q138" s="240">
        <f t="shared" si="25"/>
        <v>60000898.74438142</v>
      </c>
      <c r="R138" s="154"/>
      <c r="S138" s="188"/>
      <c r="T138" s="235"/>
      <c r="V138" s="235"/>
      <c r="W138" s="235"/>
      <c r="X138" s="235"/>
    </row>
    <row r="139" spans="1:24" ht="12.75" customHeight="1">
      <c r="A139" s="227">
        <v>43616</v>
      </c>
      <c r="B139" s="235">
        <f t="shared" si="28"/>
        <v>0</v>
      </c>
      <c r="C139" s="164">
        <f>'LSR Prepaid BPA interest'!I137</f>
        <v>185806.45103768088</v>
      </c>
      <c r="D139" s="159">
        <f>'LSR Prepaid BPA interest'!H137</f>
        <v>-500140</v>
      </c>
      <c r="E139" s="236"/>
      <c r="F139" s="237">
        <f t="shared" si="26"/>
        <v>0</v>
      </c>
      <c r="G139" s="238">
        <f t="shared" si="29"/>
        <v>0</v>
      </c>
      <c r="H139" s="236">
        <f t="shared" si="22"/>
        <v>185806.45103768088</v>
      </c>
      <c r="I139" s="237">
        <f t="shared" si="27"/>
        <v>-185806.45103768088</v>
      </c>
      <c r="J139" s="238">
        <f t="shared" si="30"/>
        <v>0</v>
      </c>
      <c r="K139" s="236"/>
      <c r="L139" s="237">
        <f t="shared" si="24"/>
        <v>-13170.575701521173</v>
      </c>
      <c r="M139" s="238">
        <f t="shared" si="31"/>
        <v>3815533.2491458217</v>
      </c>
      <c r="N139" s="236">
        <f>'LSR Prepaid BPA interest'!G137</f>
        <v>0</v>
      </c>
      <c r="O139" s="237">
        <f t="shared" si="23"/>
        <v>-301162.97326079797</v>
      </c>
      <c r="P139" s="238">
        <f t="shared" ref="P139:P201" si="32">P138+N139+O139</f>
        <v>57892034.383709438</v>
      </c>
      <c r="Q139" s="240">
        <f t="shared" si="25"/>
        <v>59701750.654763818</v>
      </c>
      <c r="R139" s="154"/>
      <c r="S139" s="188"/>
      <c r="T139" s="235"/>
      <c r="V139" s="235"/>
      <c r="W139" s="235"/>
      <c r="X139" s="235"/>
    </row>
    <row r="140" spans="1:24" ht="12.75" customHeight="1">
      <c r="A140" s="227">
        <v>43646</v>
      </c>
      <c r="B140" s="235">
        <f t="shared" si="28"/>
        <v>0</v>
      </c>
      <c r="C140" s="164">
        <f>'LSR Prepaid BPA interest'!I138</f>
        <v>178346.73077297799</v>
      </c>
      <c r="D140" s="159">
        <f>'LSR Prepaid BPA interest'!H138</f>
        <v>-500140</v>
      </c>
      <c r="E140" s="236"/>
      <c r="F140" s="237">
        <f t="shared" si="26"/>
        <v>0</v>
      </c>
      <c r="G140" s="238">
        <f t="shared" si="29"/>
        <v>0</v>
      </c>
      <c r="H140" s="236">
        <f t="shared" si="22"/>
        <v>178346.73077297799</v>
      </c>
      <c r="I140" s="237">
        <f t="shared" si="27"/>
        <v>-178346.73077297799</v>
      </c>
      <c r="J140" s="238">
        <f t="shared" si="30"/>
        <v>0</v>
      </c>
      <c r="K140" s="236"/>
      <c r="L140" s="237">
        <f t="shared" si="24"/>
        <v>-13483.137980612222</v>
      </c>
      <c r="M140" s="238">
        <f t="shared" si="31"/>
        <v>3802050.1111652097</v>
      </c>
      <c r="N140" s="236">
        <f>'LSR Prepaid BPA interest'!G138</f>
        <v>0</v>
      </c>
      <c r="O140" s="237">
        <f t="shared" si="23"/>
        <v>-308310.13124640979</v>
      </c>
      <c r="P140" s="238">
        <f t="shared" si="32"/>
        <v>57583724.252463028</v>
      </c>
      <c r="Q140" s="240">
        <f t="shared" si="25"/>
        <v>59401715.061622478</v>
      </c>
      <c r="R140" s="154"/>
      <c r="S140" s="188"/>
      <c r="T140" s="235"/>
      <c r="V140" s="235"/>
      <c r="W140" s="235"/>
      <c r="X140" s="235"/>
    </row>
    <row r="141" spans="1:24" ht="12.75" customHeight="1">
      <c r="A141" s="227">
        <v>43677</v>
      </c>
      <c r="B141" s="235">
        <f t="shared" si="28"/>
        <v>0</v>
      </c>
      <c r="C141" s="164">
        <f>'LSR Prepaid BPA interest'!I139</f>
        <v>184428.80219570015</v>
      </c>
      <c r="D141" s="159">
        <f>'LSR Prepaid BPA interest'!H139</f>
        <v>-500140</v>
      </c>
      <c r="E141" s="236"/>
      <c r="F141" s="237">
        <f t="shared" si="26"/>
        <v>0</v>
      </c>
      <c r="G141" s="238">
        <f t="shared" si="29"/>
        <v>0</v>
      </c>
      <c r="H141" s="236">
        <f t="shared" ref="H141:H204" si="33">C141</f>
        <v>184428.80219570015</v>
      </c>
      <c r="I141" s="237">
        <f t="shared" si="27"/>
        <v>-184428.80219570015</v>
      </c>
      <c r="J141" s="238">
        <f t="shared" si="30"/>
        <v>0</v>
      </c>
      <c r="K141" s="236"/>
      <c r="L141" s="237">
        <f t="shared" si="24"/>
        <v>-13228.299188000165</v>
      </c>
      <c r="M141" s="238">
        <f t="shared" si="31"/>
        <v>3788821.8119772095</v>
      </c>
      <c r="N141" s="236">
        <f>'LSR Prepaid BPA interest'!G139</f>
        <v>0</v>
      </c>
      <c r="O141" s="237">
        <f t="shared" si="23"/>
        <v>-302482.89861629967</v>
      </c>
      <c r="P141" s="238">
        <f t="shared" si="32"/>
        <v>57281241.353846729</v>
      </c>
      <c r="Q141" s="240">
        <f t="shared" si="25"/>
        <v>59100787.954871006</v>
      </c>
      <c r="R141" s="154"/>
      <c r="S141" s="188"/>
      <c r="T141" s="235"/>
      <c r="V141" s="235"/>
      <c r="W141" s="235"/>
      <c r="X141" s="235"/>
    </row>
    <row r="142" spans="1:24" ht="12.75" customHeight="1">
      <c r="A142" s="227">
        <v>43708</v>
      </c>
      <c r="B142" s="235">
        <f t="shared" si="28"/>
        <v>0</v>
      </c>
      <c r="C142" s="164">
        <f>'LSR Prepaid BPA interest'!I140</f>
        <v>182913.97295676317</v>
      </c>
      <c r="D142" s="159">
        <f>'LSR Prepaid BPA interest'!H140</f>
        <v>-500140</v>
      </c>
      <c r="E142" s="236"/>
      <c r="F142" s="237">
        <f t="shared" si="26"/>
        <v>0</v>
      </c>
      <c r="G142" s="238">
        <f t="shared" si="29"/>
        <v>0</v>
      </c>
      <c r="H142" s="236">
        <f t="shared" si="33"/>
        <v>182913.97295676317</v>
      </c>
      <c r="I142" s="237">
        <f t="shared" si="27"/>
        <v>-182913.97295676317</v>
      </c>
      <c r="J142" s="238">
        <f t="shared" si="30"/>
        <v>0</v>
      </c>
      <c r="K142" s="236"/>
      <c r="L142" s="237">
        <f t="shared" si="24"/>
        <v>-13291.770533111623</v>
      </c>
      <c r="M142" s="238">
        <f t="shared" si="31"/>
        <v>3775530.0414440981</v>
      </c>
      <c r="N142" s="236">
        <f>'LSR Prepaid BPA interest'!G140</f>
        <v>0</v>
      </c>
      <c r="O142" s="237">
        <f t="shared" ref="O142:O201" si="34">IF((I142+L142)&gt;D142,(D142-I142)*$P$1,0)</f>
        <v>-303934.25651012518</v>
      </c>
      <c r="P142" s="238">
        <f t="shared" si="32"/>
        <v>56977307.097336605</v>
      </c>
      <c r="Q142" s="240">
        <f t="shared" si="25"/>
        <v>58798950.77518484</v>
      </c>
      <c r="R142" s="154"/>
      <c r="S142" s="188"/>
      <c r="T142" s="235"/>
      <c r="V142" s="235"/>
      <c r="W142" s="235"/>
      <c r="X142" s="235"/>
    </row>
    <row r="143" spans="1:24" ht="12.75" customHeight="1">
      <c r="A143" s="227">
        <v>43738</v>
      </c>
      <c r="B143" s="235">
        <f t="shared" si="28"/>
        <v>0</v>
      </c>
      <c r="C143" s="164">
        <f>'LSR Prepaid BPA interest'!I141</f>
        <v>175547.55843660596</v>
      </c>
      <c r="D143" s="159">
        <f>'LSR Prepaid BPA interest'!H141</f>
        <v>-500140</v>
      </c>
      <c r="E143" s="236"/>
      <c r="F143" s="237">
        <f t="shared" si="26"/>
        <v>0</v>
      </c>
      <c r="G143" s="238">
        <f t="shared" si="29"/>
        <v>0</v>
      </c>
      <c r="H143" s="236">
        <f t="shared" si="33"/>
        <v>175547.55843660596</v>
      </c>
      <c r="I143" s="237">
        <f t="shared" si="27"/>
        <v>-175547.55843660596</v>
      </c>
      <c r="J143" s="238">
        <f t="shared" si="30"/>
        <v>0</v>
      </c>
      <c r="K143" s="236"/>
      <c r="L143" s="237">
        <f t="shared" ref="L143:L200" si="35">IF((F143+I143)&gt;D143,(D143-F143-I143)*$M$1,0)</f>
        <v>-13600.423301506211</v>
      </c>
      <c r="M143" s="238">
        <f t="shared" si="31"/>
        <v>3761929.6181425918</v>
      </c>
      <c r="N143" s="236">
        <f>'LSR Prepaid BPA interest'!G141</f>
        <v>0</v>
      </c>
      <c r="O143" s="237">
        <f t="shared" si="34"/>
        <v>-310992.01826188783</v>
      </c>
      <c r="P143" s="238">
        <f t="shared" si="32"/>
        <v>56666315.079074718</v>
      </c>
      <c r="Q143" s="240">
        <f t="shared" si="25"/>
        <v>58496218.201159723</v>
      </c>
      <c r="R143" s="154"/>
      <c r="S143" s="188"/>
      <c r="T143" s="235"/>
      <c r="V143" s="235"/>
      <c r="W143" s="235"/>
      <c r="X143" s="235"/>
    </row>
    <row r="144" spans="1:24" ht="12.75" customHeight="1">
      <c r="A144" s="227">
        <v>43769</v>
      </c>
      <c r="B144" s="235">
        <f t="shared" si="28"/>
        <v>0</v>
      </c>
      <c r="C144" s="164">
        <f>'LSR Prepaid BPA interest'!I142</f>
        <v>181435.00992630637</v>
      </c>
      <c r="D144" s="159">
        <f>'LSR Prepaid BPA interest'!H142</f>
        <v>-531048.65200000012</v>
      </c>
      <c r="E144" s="236"/>
      <c r="F144" s="237">
        <f t="shared" si="26"/>
        <v>0</v>
      </c>
      <c r="G144" s="238">
        <f t="shared" si="29"/>
        <v>0</v>
      </c>
      <c r="H144" s="236">
        <f t="shared" si="33"/>
        <v>181435.00992630637</v>
      </c>
      <c r="I144" s="237">
        <f t="shared" si="27"/>
        <v>-181435.00992630637</v>
      </c>
      <c r="J144" s="238">
        <f t="shared" si="30"/>
        <v>0</v>
      </c>
      <c r="K144" s="236"/>
      <c r="L144" s="237">
        <f t="shared" si="35"/>
        <v>-14648.811602887768</v>
      </c>
      <c r="M144" s="238">
        <f t="shared" si="31"/>
        <v>3747280.8065397041</v>
      </c>
      <c r="N144" s="236">
        <f>'LSR Prepaid BPA interest'!G142</f>
        <v>0</v>
      </c>
      <c r="O144" s="237">
        <f t="shared" si="34"/>
        <v>-334964.83047080599</v>
      </c>
      <c r="P144" s="238">
        <f t="shared" si="32"/>
        <v>56331350.24860391</v>
      </c>
      <c r="Q144" s="240">
        <f t="shared" si="25"/>
        <v>58191348.506205119</v>
      </c>
      <c r="R144" s="154"/>
      <c r="S144" s="188"/>
      <c r="T144" s="235"/>
      <c r="V144" s="235"/>
      <c r="W144" s="235"/>
      <c r="X144" s="235"/>
    </row>
    <row r="145" spans="1:24" ht="12.75" customHeight="1">
      <c r="A145" s="227">
        <v>43799</v>
      </c>
      <c r="B145" s="235">
        <f t="shared" si="28"/>
        <v>0</v>
      </c>
      <c r="C145" s="164">
        <f>'LSR Prepaid BPA interest'!I143</f>
        <v>174025.70732942232</v>
      </c>
      <c r="D145" s="159">
        <f>'LSR Prepaid BPA interest'!H143</f>
        <v>-531048.65200000012</v>
      </c>
      <c r="E145" s="236"/>
      <c r="F145" s="237">
        <f t="shared" si="26"/>
        <v>0</v>
      </c>
      <c r="G145" s="238">
        <f t="shared" si="29"/>
        <v>0</v>
      </c>
      <c r="H145" s="236">
        <f t="shared" si="33"/>
        <v>174025.70732942232</v>
      </c>
      <c r="I145" s="237">
        <f t="shared" si="27"/>
        <v>-174025.70732942232</v>
      </c>
      <c r="J145" s="238">
        <f t="shared" si="30"/>
        <v>0</v>
      </c>
      <c r="K145" s="236"/>
      <c r="L145" s="237">
        <f t="shared" si="35"/>
        <v>-14959.261381697208</v>
      </c>
      <c r="M145" s="238">
        <f t="shared" si="31"/>
        <v>3732321.5451580067</v>
      </c>
      <c r="N145" s="236">
        <f>'LSR Prepaid BPA interest'!G143</f>
        <v>0</v>
      </c>
      <c r="O145" s="237">
        <f t="shared" si="34"/>
        <v>-342063.68328888057</v>
      </c>
      <c r="P145" s="238">
        <f t="shared" si="32"/>
        <v>55989286.565315031</v>
      </c>
      <c r="Q145" s="240">
        <f t="shared" si="25"/>
        <v>57883096.599538542</v>
      </c>
      <c r="R145" s="154"/>
      <c r="S145" s="188"/>
      <c r="T145" s="235"/>
      <c r="V145" s="235"/>
      <c r="W145" s="235"/>
      <c r="X145" s="235"/>
    </row>
    <row r="146" spans="1:24" ht="12.75" customHeight="1">
      <c r="A146" s="227">
        <v>43830</v>
      </c>
      <c r="B146" s="235">
        <f t="shared" si="28"/>
        <v>0</v>
      </c>
      <c r="C146" s="164">
        <f>'LSR Prepaid BPA interest'!I144</f>
        <v>178218.11855449976</v>
      </c>
      <c r="D146" s="159">
        <f>'LSR Prepaid BPA interest'!H144</f>
        <v>-531048.65200000012</v>
      </c>
      <c r="E146" s="236"/>
      <c r="F146" s="237">
        <f t="shared" si="26"/>
        <v>0</v>
      </c>
      <c r="G146" s="238">
        <f t="shared" si="29"/>
        <v>0</v>
      </c>
      <c r="H146" s="236">
        <f t="shared" si="33"/>
        <v>178218.11855449976</v>
      </c>
      <c r="I146" s="237">
        <f t="shared" si="27"/>
        <v>-178218.11855449976</v>
      </c>
      <c r="J146" s="238">
        <f t="shared" si="30"/>
        <v>0</v>
      </c>
      <c r="K146" s="236"/>
      <c r="L146" s="237">
        <f t="shared" si="35"/>
        <v>-14783.599351366465</v>
      </c>
      <c r="M146" s="238">
        <f t="shared" si="31"/>
        <v>3717537.9458066402</v>
      </c>
      <c r="N146" s="236">
        <f>'LSR Prepaid BPA interest'!G144</f>
        <v>0</v>
      </c>
      <c r="O146" s="237">
        <f t="shared" si="34"/>
        <v>-338046.9340941339</v>
      </c>
      <c r="P146" s="238">
        <f t="shared" si="32"/>
        <v>55651239.6312209</v>
      </c>
      <c r="Q146" s="240">
        <f t="shared" si="25"/>
        <v>57571455.006666847</v>
      </c>
      <c r="R146" s="154"/>
      <c r="S146" s="188"/>
      <c r="T146" s="235"/>
      <c r="V146" s="235"/>
      <c r="W146" s="235"/>
      <c r="X146" s="235"/>
    </row>
    <row r="147" spans="1:24" ht="12.75" customHeight="1">
      <c r="A147" s="227">
        <v>43861</v>
      </c>
      <c r="B147" s="235">
        <f t="shared" si="28"/>
        <v>0</v>
      </c>
      <c r="C147" s="164">
        <f>'LSR Prepaid BPA interest'!I145</f>
        <v>178226.0848826069</v>
      </c>
      <c r="D147" s="159">
        <f>'LSR Prepaid BPA interest'!H145</f>
        <v>-531048.65200000012</v>
      </c>
      <c r="E147" s="236"/>
      <c r="F147" s="237">
        <f t="shared" si="26"/>
        <v>0</v>
      </c>
      <c r="G147" s="238">
        <f t="shared" si="29"/>
        <v>0</v>
      </c>
      <c r="H147" s="236">
        <f t="shared" si="33"/>
        <v>178226.0848826069</v>
      </c>
      <c r="I147" s="237">
        <f t="shared" si="27"/>
        <v>-178226.0848826069</v>
      </c>
      <c r="J147" s="238">
        <f t="shared" si="30"/>
        <v>0</v>
      </c>
      <c r="K147" s="236"/>
      <c r="L147" s="237">
        <f t="shared" si="35"/>
        <v>-14783.265562218778</v>
      </c>
      <c r="M147" s="238">
        <f t="shared" si="31"/>
        <v>3702754.6802444216</v>
      </c>
      <c r="N147" s="236">
        <f>'LSR Prepaid BPA interest'!G145</f>
        <v>0</v>
      </c>
      <c r="O147" s="237">
        <f t="shared" si="34"/>
        <v>-338039.30155517446</v>
      </c>
      <c r="P147" s="238">
        <f t="shared" si="32"/>
        <v>55313200.329665728</v>
      </c>
      <c r="Q147" s="240">
        <f t="shared" si="25"/>
        <v>57256397.00729581</v>
      </c>
      <c r="R147" s="154"/>
      <c r="S147" s="188"/>
      <c r="T147" s="235"/>
      <c r="V147" s="235"/>
      <c r="W147" s="235"/>
      <c r="X147" s="235"/>
    </row>
    <row r="148" spans="1:24" ht="12.75" customHeight="1">
      <c r="A148" s="227">
        <v>43890</v>
      </c>
      <c r="B148" s="235">
        <f t="shared" si="28"/>
        <v>0</v>
      </c>
      <c r="C148" s="164">
        <f>'LSR Prepaid BPA interest'!I146</f>
        <v>165222.9527969163</v>
      </c>
      <c r="D148" s="159">
        <f>'LSR Prepaid BPA interest'!H146</f>
        <v>-531048.65200000012</v>
      </c>
      <c r="E148" s="236"/>
      <c r="F148" s="237">
        <f t="shared" si="26"/>
        <v>0</v>
      </c>
      <c r="G148" s="238">
        <f t="shared" si="29"/>
        <v>0</v>
      </c>
      <c r="H148" s="236">
        <f t="shared" si="33"/>
        <v>165222.9527969163</v>
      </c>
      <c r="I148" s="237">
        <f t="shared" si="27"/>
        <v>-165222.9527969163</v>
      </c>
      <c r="J148" s="238">
        <f t="shared" si="30"/>
        <v>0</v>
      </c>
      <c r="K148" s="236"/>
      <c r="L148" s="237">
        <f t="shared" si="35"/>
        <v>-15328.096796609212</v>
      </c>
      <c r="M148" s="238">
        <f t="shared" si="31"/>
        <v>3687426.5834478126</v>
      </c>
      <c r="N148" s="236">
        <f>'LSR Prepaid BPA interest'!G146</f>
        <v>0</v>
      </c>
      <c r="O148" s="237">
        <f t="shared" si="34"/>
        <v>-350497.60240647459</v>
      </c>
      <c r="P148" s="238">
        <f t="shared" si="32"/>
        <v>54962702.727259256</v>
      </c>
      <c r="Q148" s="240">
        <f t="shared" si="25"/>
        <v>56938185.021313392</v>
      </c>
      <c r="R148" s="154"/>
      <c r="S148" s="188"/>
      <c r="T148" s="235"/>
      <c r="V148" s="235"/>
      <c r="W148" s="235"/>
      <c r="X148" s="235"/>
    </row>
    <row r="149" spans="1:24" ht="12.75" customHeight="1">
      <c r="A149" s="227">
        <v>43921</v>
      </c>
      <c r="B149" s="235">
        <f t="shared" si="28"/>
        <v>0</v>
      </c>
      <c r="C149" s="164">
        <f>'LSR Prepaid BPA interest'!I147</f>
        <v>175009.19351080034</v>
      </c>
      <c r="D149" s="159">
        <f>'LSR Prepaid BPA interest'!H147</f>
        <v>-531048.65200000012</v>
      </c>
      <c r="E149" s="236"/>
      <c r="F149" s="237">
        <f t="shared" si="26"/>
        <v>0</v>
      </c>
      <c r="G149" s="238">
        <f t="shared" si="29"/>
        <v>0</v>
      </c>
      <c r="H149" s="236">
        <f t="shared" si="33"/>
        <v>175009.19351080034</v>
      </c>
      <c r="I149" s="237">
        <f t="shared" si="27"/>
        <v>-175009.19351080034</v>
      </c>
      <c r="J149" s="238">
        <f t="shared" si="30"/>
        <v>0</v>
      </c>
      <c r="K149" s="236"/>
      <c r="L149" s="237">
        <f t="shared" si="35"/>
        <v>-14918.053310697469</v>
      </c>
      <c r="M149" s="238">
        <f t="shared" si="31"/>
        <v>3672508.5301371152</v>
      </c>
      <c r="N149" s="236">
        <f>'LSR Prepaid BPA interest'!G147</f>
        <v>0</v>
      </c>
      <c r="O149" s="237">
        <f t="shared" si="34"/>
        <v>-341121.40517850226</v>
      </c>
      <c r="P149" s="238">
        <f t="shared" si="32"/>
        <v>54621581.322080754</v>
      </c>
      <c r="Q149" s="240">
        <f t="shared" ref="Q149:Q212" si="36">(P149+P137+SUM(P138:P148)*2)/24</f>
        <v>56616811.574226417</v>
      </c>
      <c r="R149" s="154"/>
      <c r="S149" s="188"/>
      <c r="T149" s="235"/>
      <c r="V149" s="235"/>
      <c r="W149" s="235"/>
      <c r="X149" s="235"/>
    </row>
    <row r="150" spans="1:24" ht="12.75" customHeight="1">
      <c r="A150" s="227">
        <v>43951</v>
      </c>
      <c r="B150" s="235">
        <f t="shared" si="28"/>
        <v>0</v>
      </c>
      <c r="C150" s="164">
        <f>'LSR Prepaid BPA interest'!I148</f>
        <v>169326.8317869422</v>
      </c>
      <c r="D150" s="159">
        <f>'LSR Prepaid BPA interest'!H148</f>
        <v>-531048.65200000012</v>
      </c>
      <c r="E150" s="236"/>
      <c r="F150" s="237">
        <f t="shared" si="26"/>
        <v>0</v>
      </c>
      <c r="G150" s="238">
        <f t="shared" si="29"/>
        <v>0</v>
      </c>
      <c r="H150" s="236">
        <f t="shared" si="33"/>
        <v>169326.8317869422</v>
      </c>
      <c r="I150" s="237">
        <f t="shared" si="27"/>
        <v>-169326.8317869422</v>
      </c>
      <c r="J150" s="238">
        <f t="shared" si="30"/>
        <v>0</v>
      </c>
      <c r="K150" s="236"/>
      <c r="L150" s="237">
        <f t="shared" si="35"/>
        <v>-15156.144266927127</v>
      </c>
      <c r="M150" s="238">
        <f t="shared" si="31"/>
        <v>3657352.385870188</v>
      </c>
      <c r="N150" s="236">
        <f>'LSR Prepaid BPA interest'!G148</f>
        <v>0</v>
      </c>
      <c r="O150" s="237">
        <f t="shared" si="34"/>
        <v>-346565.67594613077</v>
      </c>
      <c r="P150" s="238">
        <f t="shared" si="32"/>
        <v>54275015.646134622</v>
      </c>
      <c r="Q150" s="240">
        <f t="shared" si="36"/>
        <v>56292007.457677372</v>
      </c>
      <c r="R150" s="154"/>
      <c r="S150" s="188"/>
      <c r="T150" s="235"/>
      <c r="V150" s="235"/>
      <c r="W150" s="235"/>
      <c r="X150" s="235"/>
    </row>
    <row r="151" spans="1:24" ht="12.75" customHeight="1">
      <c r="A151" s="227">
        <v>43982</v>
      </c>
      <c r="B151" s="235">
        <f t="shared" si="28"/>
        <v>0</v>
      </c>
      <c r="C151" s="164">
        <f>'LSR Prepaid BPA interest'!I149</f>
        <v>173362.61382727031</v>
      </c>
      <c r="D151" s="159">
        <f>'LSR Prepaid BPA interest'!H149</f>
        <v>-531048.65200000012</v>
      </c>
      <c r="E151" s="236"/>
      <c r="F151" s="237">
        <f t="shared" si="26"/>
        <v>0</v>
      </c>
      <c r="G151" s="238">
        <f t="shared" si="29"/>
        <v>0</v>
      </c>
      <c r="H151" s="236">
        <f t="shared" si="33"/>
        <v>173362.61382727031</v>
      </c>
      <c r="I151" s="237">
        <f t="shared" si="27"/>
        <v>-173362.61382727031</v>
      </c>
      <c r="J151" s="238">
        <f t="shared" si="30"/>
        <v>0</v>
      </c>
      <c r="K151" s="236"/>
      <c r="L151" s="237">
        <f t="shared" si="35"/>
        <v>-14987.044999437378</v>
      </c>
      <c r="M151" s="238">
        <f t="shared" si="31"/>
        <v>3642365.3408707506</v>
      </c>
      <c r="N151" s="236">
        <f>'LSR Prepaid BPA interest'!G149</f>
        <v>0</v>
      </c>
      <c r="O151" s="237">
        <f t="shared" si="34"/>
        <v>-342698.99317329237</v>
      </c>
      <c r="P151" s="238">
        <f t="shared" si="32"/>
        <v>53932316.652961329</v>
      </c>
      <c r="Q151" s="240">
        <f t="shared" si="36"/>
        <v>55963761.64761138</v>
      </c>
      <c r="R151" s="154"/>
      <c r="S151" s="188"/>
      <c r="T151" s="235"/>
      <c r="V151" s="235"/>
      <c r="W151" s="235"/>
      <c r="X151" s="235"/>
    </row>
    <row r="152" spans="1:24" ht="12.75" customHeight="1">
      <c r="A152" s="227">
        <v>44012</v>
      </c>
      <c r="B152" s="235">
        <f t="shared" si="28"/>
        <v>0</v>
      </c>
      <c r="C152" s="164">
        <f>'LSR Prepaid BPA interest'!I150</f>
        <v>166213.71110454871</v>
      </c>
      <c r="D152" s="159">
        <f>'LSR Prepaid BPA interest'!H150</f>
        <v>-531048.65200000012</v>
      </c>
      <c r="E152" s="236"/>
      <c r="F152" s="237">
        <f t="shared" si="26"/>
        <v>0</v>
      </c>
      <c r="G152" s="238">
        <f t="shared" si="29"/>
        <v>0</v>
      </c>
      <c r="H152" s="236">
        <f t="shared" si="33"/>
        <v>166213.71110454871</v>
      </c>
      <c r="I152" s="237">
        <f t="shared" si="27"/>
        <v>-166213.71110454871</v>
      </c>
      <c r="J152" s="238">
        <f t="shared" si="30"/>
        <v>0</v>
      </c>
      <c r="K152" s="236"/>
      <c r="L152" s="237">
        <f t="shared" si="35"/>
        <v>-15286.584023519414</v>
      </c>
      <c r="M152" s="238">
        <f t="shared" si="31"/>
        <v>3627078.7568472312</v>
      </c>
      <c r="N152" s="236">
        <f>'LSR Prepaid BPA interest'!G150</f>
        <v>0</v>
      </c>
      <c r="O152" s="237">
        <f t="shared" si="34"/>
        <v>-349548.35687193199</v>
      </c>
      <c r="P152" s="238">
        <f t="shared" si="32"/>
        <v>53582768.296089396</v>
      </c>
      <c r="Q152" s="240">
        <f t="shared" si="36"/>
        <v>55632066.910647988</v>
      </c>
      <c r="R152" s="154"/>
      <c r="S152" s="188"/>
      <c r="T152" s="235"/>
      <c r="V152" s="235"/>
      <c r="W152" s="235"/>
      <c r="X152" s="235"/>
    </row>
    <row r="153" spans="1:24" ht="12.75" customHeight="1">
      <c r="A153" s="227">
        <v>44043</v>
      </c>
      <c r="B153" s="235">
        <f t="shared" si="28"/>
        <v>0</v>
      </c>
      <c r="C153" s="164">
        <f>'LSR Prepaid BPA interest'!I151</f>
        <v>171687.09363470337</v>
      </c>
      <c r="D153" s="159">
        <f>'LSR Prepaid BPA interest'!H151</f>
        <v>-531048.65200000012</v>
      </c>
      <c r="E153" s="236"/>
      <c r="F153" s="237">
        <f t="shared" si="26"/>
        <v>0</v>
      </c>
      <c r="G153" s="238">
        <f t="shared" si="29"/>
        <v>0</v>
      </c>
      <c r="H153" s="236">
        <f t="shared" si="33"/>
        <v>171687.09363470337</v>
      </c>
      <c r="I153" s="237">
        <f t="shared" si="27"/>
        <v>-171687.09363470337</v>
      </c>
      <c r="J153" s="238">
        <f t="shared" si="30"/>
        <v>0</v>
      </c>
      <c r="K153" s="236"/>
      <c r="L153" s="237">
        <f t="shared" si="35"/>
        <v>-15057.249295505933</v>
      </c>
      <c r="M153" s="238">
        <f t="shared" si="31"/>
        <v>3612021.507551725</v>
      </c>
      <c r="N153" s="236">
        <f>'LSR Prepaid BPA interest'!G151</f>
        <v>0</v>
      </c>
      <c r="O153" s="237">
        <f t="shared" si="34"/>
        <v>-344304.30906979082</v>
      </c>
      <c r="P153" s="238">
        <f>P152+N153+O153</f>
        <v>53238463.987019606</v>
      </c>
      <c r="Q153" s="240">
        <f t="shared" si="36"/>
        <v>55296911.355514616</v>
      </c>
      <c r="R153" s="154"/>
      <c r="S153" s="188"/>
      <c r="T153" s="235"/>
      <c r="V153" s="235"/>
      <c r="W153" s="235"/>
      <c r="X153" s="235"/>
    </row>
    <row r="154" spans="1:24" ht="12.75" customHeight="1">
      <c r="A154" s="227">
        <v>44074</v>
      </c>
      <c r="B154" s="235">
        <f t="shared" si="28"/>
        <v>0</v>
      </c>
      <c r="C154" s="164">
        <f>'LSR Prepaid BPA interest'!I152</f>
        <v>170078.64794880006</v>
      </c>
      <c r="D154" s="159">
        <f>'LSR Prepaid BPA interest'!H152</f>
        <v>-531048.65200000012</v>
      </c>
      <c r="E154" s="236"/>
      <c r="F154" s="237">
        <f t="shared" si="26"/>
        <v>0</v>
      </c>
      <c r="G154" s="238">
        <f t="shared" si="29"/>
        <v>0</v>
      </c>
      <c r="H154" s="236">
        <f t="shared" si="33"/>
        <v>170078.64794880006</v>
      </c>
      <c r="I154" s="237">
        <f t="shared" si="27"/>
        <v>-170078.64794880006</v>
      </c>
      <c r="J154" s="238">
        <f t="shared" si="30"/>
        <v>0</v>
      </c>
      <c r="K154" s="236"/>
      <c r="L154" s="237">
        <f t="shared" si="35"/>
        <v>-15124.643169745283</v>
      </c>
      <c r="M154" s="238">
        <f t="shared" si="31"/>
        <v>3596896.8643819797</v>
      </c>
      <c r="N154" s="236">
        <f>'LSR Prepaid BPA interest'!G152</f>
        <v>0</v>
      </c>
      <c r="O154" s="237">
        <f t="shared" si="34"/>
        <v>-345845.36088145478</v>
      </c>
      <c r="P154" s="238">
        <f t="shared" si="32"/>
        <v>52892618.626138151</v>
      </c>
      <c r="Q154" s="240">
        <f t="shared" si="36"/>
        <v>54958266.945596881</v>
      </c>
      <c r="R154" s="154"/>
      <c r="S154" s="188"/>
      <c r="T154" s="235"/>
      <c r="V154" s="235"/>
      <c r="W154" s="235"/>
      <c r="X154" s="235"/>
    </row>
    <row r="155" spans="1:24" ht="12.75" customHeight="1">
      <c r="A155" s="227">
        <v>44104</v>
      </c>
      <c r="B155" s="235">
        <f t="shared" si="28"/>
        <v>0</v>
      </c>
      <c r="C155" s="164">
        <f>'LSR Prepaid BPA interest'!I153</f>
        <v>163035.67960925493</v>
      </c>
      <c r="D155" s="159">
        <f>'LSR Prepaid BPA interest'!H153</f>
        <v>-531048.65200000012</v>
      </c>
      <c r="E155" s="236"/>
      <c r="F155" s="237">
        <f t="shared" si="26"/>
        <v>0</v>
      </c>
      <c r="G155" s="238">
        <f t="shared" si="29"/>
        <v>0</v>
      </c>
      <c r="H155" s="236">
        <f t="shared" si="33"/>
        <v>163035.67960925493</v>
      </c>
      <c r="I155" s="237">
        <f t="shared" si="27"/>
        <v>-163035.67960925493</v>
      </c>
      <c r="J155" s="238">
        <f t="shared" si="30"/>
        <v>0</v>
      </c>
      <c r="K155" s="236"/>
      <c r="L155" s="237">
        <f t="shared" si="35"/>
        <v>-15419.743543172222</v>
      </c>
      <c r="M155" s="238">
        <f t="shared" si="31"/>
        <v>3581477.1208388074</v>
      </c>
      <c r="N155" s="236">
        <f>'LSR Prepaid BPA interest'!G153</f>
        <v>0</v>
      </c>
      <c r="O155" s="237">
        <f t="shared" si="34"/>
        <v>-352593.22884757293</v>
      </c>
      <c r="P155" s="238">
        <f t="shared" si="32"/>
        <v>52540025.39729058</v>
      </c>
      <c r="Q155" s="240">
        <f t="shared" si="36"/>
        <v>54616142.855889268</v>
      </c>
      <c r="R155" s="154"/>
      <c r="S155" s="188"/>
      <c r="T155" s="235"/>
      <c r="V155" s="235"/>
      <c r="W155" s="235"/>
      <c r="X155" s="235"/>
    </row>
    <row r="156" spans="1:24" ht="12.75" customHeight="1">
      <c r="A156" s="227">
        <v>44135</v>
      </c>
      <c r="B156" s="235">
        <f t="shared" si="28"/>
        <v>0</v>
      </c>
      <c r="C156" s="164">
        <f>'LSR Prepaid BPA interest'!I154</f>
        <v>168390.70437696893</v>
      </c>
      <c r="D156" s="159">
        <f>'LSR Prepaid BPA interest'!H154</f>
        <v>-531048.65200000012</v>
      </c>
      <c r="E156" s="236"/>
      <c r="F156" s="237">
        <f t="shared" si="26"/>
        <v>0</v>
      </c>
      <c r="G156" s="238">
        <f t="shared" si="29"/>
        <v>0</v>
      </c>
      <c r="H156" s="236">
        <f t="shared" si="33"/>
        <v>168390.70437696893</v>
      </c>
      <c r="I156" s="237">
        <f t="shared" si="27"/>
        <v>-168390.70437696893</v>
      </c>
      <c r="J156" s="238">
        <f t="shared" si="30"/>
        <v>0</v>
      </c>
      <c r="K156" s="236"/>
      <c r="L156" s="237">
        <f t="shared" si="35"/>
        <v>-15195.368005405007</v>
      </c>
      <c r="M156" s="238">
        <f t="shared" si="31"/>
        <v>3566281.7528334022</v>
      </c>
      <c r="N156" s="236">
        <f>'LSR Prepaid BPA interest'!G154</f>
        <v>0</v>
      </c>
      <c r="O156" s="237">
        <f t="shared" si="34"/>
        <v>-347462.57961762621</v>
      </c>
      <c r="P156" s="238">
        <f t="shared" si="32"/>
        <v>52192562.817672953</v>
      </c>
      <c r="Q156" s="240">
        <f t="shared" si="36"/>
        <v>54271764.642859481</v>
      </c>
      <c r="R156" s="154"/>
      <c r="S156" s="188"/>
      <c r="T156" s="235"/>
      <c r="V156" s="235"/>
      <c r="W156" s="235"/>
      <c r="X156" s="235"/>
    </row>
    <row r="157" spans="1:24" ht="12.75" customHeight="1">
      <c r="A157" s="227">
        <v>44165</v>
      </c>
      <c r="B157" s="235">
        <f t="shared" si="28"/>
        <v>0</v>
      </c>
      <c r="C157" s="164">
        <f>'LSR Prepaid BPA interest'!I155</f>
        <v>161402.18583006354</v>
      </c>
      <c r="D157" s="159">
        <f>'LSR Prepaid BPA interest'!H155</f>
        <v>-531048.65200000012</v>
      </c>
      <c r="E157" s="236"/>
      <c r="F157" s="237">
        <f t="shared" si="26"/>
        <v>0</v>
      </c>
      <c r="G157" s="238">
        <f t="shared" si="29"/>
        <v>0</v>
      </c>
      <c r="H157" s="236">
        <f t="shared" si="33"/>
        <v>161402.18583006354</v>
      </c>
      <c r="I157" s="237">
        <f t="shared" si="27"/>
        <v>-161402.18583006354</v>
      </c>
      <c r="J157" s="238">
        <f t="shared" si="30"/>
        <v>0</v>
      </c>
      <c r="K157" s="236"/>
      <c r="L157" s="237">
        <f t="shared" si="35"/>
        <v>-15488.186932520342</v>
      </c>
      <c r="M157" s="238">
        <f t="shared" si="31"/>
        <v>3550793.5659008818</v>
      </c>
      <c r="N157" s="236">
        <f>'LSR Prepaid BPA interest'!G155</f>
        <v>0</v>
      </c>
      <c r="O157" s="237">
        <f t="shared" si="34"/>
        <v>-354158.27923741622</v>
      </c>
      <c r="P157" s="238">
        <f t="shared" si="32"/>
        <v>51838404.538435534</v>
      </c>
      <c r="Q157" s="240">
        <f t="shared" si="36"/>
        <v>53926361.748784043</v>
      </c>
      <c r="R157" s="154"/>
      <c r="S157" s="188"/>
      <c r="T157" s="235"/>
      <c r="V157" s="235"/>
      <c r="W157" s="235"/>
      <c r="X157" s="235"/>
    </row>
    <row r="158" spans="1:24" ht="12.75" customHeight="1">
      <c r="A158" s="227">
        <v>44196</v>
      </c>
      <c r="B158" s="235">
        <f t="shared" si="28"/>
        <v>0</v>
      </c>
      <c r="C158" s="164">
        <f>'LSR Prepaid BPA interest'!I156</f>
        <v>165173.81300516234</v>
      </c>
      <c r="D158" s="159">
        <f>'LSR Prepaid BPA interest'!H156</f>
        <v>-531048.65200000012</v>
      </c>
      <c r="E158" s="236"/>
      <c r="F158" s="237">
        <f t="shared" si="26"/>
        <v>0</v>
      </c>
      <c r="G158" s="238">
        <f t="shared" si="29"/>
        <v>0</v>
      </c>
      <c r="H158" s="236">
        <f t="shared" si="33"/>
        <v>165173.81300516234</v>
      </c>
      <c r="I158" s="237">
        <f t="shared" si="27"/>
        <v>-165173.81300516234</v>
      </c>
      <c r="J158" s="238">
        <f t="shared" si="30"/>
        <v>0</v>
      </c>
      <c r="K158" s="236"/>
      <c r="L158" s="237">
        <f t="shared" si="35"/>
        <v>-15330.155753883702</v>
      </c>
      <c r="M158" s="238">
        <f t="shared" si="31"/>
        <v>3535463.4101469982</v>
      </c>
      <c r="N158" s="236">
        <f>'LSR Prepaid BPA interest'!G156</f>
        <v>0</v>
      </c>
      <c r="O158" s="237">
        <f t="shared" si="34"/>
        <v>-350544.68324095407</v>
      </c>
      <c r="P158" s="238">
        <f t="shared" si="32"/>
        <v>51487859.855194576</v>
      </c>
      <c r="Q158" s="240">
        <f t="shared" si="36"/>
        <v>53579934.173662968</v>
      </c>
      <c r="R158" s="154"/>
      <c r="S158" s="188"/>
      <c r="T158" s="235"/>
      <c r="V158" s="235"/>
      <c r="W158" s="235"/>
      <c r="X158" s="235"/>
    </row>
    <row r="159" spans="1:24" ht="12.75" customHeight="1">
      <c r="A159" s="227">
        <v>44227</v>
      </c>
      <c r="B159" s="235">
        <f t="shared" si="28"/>
        <v>0</v>
      </c>
      <c r="C159" s="164">
        <f>'LSR Prepaid BPA interest'!I157</f>
        <v>165064.52762302614</v>
      </c>
      <c r="D159" s="159">
        <f>'LSR Prepaid BPA interest'!H157</f>
        <v>-531048.65200000012</v>
      </c>
      <c r="E159" s="236"/>
      <c r="F159" s="237">
        <f t="shared" si="26"/>
        <v>0</v>
      </c>
      <c r="G159" s="238">
        <f t="shared" si="29"/>
        <v>0</v>
      </c>
      <c r="H159" s="236">
        <f t="shared" si="33"/>
        <v>165064.52762302614</v>
      </c>
      <c r="I159" s="237">
        <f t="shared" si="27"/>
        <v>-165064.52762302614</v>
      </c>
      <c r="J159" s="238">
        <f t="shared" si="30"/>
        <v>0</v>
      </c>
      <c r="K159" s="236"/>
      <c r="L159" s="237">
        <f t="shared" si="35"/>
        <v>-15334.734811395208</v>
      </c>
      <c r="M159" s="238">
        <f t="shared" si="31"/>
        <v>3520128.6753356028</v>
      </c>
      <c r="N159" s="236">
        <f>'LSR Prepaid BPA interest'!G157</f>
        <v>0</v>
      </c>
      <c r="O159" s="237">
        <f t="shared" si="34"/>
        <v>-350649.38956557872</v>
      </c>
      <c r="P159" s="238">
        <f t="shared" si="32"/>
        <v>51137210.465628996</v>
      </c>
      <c r="Q159" s="240">
        <f t="shared" si="36"/>
        <v>53232460.438660346</v>
      </c>
      <c r="R159" s="154"/>
      <c r="S159" s="188"/>
      <c r="T159" s="235"/>
      <c r="V159" s="235"/>
      <c r="W159" s="235"/>
      <c r="X159" s="235"/>
    </row>
    <row r="160" spans="1:24" ht="12.75" customHeight="1">
      <c r="A160" s="227">
        <v>44255</v>
      </c>
      <c r="B160" s="235">
        <f t="shared" si="28"/>
        <v>0</v>
      </c>
      <c r="C160" s="164">
        <f>'LSR Prepaid BPA interest'!I158</f>
        <v>147637.75142707871</v>
      </c>
      <c r="D160" s="159">
        <f>'LSR Prepaid BPA interest'!H158</f>
        <v>-531048.65200000012</v>
      </c>
      <c r="E160" s="236"/>
      <c r="F160" s="237">
        <f t="shared" si="26"/>
        <v>0</v>
      </c>
      <c r="G160" s="238">
        <f t="shared" si="29"/>
        <v>0</v>
      </c>
      <c r="H160" s="236">
        <f t="shared" si="33"/>
        <v>147637.75142707871</v>
      </c>
      <c r="I160" s="237">
        <f t="shared" si="27"/>
        <v>-147637.75142707871</v>
      </c>
      <c r="J160" s="238">
        <f t="shared" si="30"/>
        <v>0</v>
      </c>
      <c r="K160" s="236"/>
      <c r="L160" s="237">
        <f t="shared" si="35"/>
        <v>-16064.916734005406</v>
      </c>
      <c r="M160" s="238">
        <f t="shared" si="31"/>
        <v>3504063.7586015975</v>
      </c>
      <c r="N160" s="236">
        <f>'LSR Prepaid BPA interest'!G158</f>
        <v>0</v>
      </c>
      <c r="O160" s="237">
        <f t="shared" si="34"/>
        <v>-367345.98383891594</v>
      </c>
      <c r="P160" s="238">
        <f t="shared" si="32"/>
        <v>50769864.481790081</v>
      </c>
      <c r="Q160" s="240">
        <f t="shared" si="36"/>
        <v>52883759.267430939</v>
      </c>
      <c r="R160" s="154"/>
      <c r="S160" s="188"/>
      <c r="T160" s="235"/>
      <c r="V160" s="235"/>
      <c r="W160" s="235"/>
      <c r="X160" s="235"/>
    </row>
    <row r="161" spans="1:24" ht="12.75" customHeight="1">
      <c r="A161" s="227">
        <v>44286</v>
      </c>
      <c r="B161" s="235">
        <f t="shared" si="28"/>
        <v>0</v>
      </c>
      <c r="C161" s="164">
        <f>'LSR Prepaid BPA interest'!I159</f>
        <v>161847.63625121955</v>
      </c>
      <c r="D161" s="159">
        <f>'LSR Prepaid BPA interest'!H159</f>
        <v>-531048.65200000012</v>
      </c>
      <c r="E161" s="236"/>
      <c r="F161" s="237">
        <f t="shared" si="26"/>
        <v>0</v>
      </c>
      <c r="G161" s="238">
        <f t="shared" si="29"/>
        <v>0</v>
      </c>
      <c r="H161" s="236">
        <f t="shared" si="33"/>
        <v>161847.63625121955</v>
      </c>
      <c r="I161" s="237">
        <f t="shared" si="27"/>
        <v>-161847.63625121955</v>
      </c>
      <c r="J161" s="238">
        <f t="shared" si="30"/>
        <v>0</v>
      </c>
      <c r="K161" s="236"/>
      <c r="L161" s="237">
        <f t="shared" si="35"/>
        <v>-15469.522559873905</v>
      </c>
      <c r="M161" s="238">
        <f t="shared" si="31"/>
        <v>3488594.2360417238</v>
      </c>
      <c r="N161" s="236">
        <f>'LSR Prepaid BPA interest'!G159</f>
        <v>0</v>
      </c>
      <c r="O161" s="237">
        <f t="shared" si="34"/>
        <v>-353731.49318890664</v>
      </c>
      <c r="P161" s="238">
        <f t="shared" si="32"/>
        <v>50416132.98860117</v>
      </c>
      <c r="Q161" s="240">
        <f t="shared" si="36"/>
        <v>52533830.659974724</v>
      </c>
      <c r="R161" s="154"/>
      <c r="S161" s="188"/>
      <c r="T161" s="235"/>
      <c r="V161" s="235"/>
      <c r="W161" s="235"/>
      <c r="X161" s="235"/>
    </row>
    <row r="162" spans="1:24" ht="12.75" customHeight="1">
      <c r="A162" s="227">
        <v>44316</v>
      </c>
      <c r="B162" s="235">
        <f t="shared" si="28"/>
        <v>0</v>
      </c>
      <c r="C162" s="164">
        <f>'LSR Prepaid BPA interest'!I160</f>
        <v>156461.14092512958</v>
      </c>
      <c r="D162" s="159">
        <f>'LSR Prepaid BPA interest'!H160</f>
        <v>-531048.65200000012</v>
      </c>
      <c r="E162" s="236"/>
      <c r="F162" s="237">
        <f t="shared" si="26"/>
        <v>0</v>
      </c>
      <c r="G162" s="238">
        <f t="shared" si="29"/>
        <v>0</v>
      </c>
      <c r="H162" s="236">
        <f t="shared" si="33"/>
        <v>156461.14092512958</v>
      </c>
      <c r="I162" s="237">
        <f t="shared" si="27"/>
        <v>-156461.14092512958</v>
      </c>
      <c r="J162" s="238">
        <f t="shared" si="30"/>
        <v>0</v>
      </c>
      <c r="K162" s="236"/>
      <c r="L162" s="237">
        <f t="shared" si="35"/>
        <v>-15695.216714037075</v>
      </c>
      <c r="M162" s="238">
        <f t="shared" si="31"/>
        <v>3472899.0193276866</v>
      </c>
      <c r="N162" s="236">
        <f>'LSR Prepaid BPA interest'!G160</f>
        <v>0</v>
      </c>
      <c r="O162" s="237">
        <f t="shared" si="34"/>
        <v>-358892.29436083342</v>
      </c>
      <c r="P162" s="238">
        <f t="shared" si="32"/>
        <v>50057240.694240339</v>
      </c>
      <c r="Q162" s="240">
        <f t="shared" si="36"/>
        <v>52182863.023084156</v>
      </c>
      <c r="R162" s="154"/>
      <c r="S162" s="188"/>
      <c r="T162" s="235"/>
      <c r="V162" s="235"/>
      <c r="W162" s="235"/>
      <c r="X162" s="235"/>
    </row>
    <row r="163" spans="1:24" ht="12.75" customHeight="1">
      <c r="A163" s="227">
        <v>44347</v>
      </c>
      <c r="B163" s="235">
        <f t="shared" si="28"/>
        <v>0</v>
      </c>
      <c r="C163" s="164">
        <f>'LSR Prepaid BPA interest'!I161</f>
        <v>160068.06660339725</v>
      </c>
      <c r="D163" s="159">
        <f>'LSR Prepaid BPA interest'!H161</f>
        <v>-531048.65200000012</v>
      </c>
      <c r="E163" s="236"/>
      <c r="F163" s="237">
        <f t="shared" si="26"/>
        <v>0</v>
      </c>
      <c r="G163" s="238">
        <f t="shared" si="29"/>
        <v>0</v>
      </c>
      <c r="H163" s="236">
        <f t="shared" si="33"/>
        <v>160068.06660339725</v>
      </c>
      <c r="I163" s="237">
        <f t="shared" si="27"/>
        <v>-160068.06660339725</v>
      </c>
      <c r="J163" s="238">
        <f t="shared" si="30"/>
        <v>0</v>
      </c>
      <c r="K163" s="236"/>
      <c r="L163" s="237">
        <f t="shared" si="35"/>
        <v>-15544.086528117659</v>
      </c>
      <c r="M163" s="238">
        <f t="shared" si="31"/>
        <v>3457354.9327995689</v>
      </c>
      <c r="N163" s="236">
        <f>'LSR Prepaid BPA interest'!G161</f>
        <v>0</v>
      </c>
      <c r="O163" s="237">
        <f t="shared" si="34"/>
        <v>-355436.49886848521</v>
      </c>
      <c r="P163" s="238">
        <f t="shared" si="32"/>
        <v>49701804.195371851</v>
      </c>
      <c r="Q163" s="240">
        <f t="shared" si="36"/>
        <v>51830851.047688991</v>
      </c>
      <c r="R163" s="154"/>
      <c r="S163" s="188"/>
      <c r="T163" s="235"/>
      <c r="V163" s="235"/>
      <c r="W163" s="235"/>
      <c r="X163" s="235"/>
    </row>
    <row r="164" spans="1:24" ht="12.75" customHeight="1">
      <c r="A164" s="227">
        <v>44377</v>
      </c>
      <c r="B164" s="235">
        <f t="shared" si="28"/>
        <v>0</v>
      </c>
      <c r="C164" s="164">
        <f>'LSR Prepaid BPA interest'!I162</f>
        <v>153348.02024273609</v>
      </c>
      <c r="D164" s="159">
        <f>'LSR Prepaid BPA interest'!H162</f>
        <v>-531048.65200000012</v>
      </c>
      <c r="E164" s="236"/>
      <c r="F164" s="237">
        <f t="shared" si="26"/>
        <v>0</v>
      </c>
      <c r="G164" s="238">
        <f t="shared" si="29"/>
        <v>0</v>
      </c>
      <c r="H164" s="236">
        <f t="shared" si="33"/>
        <v>153348.02024273609</v>
      </c>
      <c r="I164" s="237">
        <f t="shared" si="27"/>
        <v>-153348.02024273609</v>
      </c>
      <c r="J164" s="238">
        <f t="shared" si="30"/>
        <v>0</v>
      </c>
      <c r="K164" s="236"/>
      <c r="L164" s="237">
        <f t="shared" si="35"/>
        <v>-15825.656470629363</v>
      </c>
      <c r="M164" s="238">
        <f t="shared" si="31"/>
        <v>3441529.2763289395</v>
      </c>
      <c r="N164" s="236">
        <f>'LSR Prepaid BPA interest'!G162</f>
        <v>0</v>
      </c>
      <c r="O164" s="237">
        <f t="shared" si="34"/>
        <v>-361874.97528663464</v>
      </c>
      <c r="P164" s="238">
        <f t="shared" si="32"/>
        <v>49339929.220085219</v>
      </c>
      <c r="Q164" s="240">
        <f t="shared" si="36"/>
        <v>51477794.733789258</v>
      </c>
      <c r="R164" s="154"/>
      <c r="S164" s="188"/>
      <c r="T164" s="235"/>
      <c r="V164" s="235"/>
      <c r="W164" s="235"/>
      <c r="X164" s="235"/>
    </row>
    <row r="165" spans="1:24" ht="12.75" customHeight="1">
      <c r="A165" s="227">
        <v>44408</v>
      </c>
      <c r="B165" s="235">
        <f t="shared" si="28"/>
        <v>0</v>
      </c>
      <c r="C165" s="164">
        <f>'LSR Prepaid BPA interest'!I163</f>
        <v>158274.3442709368</v>
      </c>
      <c r="D165" s="159">
        <f>'LSR Prepaid BPA interest'!H163</f>
        <v>-531048.65200000012</v>
      </c>
      <c r="E165" s="236"/>
      <c r="F165" s="237">
        <f t="shared" si="26"/>
        <v>0</v>
      </c>
      <c r="G165" s="238">
        <f t="shared" si="29"/>
        <v>0</v>
      </c>
      <c r="H165" s="236">
        <f t="shared" si="33"/>
        <v>158274.3442709368</v>
      </c>
      <c r="I165" s="237">
        <f t="shared" si="27"/>
        <v>-158274.3442709368</v>
      </c>
      <c r="J165" s="238">
        <f t="shared" si="30"/>
        <v>0</v>
      </c>
      <c r="K165" s="236"/>
      <c r="L165" s="237">
        <f t="shared" si="35"/>
        <v>-15619.243493847753</v>
      </c>
      <c r="M165" s="238">
        <f t="shared" si="31"/>
        <v>3425910.0328350919</v>
      </c>
      <c r="N165" s="236">
        <f>'LSR Prepaid BPA interest'!G163</f>
        <v>0</v>
      </c>
      <c r="O165" s="237">
        <f t="shared" si="34"/>
        <v>-357155.06423521554</v>
      </c>
      <c r="P165" s="238">
        <f t="shared" si="32"/>
        <v>48982774.155850001</v>
      </c>
      <c r="Q165" s="240">
        <f t="shared" si="36"/>
        <v>51123689.362657018</v>
      </c>
      <c r="R165" s="154"/>
      <c r="S165" s="188"/>
      <c r="T165" s="235"/>
      <c r="V165" s="235"/>
      <c r="W165" s="235"/>
      <c r="X165" s="235"/>
    </row>
    <row r="166" spans="1:24" ht="12.75" customHeight="1">
      <c r="A166" s="227">
        <v>44439</v>
      </c>
      <c r="B166" s="235">
        <f t="shared" si="28"/>
        <v>0</v>
      </c>
      <c r="C166" s="164">
        <f>'LSR Prepaid BPA interest'!I164</f>
        <v>156665.89858503349</v>
      </c>
      <c r="D166" s="159">
        <f>'LSR Prepaid BPA interest'!H164</f>
        <v>-531048.65200000012</v>
      </c>
      <c r="E166" s="236"/>
      <c r="F166" s="237">
        <f t="shared" si="26"/>
        <v>0</v>
      </c>
      <c r="G166" s="238">
        <f t="shared" si="29"/>
        <v>0</v>
      </c>
      <c r="H166" s="236">
        <f t="shared" si="33"/>
        <v>156665.89858503349</v>
      </c>
      <c r="I166" s="237">
        <f t="shared" si="27"/>
        <v>-156665.89858503349</v>
      </c>
      <c r="J166" s="238">
        <f t="shared" si="30"/>
        <v>0</v>
      </c>
      <c r="K166" s="236"/>
      <c r="L166" s="237">
        <f t="shared" si="35"/>
        <v>-15686.637368087102</v>
      </c>
      <c r="M166" s="238">
        <f t="shared" si="31"/>
        <v>3410223.3954670047</v>
      </c>
      <c r="N166" s="236">
        <f>'LSR Prepaid BPA interest'!G164</f>
        <v>0</v>
      </c>
      <c r="O166" s="237">
        <f t="shared" si="34"/>
        <v>-358696.1160468795</v>
      </c>
      <c r="P166" s="238">
        <f t="shared" si="32"/>
        <v>48624078.039803118</v>
      </c>
      <c r="Q166" s="240">
        <f t="shared" si="36"/>
        <v>50768513.095260985</v>
      </c>
      <c r="R166" s="154"/>
      <c r="S166" s="188"/>
      <c r="T166" s="235"/>
      <c r="V166" s="235"/>
      <c r="W166" s="235"/>
      <c r="X166" s="235"/>
    </row>
    <row r="167" spans="1:24" ht="12.75" customHeight="1">
      <c r="A167" s="227">
        <v>44469</v>
      </c>
      <c r="B167" s="235">
        <f t="shared" si="28"/>
        <v>0</v>
      </c>
      <c r="C167" s="164">
        <f>'LSR Prepaid BPA interest'!I165</f>
        <v>150055.59957980341</v>
      </c>
      <c r="D167" s="159">
        <f>'LSR Prepaid BPA interest'!H165</f>
        <v>-531048.65200000012</v>
      </c>
      <c r="E167" s="236"/>
      <c r="F167" s="237">
        <f t="shared" si="26"/>
        <v>0</v>
      </c>
      <c r="G167" s="238">
        <f t="shared" si="29"/>
        <v>0</v>
      </c>
      <c r="H167" s="236">
        <f t="shared" si="33"/>
        <v>150055.59957980341</v>
      </c>
      <c r="I167" s="237">
        <f t="shared" si="27"/>
        <v>-150055.59957980341</v>
      </c>
      <c r="J167" s="238">
        <f t="shared" si="30"/>
        <v>0</v>
      </c>
      <c r="K167" s="236"/>
      <c r="L167" s="237">
        <f t="shared" si="35"/>
        <v>-15963.608896406242</v>
      </c>
      <c r="M167" s="238">
        <f t="shared" si="31"/>
        <v>3394259.7865705984</v>
      </c>
      <c r="N167" s="236">
        <f>'LSR Prepaid BPA interest'!G165</f>
        <v>0</v>
      </c>
      <c r="O167" s="237">
        <f t="shared" si="34"/>
        <v>-365029.44352379045</v>
      </c>
      <c r="P167" s="238">
        <f t="shared" si="32"/>
        <v>48259048.596279331</v>
      </c>
      <c r="Q167" s="240">
        <f t="shared" si="36"/>
        <v>50412283.20412156</v>
      </c>
      <c r="R167" s="154"/>
      <c r="S167" s="188"/>
      <c r="T167" s="235"/>
      <c r="V167" s="235"/>
      <c r="W167" s="235"/>
      <c r="X167" s="235"/>
    </row>
    <row r="168" spans="1:24" ht="12.75" customHeight="1">
      <c r="A168" s="227">
        <v>44500</v>
      </c>
      <c r="B168" s="235">
        <f t="shared" si="28"/>
        <v>0</v>
      </c>
      <c r="C168" s="164">
        <f>'LSR Prepaid BPA interest'!I166</f>
        <v>154757.98951846015</v>
      </c>
      <c r="D168" s="159">
        <f>'LSR Prepaid BPA interest'!H166</f>
        <v>-563867.45869360014</v>
      </c>
      <c r="E168" s="236"/>
      <c r="F168" s="237">
        <f t="shared" si="26"/>
        <v>0</v>
      </c>
      <c r="G168" s="238">
        <f t="shared" si="29"/>
        <v>0</v>
      </c>
      <c r="H168" s="236">
        <f t="shared" si="33"/>
        <v>154757.98951846015</v>
      </c>
      <c r="I168" s="237">
        <f t="shared" si="27"/>
        <v>-154757.98951846015</v>
      </c>
      <c r="J168" s="238">
        <f t="shared" si="30"/>
        <v>0</v>
      </c>
      <c r="K168" s="236"/>
      <c r="L168" s="237">
        <f t="shared" si="35"/>
        <v>-17141.686758438365</v>
      </c>
      <c r="M168" s="238">
        <f t="shared" si="31"/>
        <v>3377118.0998121598</v>
      </c>
      <c r="N168" s="236">
        <f>'LSR Prepaid BPA interest'!G166</f>
        <v>0</v>
      </c>
      <c r="O168" s="237">
        <f t="shared" si="34"/>
        <v>-391967.78241670167</v>
      </c>
      <c r="P168" s="238">
        <f t="shared" si="32"/>
        <v>47867080.813862629</v>
      </c>
      <c r="Q168" s="240">
        <f t="shared" si="36"/>
        <v>50053680.753920674</v>
      </c>
      <c r="R168" s="154"/>
      <c r="S168" s="188"/>
      <c r="T168" s="235"/>
      <c r="V168" s="235"/>
      <c r="W168" s="235"/>
      <c r="X168" s="235"/>
    </row>
    <row r="169" spans="1:24" ht="12.75" customHeight="1">
      <c r="A169" s="227">
        <v>44530</v>
      </c>
      <c r="B169" s="235">
        <f t="shared" si="28"/>
        <v>0</v>
      </c>
      <c r="C169" s="164">
        <f>'LSR Prepaid BPA interest'!I167</f>
        <v>148113.04053790454</v>
      </c>
      <c r="D169" s="159">
        <f>'LSR Prepaid BPA interest'!H167</f>
        <v>-563867.45869360014</v>
      </c>
      <c r="E169" s="236"/>
      <c r="F169" s="237">
        <f t="shared" si="26"/>
        <v>0</v>
      </c>
      <c r="G169" s="238">
        <f t="shared" si="29"/>
        <v>0</v>
      </c>
      <c r="H169" s="236">
        <f t="shared" si="33"/>
        <v>148113.04053790454</v>
      </c>
      <c r="I169" s="237">
        <f t="shared" si="27"/>
        <v>-148113.04053790454</v>
      </c>
      <c r="J169" s="238">
        <f t="shared" si="30"/>
        <v>0</v>
      </c>
      <c r="K169" s="236"/>
      <c r="L169" s="237">
        <f t="shared" si="35"/>
        <v>-17420.110120723646</v>
      </c>
      <c r="M169" s="238">
        <f t="shared" si="31"/>
        <v>3359697.9896914363</v>
      </c>
      <c r="N169" s="236">
        <f>'LSR Prepaid BPA interest'!G167</f>
        <v>0</v>
      </c>
      <c r="O169" s="237">
        <f t="shared" si="34"/>
        <v>-398334.30803497194</v>
      </c>
      <c r="P169" s="238">
        <f t="shared" si="32"/>
        <v>47468746.505827658</v>
      </c>
      <c r="Q169" s="240">
        <f t="shared" si="36"/>
        <v>49691383.252403237</v>
      </c>
      <c r="R169" s="154"/>
      <c r="S169" s="188"/>
      <c r="T169" s="235"/>
      <c r="V169" s="235"/>
      <c r="W169" s="235"/>
      <c r="X169" s="235"/>
    </row>
    <row r="170" spans="1:24" ht="12.75" customHeight="1">
      <c r="A170" s="227">
        <v>44561</v>
      </c>
      <c r="B170" s="235">
        <f t="shared" si="28"/>
        <v>0</v>
      </c>
      <c r="C170" s="164">
        <f>'LSR Prepaid BPA interest'!I168</f>
        <v>151342.29425987593</v>
      </c>
      <c r="D170" s="159">
        <f>'LSR Prepaid BPA interest'!H168</f>
        <v>-563867.45869360014</v>
      </c>
      <c r="E170" s="236"/>
      <c r="F170" s="237">
        <f t="shared" si="26"/>
        <v>0</v>
      </c>
      <c r="G170" s="238">
        <f t="shared" si="29"/>
        <v>0</v>
      </c>
      <c r="H170" s="236">
        <f t="shared" si="33"/>
        <v>151342.29425987593</v>
      </c>
      <c r="I170" s="237">
        <f t="shared" si="27"/>
        <v>-151342.29425987593</v>
      </c>
      <c r="J170" s="238">
        <f t="shared" si="30"/>
        <v>0</v>
      </c>
      <c r="K170" s="236"/>
      <c r="L170" s="237">
        <f t="shared" si="35"/>
        <v>-17284.804389773046</v>
      </c>
      <c r="M170" s="238">
        <f t="shared" si="31"/>
        <v>3342413.1853016634</v>
      </c>
      <c r="N170" s="236">
        <f>'LSR Prepaid BPA interest'!G168</f>
        <v>0</v>
      </c>
      <c r="O170" s="237">
        <f t="shared" si="34"/>
        <v>-395240.36004395119</v>
      </c>
      <c r="P170" s="238">
        <f t="shared" si="32"/>
        <v>47073506.145783707</v>
      </c>
      <c r="Q170" s="240">
        <f t="shared" si="36"/>
        <v>49325382.763152458</v>
      </c>
      <c r="R170" s="154"/>
      <c r="S170" s="188"/>
      <c r="T170" s="235"/>
      <c r="V170" s="235"/>
      <c r="W170" s="235"/>
      <c r="X170" s="235"/>
    </row>
    <row r="171" spans="1:24" ht="12.75" customHeight="1">
      <c r="A171" s="227">
        <v>44592</v>
      </c>
      <c r="B171" s="235">
        <f t="shared" si="28"/>
        <v>0</v>
      </c>
      <c r="C171" s="164">
        <f>'LSR Prepaid BPA interest'!I169</f>
        <v>151010.17267606908</v>
      </c>
      <c r="D171" s="159">
        <f>'LSR Prepaid BPA interest'!H169</f>
        <v>-563867.45869360014</v>
      </c>
      <c r="E171" s="236"/>
      <c r="F171" s="237">
        <f t="shared" si="26"/>
        <v>0</v>
      </c>
      <c r="G171" s="238">
        <f t="shared" si="29"/>
        <v>0</v>
      </c>
      <c r="H171" s="236">
        <f t="shared" si="33"/>
        <v>151010.17267606908</v>
      </c>
      <c r="I171" s="237">
        <f t="shared" si="27"/>
        <v>-151010.17267606908</v>
      </c>
      <c r="J171" s="238">
        <f t="shared" si="30"/>
        <v>0</v>
      </c>
      <c r="K171" s="236"/>
      <c r="L171" s="237">
        <f t="shared" si="35"/>
        <v>-17298.72028413455</v>
      </c>
      <c r="M171" s="238">
        <f t="shared" si="31"/>
        <v>3325114.4650175287</v>
      </c>
      <c r="N171" s="236">
        <f>'LSR Prepaid BPA interest'!G169</f>
        <v>0</v>
      </c>
      <c r="O171" s="237">
        <f t="shared" si="34"/>
        <v>-395558.56573339651</v>
      </c>
      <c r="P171" s="238">
        <f t="shared" si="32"/>
        <v>46677947.580050312</v>
      </c>
      <c r="Q171" s="240">
        <f t="shared" si="36"/>
        <v>48955648.738361217</v>
      </c>
      <c r="R171" s="154"/>
      <c r="S171" s="188"/>
      <c r="T171" s="235"/>
      <c r="V171" s="235"/>
      <c r="W171" s="235"/>
      <c r="X171" s="235"/>
    </row>
    <row r="172" spans="1:24" ht="12.75" customHeight="1">
      <c r="A172" s="227">
        <v>44620</v>
      </c>
      <c r="B172" s="235">
        <f t="shared" si="28"/>
        <v>0</v>
      </c>
      <c r="C172" s="164">
        <f>'LSR Prepaid BPA interest'!I170</f>
        <v>134853.71294547597</v>
      </c>
      <c r="D172" s="159">
        <f>'LSR Prepaid BPA interest'!H170</f>
        <v>-563867.45869360014</v>
      </c>
      <c r="E172" s="236"/>
      <c r="F172" s="237">
        <f t="shared" si="26"/>
        <v>0</v>
      </c>
      <c r="G172" s="238">
        <f t="shared" si="29"/>
        <v>0</v>
      </c>
      <c r="H172" s="236">
        <f t="shared" si="33"/>
        <v>134853.71294547597</v>
      </c>
      <c r="I172" s="237">
        <f t="shared" si="27"/>
        <v>-134853.71294547597</v>
      </c>
      <c r="J172" s="238">
        <f t="shared" si="30"/>
        <v>0</v>
      </c>
      <c r="K172" s="236"/>
      <c r="L172" s="237">
        <f t="shared" si="35"/>
        <v>-17975.675946846404</v>
      </c>
      <c r="M172" s="238">
        <f t="shared" si="31"/>
        <v>3307138.7890706821</v>
      </c>
      <c r="N172" s="236">
        <f>'LSR Prepaid BPA interest'!G170</f>
        <v>0</v>
      </c>
      <c r="O172" s="237">
        <f t="shared" si="34"/>
        <v>-411038.06980127777</v>
      </c>
      <c r="P172" s="238">
        <f t="shared" si="32"/>
        <v>46266909.510249034</v>
      </c>
      <c r="Q172" s="240">
        <f t="shared" si="36"/>
        <v>48582222.994314574</v>
      </c>
      <c r="R172" s="154"/>
      <c r="S172" s="188"/>
      <c r="T172" s="235"/>
      <c r="V172" s="235"/>
      <c r="W172" s="235"/>
      <c r="X172" s="235"/>
    </row>
    <row r="173" spans="1:24" ht="12.75" customHeight="1">
      <c r="A173" s="227">
        <v>44651</v>
      </c>
      <c r="B173" s="235">
        <f t="shared" si="28"/>
        <v>0</v>
      </c>
      <c r="C173" s="164">
        <f>'LSR Prepaid BPA interest'!I171</f>
        <v>147594.47741748486</v>
      </c>
      <c r="D173" s="159">
        <f>'LSR Prepaid BPA interest'!H171</f>
        <v>-563867.45869360014</v>
      </c>
      <c r="E173" s="236"/>
      <c r="F173" s="237">
        <f t="shared" si="26"/>
        <v>0</v>
      </c>
      <c r="G173" s="238">
        <f t="shared" si="29"/>
        <v>0</v>
      </c>
      <c r="H173" s="236">
        <f t="shared" si="33"/>
        <v>147594.47741748486</v>
      </c>
      <c r="I173" s="237">
        <f t="shared" si="27"/>
        <v>-147594.47741748486</v>
      </c>
      <c r="J173" s="238">
        <f t="shared" si="30"/>
        <v>0</v>
      </c>
      <c r="K173" s="236"/>
      <c r="L173" s="237">
        <f t="shared" si="35"/>
        <v>-17441.83791546923</v>
      </c>
      <c r="M173" s="238">
        <f t="shared" si="31"/>
        <v>3289696.9511552127</v>
      </c>
      <c r="N173" s="236">
        <f>'LSR Prepaid BPA interest'!G171</f>
        <v>0</v>
      </c>
      <c r="O173" s="237">
        <f t="shared" si="34"/>
        <v>-398831.14336064603</v>
      </c>
      <c r="P173" s="238">
        <f t="shared" si="32"/>
        <v>45868078.366888389</v>
      </c>
      <c r="Q173" s="240">
        <f t="shared" si="36"/>
        <v>48205097.594595663</v>
      </c>
      <c r="R173" s="154"/>
      <c r="S173" s="188"/>
      <c r="T173" s="235"/>
      <c r="V173" s="235"/>
      <c r="W173" s="235"/>
      <c r="X173" s="235"/>
    </row>
    <row r="174" spans="1:24" ht="12.75" customHeight="1">
      <c r="A174" s="227">
        <v>44681</v>
      </c>
      <c r="B174" s="235">
        <f t="shared" si="28"/>
        <v>0</v>
      </c>
      <c r="C174" s="164">
        <f>'LSR Prepaid BPA interest'!I172</f>
        <v>142451.12224924116</v>
      </c>
      <c r="D174" s="159">
        <f>'LSR Prepaid BPA interest'!H172</f>
        <v>-563867.45869360014</v>
      </c>
      <c r="E174" s="236"/>
      <c r="F174" s="237">
        <f t="shared" si="26"/>
        <v>0</v>
      </c>
      <c r="G174" s="238">
        <f t="shared" si="29"/>
        <v>0</v>
      </c>
      <c r="H174" s="236">
        <f t="shared" si="33"/>
        <v>142451.12224924116</v>
      </c>
      <c r="I174" s="237">
        <f t="shared" si="27"/>
        <v>-142451.12224924116</v>
      </c>
      <c r="J174" s="238">
        <f t="shared" si="30"/>
        <v>0</v>
      </c>
      <c r="K174" s="236"/>
      <c r="L174" s="237">
        <f t="shared" si="35"/>
        <v>-17657.344497018643</v>
      </c>
      <c r="M174" s="238">
        <f t="shared" si="31"/>
        <v>3272039.6066581942</v>
      </c>
      <c r="N174" s="236">
        <f>'LSR Prepaid BPA interest'!G172</f>
        <v>0</v>
      </c>
      <c r="O174" s="237">
        <f t="shared" si="34"/>
        <v>-403758.99194734031</v>
      </c>
      <c r="P174" s="238">
        <f t="shared" si="32"/>
        <v>45464319.374941051</v>
      </c>
      <c r="Q174" s="240">
        <f t="shared" si="36"/>
        <v>47824223.597053498</v>
      </c>
      <c r="R174" s="154"/>
      <c r="S174" s="188"/>
      <c r="T174" s="235"/>
      <c r="V174" s="235"/>
      <c r="W174" s="235"/>
      <c r="X174" s="235"/>
    </row>
    <row r="175" spans="1:24" ht="12.75" customHeight="1">
      <c r="A175" s="227">
        <v>44712</v>
      </c>
      <c r="B175" s="235">
        <f t="shared" si="28"/>
        <v>0</v>
      </c>
      <c r="C175" s="164">
        <f>'LSR Prepaid BPA interest'!I173</f>
        <v>145491.64536159043</v>
      </c>
      <c r="D175" s="159">
        <f>'LSR Prepaid BPA interest'!H173</f>
        <v>-563867.45869360014</v>
      </c>
      <c r="E175" s="236"/>
      <c r="F175" s="237">
        <f t="shared" si="26"/>
        <v>0</v>
      </c>
      <c r="G175" s="238">
        <f t="shared" si="29"/>
        <v>0</v>
      </c>
      <c r="H175" s="236">
        <f t="shared" si="33"/>
        <v>145491.64536159043</v>
      </c>
      <c r="I175" s="237">
        <f t="shared" si="27"/>
        <v>-145491.64536159043</v>
      </c>
      <c r="J175" s="238">
        <f t="shared" si="30"/>
        <v>0</v>
      </c>
      <c r="K175" s="236"/>
      <c r="L175" s="237">
        <f t="shared" si="35"/>
        <v>-17529.946578611205</v>
      </c>
      <c r="M175" s="238">
        <f t="shared" si="31"/>
        <v>3254509.6600795831</v>
      </c>
      <c r="N175" s="236">
        <f>'LSR Prepaid BPA interest'!G173</f>
        <v>0</v>
      </c>
      <c r="O175" s="237">
        <f t="shared" si="34"/>
        <v>-400845.8667533985</v>
      </c>
      <c r="P175" s="238">
        <f t="shared" si="32"/>
        <v>45063473.508187652</v>
      </c>
      <c r="Q175" s="240">
        <f t="shared" si="36"/>
        <v>47439588.096783347</v>
      </c>
      <c r="R175" s="154"/>
      <c r="S175" s="188"/>
      <c r="T175" s="235"/>
      <c r="V175" s="235"/>
      <c r="W175" s="235"/>
      <c r="X175" s="235"/>
    </row>
    <row r="176" spans="1:24" ht="12.75" customHeight="1">
      <c r="A176" s="227">
        <v>44742</v>
      </c>
      <c r="B176" s="235">
        <f t="shared" si="28"/>
        <v>0</v>
      </c>
      <c r="C176" s="164">
        <f>'LSR Prepaid BPA interest'!I174</f>
        <v>139145.61070867578</v>
      </c>
      <c r="D176" s="159">
        <f>'LSR Prepaid BPA interest'!H174</f>
        <v>-563867.45869360014</v>
      </c>
      <c r="E176" s="236"/>
      <c r="F176" s="237">
        <f t="shared" si="26"/>
        <v>0</v>
      </c>
      <c r="G176" s="238">
        <f t="shared" si="29"/>
        <v>0</v>
      </c>
      <c r="H176" s="236">
        <f t="shared" si="33"/>
        <v>139145.61070867578</v>
      </c>
      <c r="I176" s="237">
        <f t="shared" si="27"/>
        <v>-139145.61070867578</v>
      </c>
      <c r="J176" s="238">
        <f t="shared" si="30"/>
        <v>0</v>
      </c>
      <c r="K176" s="236"/>
      <c r="L176" s="237">
        <f t="shared" si="35"/>
        <v>-17795.84543056833</v>
      </c>
      <c r="M176" s="238">
        <f t="shared" si="31"/>
        <v>3236713.8146490147</v>
      </c>
      <c r="N176" s="236">
        <f>'LSR Prepaid BPA interest'!G174</f>
        <v>0</v>
      </c>
      <c r="O176" s="237">
        <f t="shared" si="34"/>
        <v>-406926.002554356</v>
      </c>
      <c r="P176" s="238">
        <f t="shared" si="32"/>
        <v>44656547.505633295</v>
      </c>
      <c r="Q176" s="240">
        <f t="shared" si="36"/>
        <v>47051183.413381845</v>
      </c>
      <c r="R176" s="154"/>
      <c r="S176" s="188"/>
      <c r="T176" s="235"/>
      <c r="V176" s="235"/>
      <c r="W176" s="235"/>
      <c r="X176" s="235"/>
    </row>
    <row r="177" spans="1:24" ht="12.75" customHeight="1">
      <c r="A177" s="227">
        <v>44773</v>
      </c>
      <c r="B177" s="235">
        <f t="shared" si="28"/>
        <v>0</v>
      </c>
      <c r="C177" s="164">
        <f>'LSR Prepaid BPA interest'!I175</f>
        <v>143369.51982965984</v>
      </c>
      <c r="D177" s="159">
        <f>'LSR Prepaid BPA interest'!H175</f>
        <v>-563867.45869360014</v>
      </c>
      <c r="E177" s="236"/>
      <c r="F177" s="237">
        <f t="shared" si="26"/>
        <v>0</v>
      </c>
      <c r="G177" s="238">
        <f t="shared" si="29"/>
        <v>0</v>
      </c>
      <c r="H177" s="236">
        <f t="shared" si="33"/>
        <v>143369.51982965984</v>
      </c>
      <c r="I177" s="237">
        <f t="shared" si="27"/>
        <v>-143369.51982965984</v>
      </c>
      <c r="J177" s="238">
        <f t="shared" si="30"/>
        <v>0</v>
      </c>
      <c r="K177" s="236"/>
      <c r="L177" s="237">
        <f t="shared" si="35"/>
        <v>-17618.8636383991</v>
      </c>
      <c r="M177" s="238">
        <f t="shared" si="31"/>
        <v>3219094.9510106156</v>
      </c>
      <c r="N177" s="236">
        <f>'LSR Prepaid BPA interest'!G175</f>
        <v>0</v>
      </c>
      <c r="O177" s="237">
        <f t="shared" si="34"/>
        <v>-402879.07522554119</v>
      </c>
      <c r="P177" s="238">
        <f t="shared" si="32"/>
        <v>44253668.430407755</v>
      </c>
      <c r="Q177" s="240">
        <f t="shared" si="36"/>
        <v>46658996.436719589</v>
      </c>
      <c r="R177" s="154"/>
      <c r="S177" s="188"/>
      <c r="T177" s="235"/>
      <c r="V177" s="235"/>
      <c r="W177" s="235"/>
      <c r="X177" s="235"/>
    </row>
    <row r="178" spans="1:24" ht="12.75" customHeight="1">
      <c r="A178" s="227">
        <v>44804</v>
      </c>
      <c r="B178" s="235">
        <f t="shared" si="28"/>
        <v>0</v>
      </c>
      <c r="C178" s="164">
        <f>'LSR Prepaid BPA interest'!I176</f>
        <v>141661.67220036773</v>
      </c>
      <c r="D178" s="159">
        <f>'LSR Prepaid BPA interest'!H176</f>
        <v>-563867.45869360014</v>
      </c>
      <c r="E178" s="236"/>
      <c r="F178" s="237">
        <f t="shared" si="26"/>
        <v>0</v>
      </c>
      <c r="G178" s="238">
        <f t="shared" si="29"/>
        <v>0</v>
      </c>
      <c r="H178" s="236">
        <f t="shared" si="33"/>
        <v>141661.67220036773</v>
      </c>
      <c r="I178" s="237">
        <f t="shared" si="27"/>
        <v>-141661.67220036773</v>
      </c>
      <c r="J178" s="238">
        <f t="shared" si="30"/>
        <v>0</v>
      </c>
      <c r="K178" s="236"/>
      <c r="L178" s="237">
        <f t="shared" si="35"/>
        <v>-17690.422454066436</v>
      </c>
      <c r="M178" s="238">
        <f>M177+K178+L178</f>
        <v>3201404.528556549</v>
      </c>
      <c r="N178" s="236">
        <f>'LSR Prepaid BPA interest'!G176</f>
        <v>0</v>
      </c>
      <c r="O178" s="237">
        <f t="shared" si="34"/>
        <v>-404515.36403916596</v>
      </c>
      <c r="P178" s="238">
        <f t="shared" si="32"/>
        <v>43849153.066368587</v>
      </c>
      <c r="Q178" s="240">
        <f t="shared" si="36"/>
        <v>46262995.157599725</v>
      </c>
      <c r="R178" s="154"/>
      <c r="S178" s="188"/>
      <c r="T178" s="235"/>
      <c r="V178" s="235"/>
      <c r="W178" s="235"/>
      <c r="X178" s="235"/>
    </row>
    <row r="179" spans="1:24" ht="12.75" customHeight="1">
      <c r="A179" s="227">
        <v>44834</v>
      </c>
      <c r="B179" s="235">
        <f t="shared" si="28"/>
        <v>0</v>
      </c>
      <c r="C179" s="164">
        <f>'LSR Prepaid BPA interest'!I177</f>
        <v>135439.18506878286</v>
      </c>
      <c r="D179" s="159">
        <f>'LSR Prepaid BPA interest'!H177</f>
        <v>-563867.45869360014</v>
      </c>
      <c r="E179" s="236"/>
      <c r="F179" s="237">
        <f t="shared" si="26"/>
        <v>0</v>
      </c>
      <c r="G179" s="238">
        <f t="shared" si="29"/>
        <v>0</v>
      </c>
      <c r="H179" s="236">
        <f t="shared" si="33"/>
        <v>135439.18506878286</v>
      </c>
      <c r="I179" s="237">
        <f t="shared" si="27"/>
        <v>-135439.18506878286</v>
      </c>
      <c r="J179" s="238">
        <f t="shared" si="30"/>
        <v>0</v>
      </c>
      <c r="K179" s="236"/>
      <c r="L179" s="237">
        <f t="shared" si="35"/>
        <v>-17951.144664879845</v>
      </c>
      <c r="M179" s="238">
        <f t="shared" si="31"/>
        <v>3183453.3838916691</v>
      </c>
      <c r="N179" s="236">
        <f>'LSR Prepaid BPA interest'!G177</f>
        <v>0</v>
      </c>
      <c r="O179" s="237">
        <f t="shared" si="34"/>
        <v>-410477.12895993737</v>
      </c>
      <c r="P179" s="238">
        <f t="shared" si="32"/>
        <v>43438675.937408648</v>
      </c>
      <c r="Q179" s="240">
        <f t="shared" si="36"/>
        <v>45863191.08958701</v>
      </c>
      <c r="R179" s="154"/>
      <c r="S179" s="188"/>
      <c r="T179" s="235"/>
      <c r="V179" s="235"/>
      <c r="W179" s="235"/>
      <c r="X179" s="235"/>
    </row>
    <row r="180" spans="1:24" ht="12.75" customHeight="1">
      <c r="A180" s="227">
        <v>44865</v>
      </c>
      <c r="B180" s="235">
        <f t="shared" si="28"/>
        <v>0</v>
      </c>
      <c r="C180" s="164">
        <f>'LSR Prepaid BPA interest'!I178</f>
        <v>139519.50199744021</v>
      </c>
      <c r="D180" s="159">
        <f>'LSR Prepaid BPA interest'!H178</f>
        <v>-563867.45869360014</v>
      </c>
      <c r="E180" s="236"/>
      <c r="F180" s="237">
        <f t="shared" si="26"/>
        <v>0</v>
      </c>
      <c r="G180" s="238">
        <f t="shared" si="29"/>
        <v>0</v>
      </c>
      <c r="H180" s="236">
        <f t="shared" si="33"/>
        <v>139519.50199744021</v>
      </c>
      <c r="I180" s="237">
        <f t="shared" si="27"/>
        <v>-139519.50199744021</v>
      </c>
      <c r="J180" s="238">
        <f t="shared" si="30"/>
        <v>0</v>
      </c>
      <c r="K180" s="236"/>
      <c r="L180" s="237">
        <f t="shared" si="35"/>
        <v>-17780.179385569099</v>
      </c>
      <c r="M180" s="238">
        <f t="shared" si="31"/>
        <v>3165673.2045061002</v>
      </c>
      <c r="N180" s="236">
        <f>'LSR Prepaid BPA interest'!G178</f>
        <v>0</v>
      </c>
      <c r="O180" s="237">
        <f t="shared" si="34"/>
        <v>-406567.77731059078</v>
      </c>
      <c r="P180" s="238">
        <f t="shared" si="32"/>
        <v>43032108.160098061</v>
      </c>
      <c r="Q180" s="240">
        <f t="shared" si="36"/>
        <v>45460885.03489387</v>
      </c>
      <c r="R180" s="154"/>
      <c r="S180" s="188"/>
      <c r="T180" s="235"/>
      <c r="V180" s="235"/>
      <c r="W180" s="235"/>
      <c r="X180" s="235"/>
    </row>
    <row r="181" spans="1:24" ht="12.75" customHeight="1">
      <c r="A181" s="227">
        <v>44895</v>
      </c>
      <c r="B181" s="235">
        <f t="shared" si="28"/>
        <v>0</v>
      </c>
      <c r="C181" s="164">
        <f>'LSR Prepaid BPA interest'!I179</f>
        <v>133366.11713046589</v>
      </c>
      <c r="D181" s="159">
        <f>'LSR Prepaid BPA interest'!H179</f>
        <v>-563867.45869360014</v>
      </c>
      <c r="E181" s="236"/>
      <c r="F181" s="237">
        <f t="shared" si="26"/>
        <v>0</v>
      </c>
      <c r="G181" s="238">
        <f t="shared" si="29"/>
        <v>0</v>
      </c>
      <c r="H181" s="236">
        <f t="shared" si="33"/>
        <v>133366.11713046589</v>
      </c>
      <c r="I181" s="237">
        <f t="shared" si="27"/>
        <v>-133366.11713046589</v>
      </c>
      <c r="J181" s="238">
        <f t="shared" si="30"/>
        <v>0</v>
      </c>
      <c r="K181" s="236"/>
      <c r="L181" s="237">
        <f t="shared" si="35"/>
        <v>-18038.006211495325</v>
      </c>
      <c r="M181" s="238">
        <f t="shared" si="31"/>
        <v>3147635.1982946047</v>
      </c>
      <c r="N181" s="236">
        <f>'LSR Prepaid BPA interest'!G179</f>
        <v>0</v>
      </c>
      <c r="O181" s="237">
        <f t="shared" si="34"/>
        <v>-412463.3353516389</v>
      </c>
      <c r="P181" s="238">
        <f t="shared" si="32"/>
        <v>42619644.824746422</v>
      </c>
      <c r="Q181" s="240">
        <f t="shared" si="36"/>
        <v>45057381.937608629</v>
      </c>
      <c r="R181" s="154"/>
      <c r="S181" s="188"/>
      <c r="T181" s="235"/>
      <c r="V181" s="235"/>
      <c r="W181" s="235"/>
      <c r="X181" s="235"/>
    </row>
    <row r="182" spans="1:24" ht="12.75" customHeight="1">
      <c r="A182" s="227">
        <v>44926</v>
      </c>
      <c r="B182" s="235">
        <f t="shared" si="28"/>
        <v>0</v>
      </c>
      <c r="C182" s="164">
        <f>'LSR Prepaid BPA interest'!I180</f>
        <v>136103.80673885596</v>
      </c>
      <c r="D182" s="159">
        <f>'LSR Prepaid BPA interest'!H180</f>
        <v>-563867.45869360014</v>
      </c>
      <c r="E182" s="236"/>
      <c r="F182" s="237">
        <f t="shared" ref="F182:F220" si="37">-MIN(ABS(D182),ABS(G181))</f>
        <v>0</v>
      </c>
      <c r="G182" s="238">
        <f t="shared" si="29"/>
        <v>0</v>
      </c>
      <c r="H182" s="236">
        <f t="shared" si="33"/>
        <v>136103.80673885596</v>
      </c>
      <c r="I182" s="237">
        <f t="shared" si="27"/>
        <v>-136103.80673885596</v>
      </c>
      <c r="J182" s="238">
        <f t="shared" si="30"/>
        <v>0</v>
      </c>
      <c r="K182" s="236"/>
      <c r="L182" s="237">
        <f t="shared" si="35"/>
        <v>-17923.29701690378</v>
      </c>
      <c r="M182" s="238">
        <f t="shared" si="31"/>
        <v>3129711.9012777009</v>
      </c>
      <c r="N182" s="236">
        <f>'LSR Prepaid BPA interest'!G180</f>
        <v>0</v>
      </c>
      <c r="O182" s="237">
        <f t="shared" si="34"/>
        <v>-409840.35493784037</v>
      </c>
      <c r="P182" s="238">
        <f t="shared" si="32"/>
        <v>42209804.469808578</v>
      </c>
      <c r="Q182" s="240">
        <f t="shared" si="36"/>
        <v>44652681.797731273</v>
      </c>
      <c r="R182" s="154"/>
      <c r="S182" s="188"/>
      <c r="T182" s="235"/>
      <c r="V182" s="235"/>
      <c r="W182" s="235"/>
      <c r="X182" s="235"/>
    </row>
    <row r="183" spans="1:24" ht="12.75" customHeight="1">
      <c r="A183" s="227">
        <v>44957</v>
      </c>
      <c r="B183" s="235">
        <f t="shared" si="28"/>
        <v>0</v>
      </c>
      <c r="C183" s="164">
        <f>'LSR Prepaid BPA interest'!I181</f>
        <v>135634.7105406012</v>
      </c>
      <c r="D183" s="159">
        <f>'LSR Prepaid BPA interest'!H181</f>
        <v>-563867.45869360014</v>
      </c>
      <c r="E183" s="236"/>
      <c r="F183" s="237">
        <f t="shared" si="37"/>
        <v>0</v>
      </c>
      <c r="G183" s="238">
        <f t="shared" si="29"/>
        <v>0</v>
      </c>
      <c r="H183" s="236">
        <f t="shared" si="33"/>
        <v>135634.7105406012</v>
      </c>
      <c r="I183" s="237">
        <f t="shared" si="27"/>
        <v>-135634.7105406012</v>
      </c>
      <c r="J183" s="238">
        <f t="shared" si="30"/>
        <v>0</v>
      </c>
      <c r="K183" s="236"/>
      <c r="L183" s="237">
        <f t="shared" si="35"/>
        <v>-17942.952147610657</v>
      </c>
      <c r="M183" s="238">
        <f t="shared" si="31"/>
        <v>3111768.9491300904</v>
      </c>
      <c r="N183" s="236">
        <f>'LSR Prepaid BPA interest'!G181</f>
        <v>0</v>
      </c>
      <c r="O183" s="237">
        <f t="shared" si="34"/>
        <v>-410289.79600538831</v>
      </c>
      <c r="P183" s="238">
        <f t="shared" si="32"/>
        <v>41799514.673803188</v>
      </c>
      <c r="Q183" s="240">
        <f t="shared" si="36"/>
        <v>44246759.523472019</v>
      </c>
      <c r="R183" s="154"/>
      <c r="S183" s="188"/>
      <c r="T183" s="235"/>
      <c r="V183" s="235"/>
      <c r="W183" s="235"/>
      <c r="X183" s="235"/>
    </row>
    <row r="184" spans="1:24" ht="12.75" customHeight="1">
      <c r="A184" s="227">
        <v>44985</v>
      </c>
      <c r="B184" s="235">
        <f t="shared" si="28"/>
        <v>0</v>
      </c>
      <c r="C184" s="164">
        <f>'LSR Prepaid BPA interest'!I182</f>
        <v>120966.19875860173</v>
      </c>
      <c r="D184" s="159">
        <f>'LSR Prepaid BPA interest'!H182</f>
        <v>-563867.45869360014</v>
      </c>
      <c r="E184" s="236"/>
      <c r="F184" s="237">
        <f t="shared" si="37"/>
        <v>0</v>
      </c>
      <c r="G184" s="238">
        <f t="shared" si="29"/>
        <v>0</v>
      </c>
      <c r="H184" s="236">
        <f t="shared" si="33"/>
        <v>120966.19875860173</v>
      </c>
      <c r="I184" s="237">
        <f t="shared" si="27"/>
        <v>-120966.19875860173</v>
      </c>
      <c r="J184" s="238">
        <f t="shared" si="30"/>
        <v>0</v>
      </c>
      <c r="K184" s="236"/>
      <c r="L184" s="237">
        <f t="shared" si="35"/>
        <v>-18557.562791276432</v>
      </c>
      <c r="M184" s="238">
        <f t="shared" si="31"/>
        <v>3093211.3863388142</v>
      </c>
      <c r="N184" s="236">
        <f>'LSR Prepaid BPA interest'!G182</f>
        <v>0</v>
      </c>
      <c r="O184" s="237">
        <f t="shared" si="34"/>
        <v>-424343.69714372198</v>
      </c>
      <c r="P184" s="238">
        <f t="shared" si="32"/>
        <v>41375170.976659469</v>
      </c>
      <c r="Q184" s="240">
        <f t="shared" si="36"/>
        <v>43839669.046812154</v>
      </c>
      <c r="R184" s="154"/>
      <c r="S184" s="188"/>
      <c r="T184" s="235"/>
      <c r="V184" s="235"/>
      <c r="W184" s="235"/>
      <c r="X184" s="235"/>
    </row>
    <row r="185" spans="1:24" ht="12.75" customHeight="1">
      <c r="A185" s="227">
        <v>45016</v>
      </c>
      <c r="B185" s="235">
        <f t="shared" si="28"/>
        <v>0</v>
      </c>
      <c r="C185" s="164">
        <f>'LSR Prepaid BPA interest'!I183</f>
        <v>132219.01528201695</v>
      </c>
      <c r="D185" s="159">
        <f>'LSR Prepaid BPA interest'!H183</f>
        <v>-563867.45869360014</v>
      </c>
      <c r="E185" s="236"/>
      <c r="F185" s="237">
        <f t="shared" si="37"/>
        <v>0</v>
      </c>
      <c r="G185" s="238">
        <f t="shared" si="29"/>
        <v>0</v>
      </c>
      <c r="H185" s="236">
        <f t="shared" si="33"/>
        <v>132219.01528201695</v>
      </c>
      <c r="I185" s="237">
        <f t="shared" si="27"/>
        <v>-132219.01528201695</v>
      </c>
      <c r="J185" s="238">
        <f t="shared" si="30"/>
        <v>0</v>
      </c>
      <c r="K185" s="236"/>
      <c r="L185" s="237">
        <f t="shared" si="35"/>
        <v>-18086.069778945337</v>
      </c>
      <c r="M185" s="238">
        <f t="shared" si="31"/>
        <v>3075125.3165598689</v>
      </c>
      <c r="N185" s="236">
        <f>'LSR Prepaid BPA interest'!G183</f>
        <v>0</v>
      </c>
      <c r="O185" s="237">
        <f t="shared" si="34"/>
        <v>-413562.37363263784</v>
      </c>
      <c r="P185" s="238">
        <f t="shared" si="32"/>
        <v>40961608.60302683</v>
      </c>
      <c r="Q185" s="240">
        <f t="shared" si="36"/>
        <v>43431410.367751695</v>
      </c>
      <c r="R185" s="154"/>
      <c r="S185" s="188"/>
      <c r="T185" s="235"/>
      <c r="V185" s="235"/>
      <c r="W185" s="235"/>
      <c r="X185" s="235"/>
    </row>
    <row r="186" spans="1:24" ht="12.75" customHeight="1">
      <c r="A186" s="227">
        <v>45046</v>
      </c>
      <c r="B186" s="235">
        <f t="shared" si="28"/>
        <v>0</v>
      </c>
      <c r="C186" s="164">
        <f>'LSR Prepaid BPA interest'!I184</f>
        <v>127440.80273059808</v>
      </c>
      <c r="D186" s="159">
        <f>'LSR Prepaid BPA interest'!H184</f>
        <v>-563867.45869360014</v>
      </c>
      <c r="E186" s="236"/>
      <c r="F186" s="237">
        <f t="shared" si="37"/>
        <v>0</v>
      </c>
      <c r="G186" s="238">
        <f t="shared" si="29"/>
        <v>0</v>
      </c>
      <c r="H186" s="236">
        <f t="shared" si="33"/>
        <v>127440.80273059808</v>
      </c>
      <c r="I186" s="237">
        <f t="shared" si="27"/>
        <v>-127440.80273059808</v>
      </c>
      <c r="J186" s="238">
        <f t="shared" si="30"/>
        <v>0</v>
      </c>
      <c r="K186" s="236"/>
      <c r="L186" s="237">
        <f t="shared" si="35"/>
        <v>-18286.276884849787</v>
      </c>
      <c r="M186" s="238">
        <f t="shared" si="31"/>
        <v>3056839.0396750192</v>
      </c>
      <c r="N186" s="236">
        <f>'LSR Prepaid BPA interest'!G184</f>
        <v>0</v>
      </c>
      <c r="O186" s="237">
        <f t="shared" si="34"/>
        <v>-418140.37907815224</v>
      </c>
      <c r="P186" s="238">
        <f t="shared" si="32"/>
        <v>40543468.22394868</v>
      </c>
      <c r="Q186" s="240">
        <f t="shared" si="36"/>
        <v>43021938.66296611</v>
      </c>
      <c r="R186" s="154"/>
      <c r="S186" s="188"/>
      <c r="T186" s="235"/>
      <c r="V186" s="235"/>
      <c r="W186" s="235"/>
      <c r="X186" s="235"/>
    </row>
    <row r="187" spans="1:24" ht="12.75" customHeight="1">
      <c r="A187" s="227">
        <v>45077</v>
      </c>
      <c r="B187" s="235">
        <f t="shared" si="28"/>
        <v>0</v>
      </c>
      <c r="C187" s="164">
        <f>'LSR Prepaid BPA interest'!I185</f>
        <v>129980.98185899257</v>
      </c>
      <c r="D187" s="159">
        <f>'LSR Prepaid BPA interest'!H185</f>
        <v>-563867.45869360014</v>
      </c>
      <c r="E187" s="236"/>
      <c r="F187" s="237">
        <f t="shared" si="37"/>
        <v>0</v>
      </c>
      <c r="G187" s="238">
        <f t="shared" si="29"/>
        <v>0</v>
      </c>
      <c r="H187" s="236">
        <f t="shared" si="33"/>
        <v>129980.98185899257</v>
      </c>
      <c r="I187" s="237">
        <f t="shared" si="27"/>
        <v>-129980.98185899257</v>
      </c>
      <c r="J187" s="238">
        <f t="shared" si="30"/>
        <v>0</v>
      </c>
      <c r="K187" s="236"/>
      <c r="L187" s="237">
        <f t="shared" si="35"/>
        <v>-18179.843379370057</v>
      </c>
      <c r="M187" s="238">
        <f t="shared" si="31"/>
        <v>3038659.1962956493</v>
      </c>
      <c r="N187" s="236">
        <f>'LSR Prepaid BPA interest'!G185</f>
        <v>0</v>
      </c>
      <c r="O187" s="237">
        <f t="shared" si="34"/>
        <v>-415706.63345523749</v>
      </c>
      <c r="P187" s="238">
        <f t="shared" si="32"/>
        <v>40127761.590493441</v>
      </c>
      <c r="Q187" s="240">
        <f t="shared" si="36"/>
        <v>42611248.53510417</v>
      </c>
      <c r="R187" s="154"/>
      <c r="S187" s="188"/>
      <c r="T187" s="235"/>
      <c r="V187" s="235"/>
      <c r="W187" s="235"/>
      <c r="X187" s="235"/>
    </row>
    <row r="188" spans="1:24" ht="12.75" customHeight="1">
      <c r="A188" s="227">
        <v>45107</v>
      </c>
      <c r="B188" s="235">
        <f t="shared" si="28"/>
        <v>0</v>
      </c>
      <c r="C188" s="164">
        <f>'LSR Prepaid BPA interest'!I186</f>
        <v>124135.2911900327</v>
      </c>
      <c r="D188" s="159">
        <f>'LSR Prepaid BPA interest'!H186</f>
        <v>-563867.45869360014</v>
      </c>
      <c r="E188" s="236"/>
      <c r="F188" s="237">
        <f t="shared" si="37"/>
        <v>0</v>
      </c>
      <c r="G188" s="238">
        <f t="shared" si="29"/>
        <v>0</v>
      </c>
      <c r="H188" s="236">
        <f t="shared" si="33"/>
        <v>124135.2911900327</v>
      </c>
      <c r="I188" s="237">
        <f t="shared" si="27"/>
        <v>-124135.2911900327</v>
      </c>
      <c r="J188" s="238">
        <f t="shared" si="30"/>
        <v>0</v>
      </c>
      <c r="K188" s="236"/>
      <c r="L188" s="237">
        <f t="shared" si="35"/>
        <v>-18424.777818399474</v>
      </c>
      <c r="M188" s="238">
        <f t="shared" si="31"/>
        <v>3020234.4184772498</v>
      </c>
      <c r="N188" s="236">
        <f>'LSR Prepaid BPA interest'!G186</f>
        <v>0</v>
      </c>
      <c r="O188" s="237">
        <f t="shared" si="34"/>
        <v>-421307.38968516793</v>
      </c>
      <c r="P188" s="238">
        <f t="shared" si="32"/>
        <v>39706454.200808272</v>
      </c>
      <c r="Q188" s="240">
        <f t="shared" si="36"/>
        <v>42199339.98416587</v>
      </c>
      <c r="R188" s="154"/>
      <c r="S188" s="188"/>
      <c r="T188" s="235"/>
      <c r="V188" s="235"/>
      <c r="W188" s="235"/>
      <c r="X188" s="235"/>
    </row>
    <row r="189" spans="1:24" ht="12.75" customHeight="1">
      <c r="A189" s="227">
        <v>45138</v>
      </c>
      <c r="B189" s="235">
        <f t="shared" si="28"/>
        <v>0</v>
      </c>
      <c r="C189" s="164">
        <f>'LSR Prepaid BPA interest'!I187</f>
        <v>127720.9506439047</v>
      </c>
      <c r="D189" s="159">
        <f>'LSR Prepaid BPA interest'!H187</f>
        <v>-563867.45869360014</v>
      </c>
      <c r="E189" s="236"/>
      <c r="F189" s="237">
        <f t="shared" si="37"/>
        <v>0</v>
      </c>
      <c r="G189" s="238">
        <f t="shared" si="29"/>
        <v>0</v>
      </c>
      <c r="H189" s="236">
        <f t="shared" si="33"/>
        <v>127720.9506439047</v>
      </c>
      <c r="I189" s="237">
        <f t="shared" si="27"/>
        <v>-127720.9506439047</v>
      </c>
      <c r="J189" s="238">
        <f t="shared" si="30"/>
        <v>0</v>
      </c>
      <c r="K189" s="236"/>
      <c r="L189" s="237">
        <f t="shared" si="35"/>
        <v>-18274.538687282238</v>
      </c>
      <c r="M189" s="238">
        <f t="shared" si="31"/>
        <v>3001959.8797899676</v>
      </c>
      <c r="N189" s="236">
        <f>'LSR Prepaid BPA interest'!G187</f>
        <v>0</v>
      </c>
      <c r="O189" s="237">
        <f t="shared" si="34"/>
        <v>-417871.96936241322</v>
      </c>
      <c r="P189" s="238">
        <f t="shared" si="32"/>
        <v>39288582.231445856</v>
      </c>
      <c r="Q189" s="240">
        <f t="shared" si="36"/>
        <v>41786207.50484141</v>
      </c>
      <c r="R189" s="154"/>
      <c r="S189" s="188"/>
      <c r="T189" s="235"/>
      <c r="V189" s="235"/>
      <c r="W189" s="235"/>
      <c r="X189" s="235"/>
    </row>
    <row r="190" spans="1:24" ht="12.75" customHeight="1">
      <c r="A190" s="227">
        <v>45169</v>
      </c>
      <c r="B190" s="235">
        <f t="shared" si="28"/>
        <v>0</v>
      </c>
      <c r="C190" s="164">
        <f>'LSR Prepaid BPA interest'!I188</f>
        <v>126013.10301461257</v>
      </c>
      <c r="D190" s="159">
        <f>'LSR Prepaid BPA interest'!H188</f>
        <v>-563867.45869360014</v>
      </c>
      <c r="E190" s="236"/>
      <c r="F190" s="237">
        <f t="shared" si="37"/>
        <v>0</v>
      </c>
      <c r="G190" s="238">
        <f t="shared" si="29"/>
        <v>0</v>
      </c>
      <c r="H190" s="236">
        <f t="shared" si="33"/>
        <v>126013.10301461257</v>
      </c>
      <c r="I190" s="237">
        <f t="shared" si="27"/>
        <v>-126013.10301461257</v>
      </c>
      <c r="J190" s="238">
        <f t="shared" si="30"/>
        <v>0</v>
      </c>
      <c r="K190" s="236"/>
      <c r="L190" s="237">
        <f t="shared" si="35"/>
        <v>-18346.097502949578</v>
      </c>
      <c r="M190" s="238">
        <f t="shared" si="31"/>
        <v>2983613.7822870179</v>
      </c>
      <c r="N190" s="236">
        <f>'LSR Prepaid BPA interest'!G188</f>
        <v>0</v>
      </c>
      <c r="O190" s="237">
        <f t="shared" si="34"/>
        <v>-419508.25817603798</v>
      </c>
      <c r="P190" s="238">
        <f t="shared" si="32"/>
        <v>38869073.97326982</v>
      </c>
      <c r="Q190" s="240">
        <f t="shared" si="36"/>
        <v>41371825.61767222</v>
      </c>
      <c r="R190" s="154"/>
      <c r="S190" s="188"/>
      <c r="T190" s="235"/>
      <c r="V190" s="235"/>
      <c r="W190" s="235"/>
      <c r="X190" s="235"/>
    </row>
    <row r="191" spans="1:24" ht="12.75" customHeight="1">
      <c r="A191" s="227">
        <v>45199</v>
      </c>
      <c r="B191" s="235">
        <f t="shared" si="28"/>
        <v>0</v>
      </c>
      <c r="C191" s="164">
        <f>'LSR Prepaid BPA interest'!I189</f>
        <v>120295.40843740691</v>
      </c>
      <c r="D191" s="159">
        <f>'LSR Prepaid BPA interest'!H189</f>
        <v>-563867.45869360014</v>
      </c>
      <c r="E191" s="236"/>
      <c r="F191" s="237">
        <f t="shared" si="37"/>
        <v>0</v>
      </c>
      <c r="G191" s="238">
        <f t="shared" si="29"/>
        <v>0</v>
      </c>
      <c r="H191" s="236">
        <f t="shared" si="33"/>
        <v>120295.40843740691</v>
      </c>
      <c r="I191" s="237">
        <f t="shared" si="27"/>
        <v>-120295.40843740691</v>
      </c>
      <c r="J191" s="238">
        <f t="shared" si="30"/>
        <v>0</v>
      </c>
      <c r="K191" s="236"/>
      <c r="L191" s="237">
        <f t="shared" si="35"/>
        <v>-18585.668905734499</v>
      </c>
      <c r="M191" s="238">
        <f t="shared" si="31"/>
        <v>2965028.1133812834</v>
      </c>
      <c r="N191" s="236">
        <f>'LSR Prepaid BPA interest'!G189</f>
        <v>0</v>
      </c>
      <c r="O191" s="237">
        <f t="shared" si="34"/>
        <v>-424986.38135045877</v>
      </c>
      <c r="P191" s="238">
        <f t="shared" si="32"/>
        <v>38444087.591919363</v>
      </c>
      <c r="Q191" s="240">
        <f t="shared" si="36"/>
        <v>40956214.474397719</v>
      </c>
      <c r="R191" s="154"/>
      <c r="S191" s="188"/>
      <c r="T191" s="235"/>
      <c r="V191" s="235"/>
      <c r="W191" s="235"/>
      <c r="X191" s="235"/>
    </row>
    <row r="192" spans="1:24" ht="12.75" customHeight="1">
      <c r="A192" s="227">
        <v>45230</v>
      </c>
      <c r="B192" s="235">
        <f t="shared" si="28"/>
        <v>0</v>
      </c>
      <c r="C192" s="164">
        <f>'LSR Prepaid BPA interest'!I190</f>
        <v>123624.72710133959</v>
      </c>
      <c r="D192" s="159">
        <f>'LSR Prepaid BPA interest'!H190</f>
        <v>-598714.46764086466</v>
      </c>
      <c r="E192" s="236"/>
      <c r="F192" s="237">
        <f t="shared" si="37"/>
        <v>0</v>
      </c>
      <c r="G192" s="238">
        <f t="shared" si="29"/>
        <v>0</v>
      </c>
      <c r="H192" s="236">
        <f t="shared" si="33"/>
        <v>123624.72710133959</v>
      </c>
      <c r="I192" s="237">
        <f t="shared" si="27"/>
        <v>-123624.72710133959</v>
      </c>
      <c r="J192" s="238">
        <f t="shared" si="30"/>
        <v>0</v>
      </c>
      <c r="K192" s="236"/>
      <c r="L192" s="237">
        <f t="shared" si="35"/>
        <v>-19906.2601286061</v>
      </c>
      <c r="M192" s="238">
        <f t="shared" si="31"/>
        <v>2945121.8532526772</v>
      </c>
      <c r="N192" s="236">
        <f>'LSR Prepaid BPA interest'!G190</f>
        <v>0</v>
      </c>
      <c r="O192" s="237">
        <f t="shared" si="34"/>
        <v>-455183.48041091894</v>
      </c>
      <c r="P192" s="238">
        <f t="shared" si="32"/>
        <v>37988904.111508444</v>
      </c>
      <c r="Q192" s="240">
        <f t="shared" si="36"/>
        <v>40537973.124644428</v>
      </c>
      <c r="R192" s="154"/>
      <c r="S192" s="188"/>
      <c r="T192" s="235"/>
      <c r="V192" s="235"/>
      <c r="W192" s="235"/>
      <c r="X192" s="235"/>
    </row>
    <row r="193" spans="1:24" ht="12.75" customHeight="1">
      <c r="A193" s="227">
        <v>45260</v>
      </c>
      <c r="B193" s="235">
        <f t="shared" si="28"/>
        <v>0</v>
      </c>
      <c r="C193" s="164">
        <f>'LSR Prepaid BPA interest'!I191</f>
        <v>117881.93660182958</v>
      </c>
      <c r="D193" s="159">
        <f>'LSR Prepaid BPA interest'!H191</f>
        <v>-598714.46764086466</v>
      </c>
      <c r="E193" s="236"/>
      <c r="F193" s="237">
        <f t="shared" si="37"/>
        <v>0</v>
      </c>
      <c r="G193" s="238">
        <f t="shared" si="29"/>
        <v>0</v>
      </c>
      <c r="H193" s="236">
        <f t="shared" si="33"/>
        <v>117881.93660182958</v>
      </c>
      <c r="I193" s="237">
        <f t="shared" si="27"/>
        <v>-117881.93660182958</v>
      </c>
      <c r="J193" s="238">
        <f t="shared" si="30"/>
        <v>0</v>
      </c>
      <c r="K193" s="236"/>
      <c r="L193" s="237">
        <f t="shared" si="35"/>
        <v>-20146.883050535569</v>
      </c>
      <c r="M193" s="238">
        <f t="shared" si="31"/>
        <v>2924974.9702021419</v>
      </c>
      <c r="N193" s="236">
        <f>'LSR Prepaid BPA interest'!G191</f>
        <v>0</v>
      </c>
      <c r="O193" s="237">
        <f t="shared" si="34"/>
        <v>-460685.64798849949</v>
      </c>
      <c r="P193" s="238">
        <f t="shared" si="32"/>
        <v>37528218.463519946</v>
      </c>
      <c r="Q193" s="240">
        <f t="shared" si="36"/>
        <v>40115696.857568763</v>
      </c>
      <c r="R193" s="154"/>
      <c r="S193" s="188"/>
      <c r="T193" s="235"/>
      <c r="V193" s="235"/>
      <c r="W193" s="235"/>
      <c r="X193" s="235"/>
    </row>
    <row r="194" spans="1:24" ht="12.75" customHeight="1">
      <c r="A194" s="227">
        <v>45291</v>
      </c>
      <c r="B194" s="235">
        <f t="shared" si="28"/>
        <v>0</v>
      </c>
      <c r="C194" s="164">
        <f>'LSR Prepaid BPA interest'!I192</f>
        <v>119997.94187577488</v>
      </c>
      <c r="D194" s="159">
        <f>'LSR Prepaid BPA interest'!H192</f>
        <v>-598714.46764086466</v>
      </c>
      <c r="E194" s="236"/>
      <c r="F194" s="237">
        <f t="shared" si="37"/>
        <v>0</v>
      </c>
      <c r="G194" s="238">
        <f t="shared" si="29"/>
        <v>0</v>
      </c>
      <c r="H194" s="236">
        <f t="shared" si="33"/>
        <v>119997.94187577488</v>
      </c>
      <c r="I194" s="237">
        <f t="shared" si="27"/>
        <v>-119997.94187577488</v>
      </c>
      <c r="J194" s="238">
        <f t="shared" si="30"/>
        <v>0</v>
      </c>
      <c r="K194" s="236"/>
      <c r="L194" s="237">
        <f t="shared" si="35"/>
        <v>-20058.222429557263</v>
      </c>
      <c r="M194" s="238">
        <f t="shared" si="31"/>
        <v>2904916.7477725847</v>
      </c>
      <c r="N194" s="236">
        <f>'LSR Prepaid BPA interest'!G192</f>
        <v>0</v>
      </c>
      <c r="O194" s="237">
        <f t="shared" si="34"/>
        <v>-458658.30333553249</v>
      </c>
      <c r="P194" s="238">
        <f t="shared" si="32"/>
        <v>37069560.160184413</v>
      </c>
      <c r="Q194" s="240">
        <f t="shared" si="36"/>
        <v>39689377.246283315</v>
      </c>
      <c r="R194" s="154"/>
      <c r="S194" s="188"/>
      <c r="T194" s="235"/>
      <c r="V194" s="235"/>
      <c r="W194" s="235"/>
      <c r="X194" s="235"/>
    </row>
    <row r="195" spans="1:24" ht="12.75" customHeight="1">
      <c r="A195" s="227">
        <v>45322</v>
      </c>
      <c r="B195" s="235">
        <f t="shared" si="28"/>
        <v>0</v>
      </c>
      <c r="C195" s="164">
        <f>'LSR Prepaid BPA interest'!I193</f>
        <v>119279.47817597965</v>
      </c>
      <c r="D195" s="159">
        <f>'LSR Prepaid BPA interest'!H193</f>
        <v>-598714.46764086466</v>
      </c>
      <c r="E195" s="236"/>
      <c r="F195" s="237">
        <f t="shared" si="37"/>
        <v>0</v>
      </c>
      <c r="G195" s="238">
        <f t="shared" si="29"/>
        <v>0</v>
      </c>
      <c r="H195" s="236">
        <f t="shared" si="33"/>
        <v>119279.47817597965</v>
      </c>
      <c r="I195" s="237">
        <f t="shared" ref="I195:I220" si="38">-J194-H195</f>
        <v>-119279.47817597965</v>
      </c>
      <c r="J195" s="238">
        <f t="shared" si="30"/>
        <v>0</v>
      </c>
      <c r="K195" s="236"/>
      <c r="L195" s="237">
        <f t="shared" si="35"/>
        <v>-20088.326058578681</v>
      </c>
      <c r="M195" s="238">
        <f t="shared" si="31"/>
        <v>2884828.421714006</v>
      </c>
      <c r="N195" s="236">
        <f>'LSR Prepaid BPA interest'!G193</f>
        <v>0</v>
      </c>
      <c r="O195" s="237">
        <f t="shared" si="34"/>
        <v>-459346.66340630635</v>
      </c>
      <c r="P195" s="238">
        <f t="shared" si="32"/>
        <v>36610213.496778108</v>
      </c>
      <c r="Q195" s="240">
        <f t="shared" si="36"/>
        <v>39258979.517672926</v>
      </c>
      <c r="R195" s="154"/>
      <c r="S195" s="188"/>
      <c r="T195" s="235"/>
      <c r="V195" s="235"/>
      <c r="W195" s="235"/>
      <c r="X195" s="235"/>
    </row>
    <row r="196" spans="1:24" ht="12.75" customHeight="1">
      <c r="A196" s="227">
        <v>45351</v>
      </c>
      <c r="B196" s="235">
        <f t="shared" si="28"/>
        <v>0</v>
      </c>
      <c r="C196" s="164">
        <f>'LSR Prepaid BPA interest'!I194</f>
        <v>109887.62843008777</v>
      </c>
      <c r="D196" s="159">
        <f>'LSR Prepaid BPA interest'!H194</f>
        <v>-598714.46764086466</v>
      </c>
      <c r="E196" s="236"/>
      <c r="F196" s="237">
        <f t="shared" si="37"/>
        <v>0</v>
      </c>
      <c r="G196" s="238">
        <f t="shared" si="29"/>
        <v>0</v>
      </c>
      <c r="H196" s="236">
        <f t="shared" si="33"/>
        <v>109887.62843008777</v>
      </c>
      <c r="I196" s="237">
        <f t="shared" si="38"/>
        <v>-109887.62843008777</v>
      </c>
      <c r="J196" s="238">
        <f t="shared" si="30"/>
        <v>0</v>
      </c>
      <c r="K196" s="236"/>
      <c r="L196" s="237">
        <f t="shared" si="35"/>
        <v>-20481.844562931554</v>
      </c>
      <c r="M196" s="238">
        <f t="shared" si="31"/>
        <v>2864346.5771510745</v>
      </c>
      <c r="N196" s="236">
        <f>'LSR Prepaid BPA interest'!G194</f>
        <v>0</v>
      </c>
      <c r="O196" s="237">
        <f t="shared" si="34"/>
        <v>-468344.99464784533</v>
      </c>
      <c r="P196" s="238">
        <f t="shared" si="32"/>
        <v>36141868.502130263</v>
      </c>
      <c r="Q196" s="240">
        <f t="shared" si="36"/>
        <v>38824704.365524836</v>
      </c>
      <c r="R196" s="154"/>
      <c r="S196" s="188"/>
      <c r="T196" s="235"/>
      <c r="V196" s="235"/>
      <c r="W196" s="235"/>
      <c r="X196" s="235"/>
    </row>
    <row r="197" spans="1:24" ht="12.75" customHeight="1">
      <c r="A197" s="227">
        <v>45382</v>
      </c>
      <c r="B197" s="235">
        <f t="shared" si="28"/>
        <v>0</v>
      </c>
      <c r="C197" s="164">
        <f>'LSR Prepaid BPA interest'!I195</f>
        <v>115652.6929504149</v>
      </c>
      <c r="D197" s="159">
        <f>'LSR Prepaid BPA interest'!H195</f>
        <v>-598714.46764086466</v>
      </c>
      <c r="E197" s="236"/>
      <c r="F197" s="237">
        <f t="shared" si="37"/>
        <v>0</v>
      </c>
      <c r="G197" s="238">
        <f t="shared" si="29"/>
        <v>0</v>
      </c>
      <c r="H197" s="236">
        <f t="shared" si="33"/>
        <v>115652.6929504149</v>
      </c>
      <c r="I197" s="237">
        <f t="shared" si="38"/>
        <v>-115652.6929504149</v>
      </c>
      <c r="J197" s="238">
        <f t="shared" si="30"/>
        <v>0</v>
      </c>
      <c r="K197" s="236"/>
      <c r="L197" s="237">
        <f t="shared" si="35"/>
        <v>-20240.288359529844</v>
      </c>
      <c r="M197" s="238">
        <f t="shared" si="31"/>
        <v>2844106.2887915447</v>
      </c>
      <c r="N197" s="236">
        <f>'LSR Prepaid BPA interest'!G195</f>
        <v>0</v>
      </c>
      <c r="O197" s="237">
        <f t="shared" si="34"/>
        <v>-462821.4863309199</v>
      </c>
      <c r="P197" s="238">
        <f t="shared" si="32"/>
        <v>35679047.015799344</v>
      </c>
      <c r="Q197" s="240">
        <f t="shared" si="36"/>
        <v>38386543.362951644</v>
      </c>
      <c r="R197" s="154"/>
      <c r="S197" s="188"/>
      <c r="T197" s="235"/>
      <c r="V197" s="235"/>
      <c r="W197" s="235"/>
      <c r="X197" s="235"/>
    </row>
    <row r="198" spans="1:24" ht="12.75" customHeight="1">
      <c r="A198" s="227">
        <v>45412</v>
      </c>
      <c r="B198" s="235">
        <f t="shared" si="28"/>
        <v>0</v>
      </c>
      <c r="C198" s="164">
        <f>'LSR Prepaid BPA interest'!I196</f>
        <v>111177.76851912968</v>
      </c>
      <c r="D198" s="159">
        <f>'LSR Prepaid BPA interest'!H196</f>
        <v>-598714.46764086466</v>
      </c>
      <c r="E198" s="236"/>
      <c r="F198" s="237">
        <f t="shared" si="37"/>
        <v>0</v>
      </c>
      <c r="G198" s="238">
        <f t="shared" si="29"/>
        <v>0</v>
      </c>
      <c r="H198" s="236">
        <f t="shared" si="33"/>
        <v>111177.76851912968</v>
      </c>
      <c r="I198" s="237">
        <f t="shared" si="38"/>
        <v>-111177.76851912968</v>
      </c>
      <c r="J198" s="238">
        <f t="shared" si="30"/>
        <v>0</v>
      </c>
      <c r="K198" s="236"/>
      <c r="L198" s="237">
        <f t="shared" si="35"/>
        <v>-20427.787693200695</v>
      </c>
      <c r="M198" s="238">
        <f t="shared" si="31"/>
        <v>2823678.5010983441</v>
      </c>
      <c r="N198" s="236">
        <f>'LSR Prepaid BPA interest'!G196</f>
        <v>0</v>
      </c>
      <c r="O198" s="237">
        <f t="shared" si="34"/>
        <v>-467108.91142853431</v>
      </c>
      <c r="P198" s="238">
        <f t="shared" si="32"/>
        <v>35211938.10437081</v>
      </c>
      <c r="Q198" s="240">
        <f t="shared" si="36"/>
        <v>37944289.541834749</v>
      </c>
      <c r="R198" s="154"/>
      <c r="S198" s="188"/>
      <c r="T198" s="235"/>
      <c r="V198" s="235"/>
      <c r="W198" s="235"/>
      <c r="X198" s="235"/>
    </row>
    <row r="199" spans="1:24" ht="12.75" customHeight="1">
      <c r="A199" s="227">
        <v>45443</v>
      </c>
      <c r="B199" s="235">
        <f t="shared" si="28"/>
        <v>0</v>
      </c>
      <c r="C199" s="164">
        <f>'LSR Prepaid BPA interest'!I197</f>
        <v>113070.30152365162</v>
      </c>
      <c r="D199" s="159">
        <f>'LSR Prepaid BPA interest'!H197</f>
        <v>-598714.46764086466</v>
      </c>
      <c r="E199" s="236"/>
      <c r="F199" s="237">
        <f t="shared" si="37"/>
        <v>0</v>
      </c>
      <c r="G199" s="238">
        <f t="shared" si="29"/>
        <v>0</v>
      </c>
      <c r="H199" s="236">
        <f t="shared" si="33"/>
        <v>113070.30152365162</v>
      </c>
      <c r="I199" s="237">
        <f t="shared" si="38"/>
        <v>-113070.30152365162</v>
      </c>
      <c r="J199" s="238">
        <f t="shared" si="30"/>
        <v>0</v>
      </c>
      <c r="K199" s="236"/>
      <c r="L199" s="237">
        <f t="shared" si="35"/>
        <v>-20348.490560311227</v>
      </c>
      <c r="M199" s="238">
        <f t="shared" si="31"/>
        <v>2803330.0105380327</v>
      </c>
      <c r="N199" s="236">
        <f>'LSR Prepaid BPA interest'!G197</f>
        <v>0</v>
      </c>
      <c r="O199" s="237">
        <f t="shared" si="34"/>
        <v>-465295.67555690178</v>
      </c>
      <c r="P199" s="238">
        <f t="shared" si="32"/>
        <v>34746642.428813912</v>
      </c>
      <c r="Q199" s="240">
        <f t="shared" si="36"/>
        <v>37497929.155115701</v>
      </c>
      <c r="R199" s="154"/>
      <c r="S199" s="188"/>
      <c r="T199" s="235"/>
      <c r="V199" s="235"/>
      <c r="W199" s="235"/>
      <c r="X199" s="235"/>
    </row>
    <row r="200" spans="1:24" ht="12.75" customHeight="1">
      <c r="A200" s="227">
        <v>45473</v>
      </c>
      <c r="B200" s="235">
        <f t="shared" ref="B200:B298" si="39">E200+K200+H200-C200</f>
        <v>0</v>
      </c>
      <c r="C200" s="164">
        <f>'LSR Prepaid BPA interest'!I198</f>
        <v>107667.97636535738</v>
      </c>
      <c r="D200" s="159">
        <f>'LSR Prepaid BPA interest'!H198</f>
        <v>-598714.46764086466</v>
      </c>
      <c r="E200" s="236"/>
      <c r="F200" s="237">
        <f t="shared" si="37"/>
        <v>0</v>
      </c>
      <c r="G200" s="238">
        <f t="shared" si="29"/>
        <v>0</v>
      </c>
      <c r="H200" s="236">
        <f t="shared" si="33"/>
        <v>107667.97636535738</v>
      </c>
      <c r="I200" s="237">
        <f t="shared" si="38"/>
        <v>-107667.97636535738</v>
      </c>
      <c r="J200" s="238">
        <f t="shared" si="30"/>
        <v>0</v>
      </c>
      <c r="K200" s="236"/>
      <c r="L200" s="237">
        <f t="shared" si="35"/>
        <v>-20574.847984443753</v>
      </c>
      <c r="M200" s="238">
        <f t="shared" si="31"/>
        <v>2782755.1625535889</v>
      </c>
      <c r="N200" s="236">
        <f>'LSR Prepaid BPA interest'!G198</f>
        <v>0</v>
      </c>
      <c r="O200" s="237">
        <f t="shared" si="34"/>
        <v>-470471.64329106349</v>
      </c>
      <c r="P200" s="238">
        <f t="shared" si="32"/>
        <v>34276170.785522848</v>
      </c>
      <c r="Q200" s="240">
        <f t="shared" si="36"/>
        <v>37047454.047742151</v>
      </c>
      <c r="R200" s="154"/>
      <c r="S200" s="188"/>
      <c r="T200" s="235"/>
      <c r="V200" s="235"/>
      <c r="W200" s="235"/>
      <c r="X200" s="235"/>
    </row>
    <row r="201" spans="1:24" ht="12.75" customHeight="1">
      <c r="A201" s="227">
        <v>45504</v>
      </c>
      <c r="B201" s="235">
        <f t="shared" si="39"/>
        <v>0</v>
      </c>
      <c r="C201" s="164">
        <f>'LSR Prepaid BPA interest'!I199</f>
        <v>110448.8270750122</v>
      </c>
      <c r="D201" s="159">
        <f>'LSR Prepaid BPA interest'!H199</f>
        <v>-598714.46764086466</v>
      </c>
      <c r="E201" s="236"/>
      <c r="F201" s="237">
        <f t="shared" si="37"/>
        <v>0</v>
      </c>
      <c r="G201" s="238">
        <f t="shared" ref="G201:G220" si="40">G200+E201+F201</f>
        <v>0</v>
      </c>
      <c r="H201" s="236">
        <f t="shared" si="33"/>
        <v>110448.8270750122</v>
      </c>
      <c r="I201" s="237">
        <f t="shared" si="38"/>
        <v>-110448.8270750122</v>
      </c>
      <c r="J201" s="238">
        <f t="shared" ref="J201:J220" si="41">J200+H201+I201</f>
        <v>0</v>
      </c>
      <c r="K201" s="236"/>
      <c r="L201" s="237">
        <f>IF((F201+I201)&gt;D201,(D201-F201-I201)*$M$1,0)</f>
        <v>-20458.330339709217</v>
      </c>
      <c r="M201" s="238">
        <f>M200+K201+L201</f>
        <v>2762296.8322138796</v>
      </c>
      <c r="N201" s="236">
        <f>'LSR Prepaid BPA interest'!G199</f>
        <v>0</v>
      </c>
      <c r="O201" s="237">
        <f t="shared" si="34"/>
        <v>-467807.31022614322</v>
      </c>
      <c r="P201" s="238">
        <f t="shared" si="32"/>
        <v>33808363.475296706</v>
      </c>
      <c r="Q201" s="240">
        <f t="shared" si="36"/>
        <v>36592849.790599048</v>
      </c>
      <c r="R201" s="154"/>
      <c r="S201" s="188"/>
      <c r="T201" s="235"/>
      <c r="V201" s="235"/>
      <c r="W201" s="235"/>
      <c r="X201" s="235"/>
    </row>
    <row r="202" spans="1:24" ht="12.75" customHeight="1">
      <c r="A202" s="227">
        <v>45535</v>
      </c>
      <c r="B202" s="235">
        <f t="shared" si="39"/>
        <v>0</v>
      </c>
      <c r="C202" s="164">
        <f>'LSR Prepaid BPA interest'!I200</f>
        <v>108635.43446222984</v>
      </c>
      <c r="D202" s="159">
        <f>'LSR Prepaid BPA interest'!H200</f>
        <v>-598714.46764086466</v>
      </c>
      <c r="E202" s="236"/>
      <c r="F202" s="237">
        <f t="shared" si="37"/>
        <v>0</v>
      </c>
      <c r="G202" s="238">
        <f t="shared" si="40"/>
        <v>0</v>
      </c>
      <c r="H202" s="236">
        <f t="shared" si="33"/>
        <v>108635.43446222984</v>
      </c>
      <c r="I202" s="237">
        <f>-J201-H202</f>
        <v>-108635.43446222984</v>
      </c>
      <c r="J202" s="238">
        <f t="shared" si="41"/>
        <v>0</v>
      </c>
      <c r="K202" s="236"/>
      <c r="L202" s="237">
        <f>IF((F202+I202)&gt;D202,(D202-F202-I202)*$M$1,0)</f>
        <v>-20534.311490184798</v>
      </c>
      <c r="M202" s="238">
        <f>M201+K202+L202</f>
        <v>2741762.5207236949</v>
      </c>
      <c r="N202" s="236">
        <f>'LSR Prepaid BPA interest'!G200</f>
        <v>0</v>
      </c>
      <c r="O202" s="237">
        <f>IF((I202+L202)&gt;D202,(D202-I202)*$P$1,0)</f>
        <v>-469544.72168845002</v>
      </c>
      <c r="P202" s="238">
        <f>P201+N202+O202</f>
        <v>33338818.753608257</v>
      </c>
      <c r="Q202" s="240">
        <f t="shared" si="36"/>
        <v>36134080.04160694</v>
      </c>
      <c r="R202" s="154"/>
      <c r="S202" s="188"/>
      <c r="T202" s="235"/>
      <c r="V202" s="235"/>
      <c r="W202" s="235"/>
      <c r="X202" s="235"/>
    </row>
    <row r="203" spans="1:24" ht="12.75" customHeight="1">
      <c r="A203" s="227">
        <v>45565</v>
      </c>
      <c r="B203" s="235">
        <f t="shared" si="39"/>
        <v>0</v>
      </c>
      <c r="C203" s="164">
        <f>'LSR Prepaid BPA interest'!I201</f>
        <v>103376.16953172337</v>
      </c>
      <c r="D203" s="159">
        <f>'LSR Prepaid BPA interest'!H201</f>
        <v>-598714.46764086466</v>
      </c>
      <c r="E203" s="236"/>
      <c r="F203" s="237">
        <f t="shared" si="37"/>
        <v>0</v>
      </c>
      <c r="G203" s="238">
        <f t="shared" si="40"/>
        <v>0</v>
      </c>
      <c r="H203" s="236">
        <f t="shared" si="33"/>
        <v>103376.16953172337</v>
      </c>
      <c r="I203" s="237">
        <f t="shared" si="38"/>
        <v>-103376.16953172337</v>
      </c>
      <c r="J203" s="238">
        <f t="shared" si="41"/>
        <v>0</v>
      </c>
      <c r="K203" s="236"/>
      <c r="L203" s="237">
        <f>IF((F203+I203)&gt;D203,(D203-F203-I203)*$M$1,0)</f>
        <v>-20754.674690773019</v>
      </c>
      <c r="M203" s="238">
        <f>M202+K203+L203</f>
        <v>2721007.8460329217</v>
      </c>
      <c r="N203" s="236">
        <f>'LSR Prepaid BPA interest'!G201</f>
        <v>0</v>
      </c>
      <c r="O203" s="237">
        <f>IF((I203+L203)&gt;D203,(D203-I203)*$P$1,0)</f>
        <v>-474583.62341836822</v>
      </c>
      <c r="P203" s="238">
        <f>P202+N203+O203</f>
        <v>32864235.130189888</v>
      </c>
      <c r="Q203" s="240">
        <f t="shared" si="36"/>
        <v>35671158.888215639</v>
      </c>
      <c r="R203" s="154"/>
      <c r="S203" s="188"/>
      <c r="T203" s="235"/>
      <c r="V203" s="235"/>
      <c r="W203" s="235"/>
      <c r="X203" s="235"/>
    </row>
    <row r="204" spans="1:24" ht="12.75" customHeight="1">
      <c r="A204" s="227">
        <v>45596</v>
      </c>
      <c r="B204" s="235">
        <f t="shared" si="39"/>
        <v>0</v>
      </c>
      <c r="C204" s="164">
        <f>'LSR Prepaid BPA interest'!I202</f>
        <v>105985.3207474091</v>
      </c>
      <c r="D204" s="159">
        <f>'LSR Prepaid BPA interest'!H202</f>
        <v>-598714.46764086466</v>
      </c>
      <c r="E204" s="236"/>
      <c r="F204" s="237">
        <f t="shared" si="37"/>
        <v>0</v>
      </c>
      <c r="G204" s="238">
        <f t="shared" si="40"/>
        <v>0</v>
      </c>
      <c r="H204" s="236">
        <f t="shared" si="33"/>
        <v>105985.3207474091</v>
      </c>
      <c r="I204" s="237">
        <f t="shared" si="38"/>
        <v>-105985.3207474091</v>
      </c>
      <c r="J204" s="238">
        <f t="shared" si="41"/>
        <v>0</v>
      </c>
      <c r="K204" s="236"/>
      <c r="L204" s="237">
        <f t="shared" ref="L204:L220" si="42">IF((F204+I204)&gt;D204,(D204-F204-I204)*$M$1,0)</f>
        <v>-20645.351254835787</v>
      </c>
      <c r="M204" s="238">
        <f t="shared" ref="M204:M220" si="43">M203+K204+L204</f>
        <v>2700362.494778086</v>
      </c>
      <c r="N204" s="236">
        <f>'LSR Prepaid BPA interest'!G202</f>
        <v>0</v>
      </c>
      <c r="O204" s="237">
        <f t="shared" ref="O204:O220" si="44">IF((I204+L204)&gt;D204,(D204-I204)*$P$1,0)</f>
        <v>-472083.79563861975</v>
      </c>
      <c r="P204" s="238">
        <f t="shared" ref="P204:P220" si="45">P203+N204+O204</f>
        <v>32392151.334551267</v>
      </c>
      <c r="Q204" s="240">
        <f t="shared" si="36"/>
        <v>35205467.003270358</v>
      </c>
      <c r="R204" s="154"/>
      <c r="S204" s="188"/>
      <c r="T204" s="235"/>
      <c r="V204" s="235"/>
      <c r="W204" s="235"/>
      <c r="X204" s="235"/>
    </row>
    <row r="205" spans="1:24" ht="12.75" customHeight="1">
      <c r="A205" s="227">
        <v>45626</v>
      </c>
      <c r="B205" s="235">
        <f t="shared" si="39"/>
        <v>0</v>
      </c>
      <c r="C205" s="164">
        <f>'LSR Prepaid BPA interest'!I203</f>
        <v>100811.54335609041</v>
      </c>
      <c r="D205" s="159">
        <f>'LSR Prepaid BPA interest'!H203</f>
        <v>-598714.46764086466</v>
      </c>
      <c r="E205" s="236"/>
      <c r="F205" s="237">
        <f t="shared" si="37"/>
        <v>0</v>
      </c>
      <c r="G205" s="238">
        <f t="shared" si="40"/>
        <v>0</v>
      </c>
      <c r="H205" s="236">
        <f t="shared" ref="H205:H220" si="46">C205</f>
        <v>100811.54335609041</v>
      </c>
      <c r="I205" s="237">
        <f t="shared" si="38"/>
        <v>-100811.54335609041</v>
      </c>
      <c r="J205" s="238">
        <f t="shared" si="41"/>
        <v>0</v>
      </c>
      <c r="K205" s="236"/>
      <c r="L205" s="237">
        <f t="shared" si="42"/>
        <v>-20862.132527532041</v>
      </c>
      <c r="M205" s="238">
        <f t="shared" si="43"/>
        <v>2679500.3622505539</v>
      </c>
      <c r="N205" s="236">
        <f>'LSR Prepaid BPA interest'!G203</f>
        <v>0</v>
      </c>
      <c r="O205" s="237">
        <f t="shared" si="44"/>
        <v>-477040.79175724217</v>
      </c>
      <c r="P205" s="238">
        <f t="shared" si="45"/>
        <v>31915110.542794026</v>
      </c>
      <c r="Q205" s="240">
        <f t="shared" si="36"/>
        <v>34738389.474200226</v>
      </c>
      <c r="R205" s="154"/>
      <c r="S205" s="188"/>
      <c r="T205" s="235"/>
      <c r="V205" s="235"/>
      <c r="W205" s="235"/>
      <c r="X205" s="235"/>
    </row>
    <row r="206" spans="1:24" ht="12.75" customHeight="1">
      <c r="A206" s="227">
        <v>45657</v>
      </c>
      <c r="B206" s="235">
        <f t="shared" si="39"/>
        <v>0</v>
      </c>
      <c r="C206" s="164">
        <f>'LSR Prepaid BPA interest'!I204</f>
        <v>102358.53552184439</v>
      </c>
      <c r="D206" s="159">
        <f>'LSR Prepaid BPA interest'!H204</f>
        <v>-598714.46764086466</v>
      </c>
      <c r="E206" s="236"/>
      <c r="F206" s="237">
        <f t="shared" si="37"/>
        <v>0</v>
      </c>
      <c r="G206" s="238">
        <f t="shared" si="40"/>
        <v>0</v>
      </c>
      <c r="H206" s="236">
        <f t="shared" si="46"/>
        <v>102358.53552184439</v>
      </c>
      <c r="I206" s="237">
        <f t="shared" si="38"/>
        <v>-102358.53552184439</v>
      </c>
      <c r="J206" s="238">
        <f t="shared" si="41"/>
        <v>0</v>
      </c>
      <c r="K206" s="236"/>
      <c r="L206" s="237">
        <f t="shared" si="42"/>
        <v>-20797.31355578695</v>
      </c>
      <c r="M206" s="238">
        <f t="shared" si="43"/>
        <v>2658703.0486947671</v>
      </c>
      <c r="N206" s="236">
        <f>'LSR Prepaid BPA interest'!G204</f>
        <v>0</v>
      </c>
      <c r="O206" s="237">
        <f t="shared" si="44"/>
        <v>-475558.61856323329</v>
      </c>
      <c r="P206" s="238">
        <f t="shared" si="45"/>
        <v>31439551.924230792</v>
      </c>
      <c r="Q206" s="240">
        <f t="shared" si="36"/>
        <v>34269926.301005252</v>
      </c>
      <c r="R206" s="154"/>
      <c r="S206" s="188"/>
      <c r="T206" s="235"/>
      <c r="V206" s="235"/>
      <c r="W206" s="235"/>
      <c r="X206" s="235"/>
    </row>
    <row r="207" spans="1:24" ht="12.75" customHeight="1">
      <c r="A207" s="227">
        <v>45688</v>
      </c>
      <c r="B207" s="235">
        <f t="shared" si="39"/>
        <v>0</v>
      </c>
      <c r="C207" s="164">
        <f>'LSR Prepaid BPA interest'!I205</f>
        <v>101481.51600205142</v>
      </c>
      <c r="D207" s="159">
        <f>'LSR Prepaid BPA interest'!H205</f>
        <v>-598714.46764086466</v>
      </c>
      <c r="E207" s="236"/>
      <c r="F207" s="237">
        <f t="shared" si="37"/>
        <v>0</v>
      </c>
      <c r="G207" s="238">
        <f t="shared" si="40"/>
        <v>0</v>
      </c>
      <c r="H207" s="236">
        <f t="shared" si="46"/>
        <v>101481.51600205142</v>
      </c>
      <c r="I207" s="237">
        <f t="shared" si="38"/>
        <v>-101481.51600205142</v>
      </c>
      <c r="J207" s="238">
        <f t="shared" si="41"/>
        <v>0</v>
      </c>
      <c r="K207" s="236"/>
      <c r="L207" s="237">
        <f t="shared" si="42"/>
        <v>-20834.060673666274</v>
      </c>
      <c r="M207" s="238">
        <f t="shared" si="43"/>
        <v>2637868.9880211009</v>
      </c>
      <c r="N207" s="236">
        <f>'LSR Prepaid BPA interest'!G205</f>
        <v>0</v>
      </c>
      <c r="O207" s="237">
        <f t="shared" si="44"/>
        <v>-476398.89096514694</v>
      </c>
      <c r="P207" s="238">
        <f t="shared" si="45"/>
        <v>30963153.033265643</v>
      </c>
      <c r="Q207" s="240">
        <f t="shared" si="36"/>
        <v>33800048.438527502</v>
      </c>
      <c r="R207" s="154"/>
      <c r="S207" s="188"/>
      <c r="T207" s="235"/>
      <c r="V207" s="235"/>
      <c r="W207" s="235"/>
      <c r="X207" s="235"/>
    </row>
    <row r="208" spans="1:24" ht="12.75" customHeight="1">
      <c r="A208" s="227">
        <v>45716</v>
      </c>
      <c r="B208" s="235">
        <f t="shared" si="39"/>
        <v>0</v>
      </c>
      <c r="C208" s="164">
        <f>'LSR Prepaid BPA interest'!I206</f>
        <v>90022.821125791379</v>
      </c>
      <c r="D208" s="159">
        <f>'LSR Prepaid BPA interest'!H206</f>
        <v>-598714.46764086466</v>
      </c>
      <c r="E208" s="236"/>
      <c r="F208" s="237">
        <f t="shared" si="37"/>
        <v>0</v>
      </c>
      <c r="G208" s="238">
        <f t="shared" si="40"/>
        <v>0</v>
      </c>
      <c r="H208" s="236">
        <f t="shared" si="46"/>
        <v>90022.821125791379</v>
      </c>
      <c r="I208" s="237">
        <f t="shared" si="38"/>
        <v>-90022.821125791379</v>
      </c>
      <c r="J208" s="238">
        <f t="shared" si="41"/>
        <v>0</v>
      </c>
      <c r="K208" s="236"/>
      <c r="L208" s="237">
        <f t="shared" si="42"/>
        <v>-21314.17998898157</v>
      </c>
      <c r="M208" s="238">
        <f t="shared" si="43"/>
        <v>2616554.8080321192</v>
      </c>
      <c r="N208" s="236">
        <f>'LSR Prepaid BPA interest'!G206</f>
        <v>0</v>
      </c>
      <c r="O208" s="237">
        <f t="shared" si="44"/>
        <v>-487377.46652609168</v>
      </c>
      <c r="P208" s="238">
        <f t="shared" si="45"/>
        <v>30475775.566739552</v>
      </c>
      <c r="Q208" s="240">
        <f t="shared" si="36"/>
        <v>33328667.046906535</v>
      </c>
      <c r="R208" s="154"/>
    </row>
    <row r="209" spans="1:18" ht="12.75" customHeight="1">
      <c r="A209" s="227">
        <v>45747</v>
      </c>
      <c r="B209" s="235">
        <f t="shared" si="39"/>
        <v>0</v>
      </c>
      <c r="C209" s="164">
        <f>'LSR Prepaid BPA interest'!I207</f>
        <v>97854.730776486656</v>
      </c>
      <c r="D209" s="159">
        <f>'LSR Prepaid BPA interest'!H207</f>
        <v>-598714.46764086466</v>
      </c>
      <c r="E209" s="236"/>
      <c r="F209" s="237">
        <f t="shared" si="37"/>
        <v>0</v>
      </c>
      <c r="G209" s="238">
        <f t="shared" si="40"/>
        <v>0</v>
      </c>
      <c r="H209" s="236">
        <f t="shared" si="46"/>
        <v>97854.730776486656</v>
      </c>
      <c r="I209" s="237">
        <f t="shared" si="38"/>
        <v>-97854.730776486656</v>
      </c>
      <c r="J209" s="238">
        <f t="shared" si="41"/>
        <v>0</v>
      </c>
      <c r="K209" s="236"/>
      <c r="L209" s="237">
        <f t="shared" si="42"/>
        <v>-20986.022974617437</v>
      </c>
      <c r="M209" s="238">
        <f t="shared" si="43"/>
        <v>2595568.7850575019</v>
      </c>
      <c r="N209" s="236">
        <f>'LSR Prepaid BPA interest'!G207</f>
        <v>0</v>
      </c>
      <c r="O209" s="237">
        <f t="shared" si="44"/>
        <v>-479873.71388976049</v>
      </c>
      <c r="P209" s="238">
        <f t="shared" si="45"/>
        <v>29995901.852849793</v>
      </c>
      <c r="Q209" s="240">
        <f t="shared" si="36"/>
        <v>32855782.126142357</v>
      </c>
      <c r="R209" s="154"/>
    </row>
    <row r="210" spans="1:18" ht="12.75" customHeight="1">
      <c r="A210" s="227">
        <v>45777</v>
      </c>
      <c r="B210" s="235">
        <f t="shared" si="39"/>
        <v>0</v>
      </c>
      <c r="C210" s="164">
        <f>'LSR Prepaid BPA interest'!I208</f>
        <v>93791.37282684994</v>
      </c>
      <c r="D210" s="159">
        <f>'LSR Prepaid BPA interest'!H208</f>
        <v>-598714.46764086466</v>
      </c>
      <c r="E210" s="236"/>
      <c r="F210" s="237">
        <f t="shared" si="37"/>
        <v>0</v>
      </c>
      <c r="G210" s="238">
        <f t="shared" si="40"/>
        <v>0</v>
      </c>
      <c r="H210" s="236">
        <f t="shared" si="46"/>
        <v>93791.37282684994</v>
      </c>
      <c r="I210" s="237">
        <f t="shared" si="38"/>
        <v>-93791.37282684994</v>
      </c>
      <c r="J210" s="238">
        <f t="shared" si="41"/>
        <v>0</v>
      </c>
      <c r="K210" s="236"/>
      <c r="L210" s="237">
        <f t="shared" si="42"/>
        <v>-21156.277672707216</v>
      </c>
      <c r="M210" s="238">
        <f t="shared" si="43"/>
        <v>2574412.5073847948</v>
      </c>
      <c r="N210" s="236">
        <f>'LSR Prepaid BPA interest'!G208</f>
        <v>0</v>
      </c>
      <c r="O210" s="237">
        <f t="shared" si="44"/>
        <v>-483766.81714130752</v>
      </c>
      <c r="P210" s="238">
        <f t="shared" si="45"/>
        <v>29512135.035708487</v>
      </c>
      <c r="Q210" s="240">
        <f t="shared" si="36"/>
        <v>32381492.616491858</v>
      </c>
      <c r="R210" s="154"/>
    </row>
    <row r="211" spans="1:18" ht="12.75" customHeight="1">
      <c r="A211" s="227">
        <v>45808</v>
      </c>
      <c r="B211" s="235">
        <f t="shared" si="39"/>
        <v>0</v>
      </c>
      <c r="C211" s="164">
        <f>'LSR Prepaid BPA interest'!I209</f>
        <v>95104.359308295912</v>
      </c>
      <c r="D211" s="159">
        <f>'LSR Prepaid BPA interest'!H209</f>
        <v>-598714.46764086466</v>
      </c>
      <c r="E211" s="236"/>
      <c r="F211" s="237">
        <f t="shared" si="37"/>
        <v>0</v>
      </c>
      <c r="G211" s="238">
        <f t="shared" si="40"/>
        <v>0</v>
      </c>
      <c r="H211" s="236">
        <f t="shared" si="46"/>
        <v>95104.359308295912</v>
      </c>
      <c r="I211" s="237">
        <f t="shared" si="38"/>
        <v>-95104.359308295912</v>
      </c>
      <c r="J211" s="238">
        <f t="shared" si="41"/>
        <v>0</v>
      </c>
      <c r="K211" s="236"/>
      <c r="L211" s="237">
        <f t="shared" si="42"/>
        <v>-21101.26353913463</v>
      </c>
      <c r="M211" s="238">
        <f t="shared" si="43"/>
        <v>2553311.2438456602</v>
      </c>
      <c r="N211" s="236">
        <f>'LSR Prepaid BPA interest'!G209</f>
        <v>0</v>
      </c>
      <c r="O211" s="237">
        <f t="shared" si="44"/>
        <v>-482508.84479343414</v>
      </c>
      <c r="P211" s="238">
        <f t="shared" si="45"/>
        <v>29029626.190915052</v>
      </c>
      <c r="Q211" s="240">
        <f t="shared" si="36"/>
        <v>31905791.812051807</v>
      </c>
      <c r="R211" s="154"/>
    </row>
    <row r="212" spans="1:18" ht="12.75" customHeight="1">
      <c r="A212" s="227">
        <v>45838</v>
      </c>
      <c r="B212" s="235">
        <f t="shared" si="39"/>
        <v>0</v>
      </c>
      <c r="C212" s="164">
        <f>'LSR Prepaid BPA interest'!I210</f>
        <v>90281.580673077624</v>
      </c>
      <c r="D212" s="159">
        <f>'LSR Prepaid BPA interest'!H210</f>
        <v>-598714.46764086466</v>
      </c>
      <c r="E212" s="236"/>
      <c r="F212" s="237">
        <f t="shared" si="37"/>
        <v>0</v>
      </c>
      <c r="G212" s="238">
        <f t="shared" si="40"/>
        <v>0</v>
      </c>
      <c r="H212" s="236">
        <f t="shared" si="46"/>
        <v>90281.580673077624</v>
      </c>
      <c r="I212" s="237">
        <f t="shared" si="38"/>
        <v>-90281.580673077624</v>
      </c>
      <c r="J212" s="238">
        <f t="shared" si="41"/>
        <v>0</v>
      </c>
      <c r="K212" s="236"/>
      <c r="L212" s="237">
        <f t="shared" si="42"/>
        <v>-21303.337963950278</v>
      </c>
      <c r="M212" s="238">
        <f t="shared" si="43"/>
        <v>2532007.9058817099</v>
      </c>
      <c r="N212" s="236">
        <f>'LSR Prepaid BPA interest'!G210</f>
        <v>0</v>
      </c>
      <c r="O212" s="237">
        <f t="shared" si="44"/>
        <v>-487129.54900383676</v>
      </c>
      <c r="P212" s="238">
        <f t="shared" si="45"/>
        <v>28542496.641911216</v>
      </c>
      <c r="Q212" s="240">
        <f t="shared" si="36"/>
        <v>31428679.71282221</v>
      </c>
      <c r="R212" s="154"/>
    </row>
    <row r="213" spans="1:18" ht="12.75" customHeight="1">
      <c r="A213" s="227">
        <v>45869</v>
      </c>
      <c r="B213" s="235">
        <f t="shared" si="39"/>
        <v>0</v>
      </c>
      <c r="C213" s="164">
        <f>'LSR Prepaid BPA interest'!I211</f>
        <v>92323.149234268232</v>
      </c>
      <c r="D213" s="159">
        <f>'LSR Prepaid BPA interest'!H211</f>
        <v>-598714.46764086466</v>
      </c>
      <c r="E213" s="236"/>
      <c r="F213" s="237">
        <f t="shared" si="37"/>
        <v>0</v>
      </c>
      <c r="G213" s="238">
        <f t="shared" si="40"/>
        <v>0</v>
      </c>
      <c r="H213" s="236">
        <f t="shared" si="46"/>
        <v>92323.149234268232</v>
      </c>
      <c r="I213" s="237">
        <f t="shared" si="38"/>
        <v>-92323.149234268232</v>
      </c>
      <c r="J213" s="238">
        <f t="shared" si="41"/>
        <v>0</v>
      </c>
      <c r="K213" s="236"/>
      <c r="L213" s="237">
        <f t="shared" si="42"/>
        <v>-21217.796241236389</v>
      </c>
      <c r="M213" s="238">
        <f t="shared" si="43"/>
        <v>2510790.1096404735</v>
      </c>
      <c r="N213" s="236">
        <f>'LSR Prepaid BPA interest'!G211</f>
        <v>0</v>
      </c>
      <c r="O213" s="237">
        <f t="shared" si="44"/>
        <v>-485173.52216535999</v>
      </c>
      <c r="P213" s="238">
        <f t="shared" si="45"/>
        <v>28057323.119745854</v>
      </c>
      <c r="Q213" s="240">
        <f t="shared" ref="Q213:Q220" si="47">(P213+P201+SUM(P202:P212)*2)/24</f>
        <v>30950149.942023769</v>
      </c>
      <c r="R213" s="154"/>
    </row>
    <row r="214" spans="1:18" ht="12.75" customHeight="1">
      <c r="A214" s="227">
        <v>45900</v>
      </c>
      <c r="B214" s="235">
        <f t="shared" si="39"/>
        <v>0</v>
      </c>
      <c r="C214" s="164">
        <f>'LSR Prepaid BPA interest'!I212</f>
        <v>90509.756621485853</v>
      </c>
      <c r="D214" s="159">
        <f>'LSR Prepaid BPA interest'!H212</f>
        <v>-598714.46764086466</v>
      </c>
      <c r="E214" s="236"/>
      <c r="F214" s="237">
        <f t="shared" si="37"/>
        <v>0</v>
      </c>
      <c r="G214" s="238">
        <f t="shared" si="40"/>
        <v>0</v>
      </c>
      <c r="H214" s="236">
        <f t="shared" si="46"/>
        <v>90509.756621485853</v>
      </c>
      <c r="I214" s="237">
        <f t="shared" si="38"/>
        <v>-90509.756621485853</v>
      </c>
      <c r="J214" s="238">
        <f t="shared" si="41"/>
        <v>0</v>
      </c>
      <c r="K214" s="236"/>
      <c r="L214" s="237">
        <f t="shared" si="42"/>
        <v>-21293.77739171197</v>
      </c>
      <c r="M214" s="238">
        <f t="shared" si="43"/>
        <v>2489496.3322487613</v>
      </c>
      <c r="N214" s="236">
        <f>'LSR Prepaid BPA interest'!G212</f>
        <v>0</v>
      </c>
      <c r="O214" s="237">
        <f t="shared" si="44"/>
        <v>-486910.93362766679</v>
      </c>
      <c r="P214" s="238">
        <f t="shared" si="45"/>
        <v>27570412.186118189</v>
      </c>
      <c r="Q214" s="240">
        <f t="shared" si="47"/>
        <v>30470172.986897066</v>
      </c>
      <c r="R214" s="154"/>
    </row>
    <row r="215" spans="1:18" ht="12.75" customHeight="1">
      <c r="A215" s="227">
        <v>45930</v>
      </c>
      <c r="B215" s="235">
        <f t="shared" si="39"/>
        <v>0</v>
      </c>
      <c r="C215" s="164">
        <f>'LSR Prepaid BPA interest'!I213</f>
        <v>85835.190976164668</v>
      </c>
      <c r="D215" s="159">
        <f>'LSR Prepaid BPA interest'!H213</f>
        <v>-598714.46764086466</v>
      </c>
      <c r="E215" s="236"/>
      <c r="F215" s="237">
        <f t="shared" si="37"/>
        <v>0</v>
      </c>
      <c r="G215" s="238">
        <f t="shared" si="40"/>
        <v>0</v>
      </c>
      <c r="H215" s="236">
        <f t="shared" si="46"/>
        <v>85835.190976164668</v>
      </c>
      <c r="I215" s="237">
        <f t="shared" si="38"/>
        <v>-85835.190976164668</v>
      </c>
      <c r="J215" s="238">
        <f t="shared" si="41"/>
        <v>0</v>
      </c>
      <c r="K215" s="236"/>
      <c r="L215" s="237">
        <f t="shared" si="42"/>
        <v>-21489.641692250931</v>
      </c>
      <c r="M215" s="238">
        <f t="shared" si="43"/>
        <v>2468006.6905565104</v>
      </c>
      <c r="N215" s="236">
        <f>'LSR Prepaid BPA interest'!G213</f>
        <v>0</v>
      </c>
      <c r="O215" s="237">
        <f t="shared" si="44"/>
        <v>-491389.63497244904</v>
      </c>
      <c r="P215" s="238">
        <f t="shared" si="45"/>
        <v>27079022.55114574</v>
      </c>
      <c r="Q215" s="240">
        <f t="shared" si="47"/>
        <v>29988772.189124804</v>
      </c>
      <c r="R215" s="154"/>
    </row>
    <row r="216" spans="1:18" ht="12.75" customHeight="1">
      <c r="A216" s="227">
        <v>45961</v>
      </c>
      <c r="B216" s="235">
        <f t="shared" si="39"/>
        <v>0</v>
      </c>
      <c r="C216" s="164">
        <f>'LSR Prepaid BPA interest'!I214</f>
        <v>87584.648461228207</v>
      </c>
      <c r="D216" s="159">
        <f>'LSR Prepaid BPA interest'!H214</f>
        <v>-635715.02174107009</v>
      </c>
      <c r="E216" s="236"/>
      <c r="F216" s="237">
        <f t="shared" si="37"/>
        <v>0</v>
      </c>
      <c r="G216" s="238">
        <f t="shared" si="40"/>
        <v>0</v>
      </c>
      <c r="H216" s="236">
        <f t="shared" si="46"/>
        <v>87584.648461228207</v>
      </c>
      <c r="I216" s="237">
        <f t="shared" si="38"/>
        <v>-87584.648461228207</v>
      </c>
      <c r="J216" s="238">
        <f t="shared" si="41"/>
        <v>0</v>
      </c>
      <c r="K216" s="236"/>
      <c r="L216" s="237">
        <f t="shared" si="42"/>
        <v>-22966.662640425373</v>
      </c>
      <c r="M216" s="238">
        <f t="shared" si="43"/>
        <v>2445040.027916085</v>
      </c>
      <c r="N216" s="236">
        <f>'LSR Prepaid BPA interest'!G214</f>
        <v>0</v>
      </c>
      <c r="O216" s="237">
        <f t="shared" si="44"/>
        <v>-525163.71063941647</v>
      </c>
      <c r="P216" s="238">
        <f t="shared" si="45"/>
        <v>26553858.840506323</v>
      </c>
      <c r="Q216" s="240">
        <f t="shared" si="47"/>
        <v>29504459.477746088</v>
      </c>
      <c r="R216" s="154"/>
    </row>
    <row r="217" spans="1:18" ht="12.75" customHeight="1">
      <c r="A217" s="227">
        <v>45991</v>
      </c>
      <c r="B217" s="235">
        <f t="shared" si="39"/>
        <v>0</v>
      </c>
      <c r="C217" s="164">
        <f>'LSR Prepaid BPA interest'!I215</f>
        <v>82895.988566105691</v>
      </c>
      <c r="D217" s="159">
        <f>'LSR Prepaid BPA interest'!H215</f>
        <v>-635715.02174107009</v>
      </c>
      <c r="E217" s="236"/>
      <c r="F217" s="237">
        <f t="shared" si="37"/>
        <v>0</v>
      </c>
      <c r="G217" s="238">
        <f t="shared" si="40"/>
        <v>0</v>
      </c>
      <c r="H217" s="236">
        <f t="shared" si="46"/>
        <v>82895.988566105691</v>
      </c>
      <c r="I217" s="237">
        <f t="shared" si="38"/>
        <v>-82895.988566105691</v>
      </c>
      <c r="J217" s="238">
        <f t="shared" si="41"/>
        <v>0</v>
      </c>
      <c r="K217" s="236"/>
      <c r="L217" s="237">
        <f t="shared" si="42"/>
        <v>-23163.117490031007</v>
      </c>
      <c r="M217" s="238">
        <f t="shared" si="43"/>
        <v>2421876.9104260541</v>
      </c>
      <c r="N217" s="236">
        <f>'LSR Prepaid BPA interest'!G215</f>
        <v>0</v>
      </c>
      <c r="O217" s="237">
        <f t="shared" si="44"/>
        <v>-529655.91568493331</v>
      </c>
      <c r="P217" s="238">
        <f t="shared" si="45"/>
        <v>26024202.924821388</v>
      </c>
      <c r="Q217" s="240">
        <f t="shared" si="47"/>
        <v>29015742.806412026</v>
      </c>
      <c r="R217" s="154"/>
    </row>
    <row r="218" spans="1:18" ht="12.75" customHeight="1">
      <c r="A218" s="227">
        <v>46022</v>
      </c>
      <c r="B218" s="235">
        <f t="shared" si="39"/>
        <v>0</v>
      </c>
      <c r="C218" s="164">
        <f>'LSR Prepaid BPA interest'!I216</f>
        <v>83733.727908723566</v>
      </c>
      <c r="D218" s="159">
        <f>'LSR Prepaid BPA interest'!H216</f>
        <v>-635715.02174107009</v>
      </c>
      <c r="E218" s="236"/>
      <c r="F218" s="237">
        <f t="shared" si="37"/>
        <v>0</v>
      </c>
      <c r="G218" s="238">
        <f t="shared" si="40"/>
        <v>0</v>
      </c>
      <c r="H218" s="236">
        <f t="shared" si="46"/>
        <v>83733.727908723566</v>
      </c>
      <c r="I218" s="237">
        <f t="shared" si="38"/>
        <v>-83733.727908723566</v>
      </c>
      <c r="J218" s="238">
        <f t="shared" si="41"/>
        <v>0</v>
      </c>
      <c r="K218" s="236"/>
      <c r="L218" s="237">
        <f t="shared" si="42"/>
        <v>-23128.016211575319</v>
      </c>
      <c r="M218" s="238">
        <f t="shared" si="43"/>
        <v>2398748.8942144788</v>
      </c>
      <c r="N218" s="236">
        <f>'LSR Prepaid BPA interest'!G216</f>
        <v>0</v>
      </c>
      <c r="O218" s="237">
        <f t="shared" si="44"/>
        <v>-528853.2776207712</v>
      </c>
      <c r="P218" s="238">
        <f t="shared" si="45"/>
        <v>25495349.647200618</v>
      </c>
      <c r="Q218" s="240">
        <f t="shared" si="47"/>
        <v>28522613.227453575</v>
      </c>
      <c r="R218" s="154"/>
    </row>
    <row r="219" spans="1:18" ht="12.75" customHeight="1">
      <c r="A219" s="227">
        <v>46053</v>
      </c>
      <c r="B219" s="235">
        <f t="shared" si="39"/>
        <v>0</v>
      </c>
      <c r="C219" s="164">
        <f>'LSR Prepaid BPA interest'!I217</f>
        <v>82578.234747604874</v>
      </c>
      <c r="D219" s="159">
        <f>'LSR Prepaid BPA interest'!H217</f>
        <v>-635715.02174107009</v>
      </c>
      <c r="E219" s="236"/>
      <c r="F219" s="237">
        <f t="shared" si="37"/>
        <v>0</v>
      </c>
      <c r="G219" s="238">
        <f t="shared" si="40"/>
        <v>0</v>
      </c>
      <c r="H219" s="236">
        <f t="shared" si="46"/>
        <v>82578.234747604874</v>
      </c>
      <c r="I219" s="237">
        <f t="shared" si="38"/>
        <v>-82578.234747604874</v>
      </c>
      <c r="J219" s="238">
        <f t="shared" si="41"/>
        <v>0</v>
      </c>
      <c r="K219" s="236"/>
      <c r="L219" s="237">
        <f t="shared" si="42"/>
        <v>-23176.43137502619</v>
      </c>
      <c r="M219" s="238">
        <f t="shared" si="43"/>
        <v>2375572.4628394525</v>
      </c>
      <c r="N219" s="236">
        <f>'LSR Prepaid BPA interest'!G217</f>
        <v>0</v>
      </c>
      <c r="O219" s="237">
        <f t="shared" si="44"/>
        <v>-529960.35561843892</v>
      </c>
      <c r="P219" s="238">
        <f t="shared" si="45"/>
        <v>24965389.291582178</v>
      </c>
      <c r="Q219" s="240">
        <f t="shared" si="47"/>
        <v>28025031.310007174</v>
      </c>
      <c r="R219" s="154"/>
    </row>
    <row r="220" spans="1:18" ht="12.75" customHeight="1">
      <c r="A220" s="227">
        <v>46081</v>
      </c>
      <c r="B220" s="235">
        <f t="shared" si="39"/>
        <v>0</v>
      </c>
      <c r="C220" s="164">
        <f>'LSR Prepaid BPA interest'!I218</f>
        <v>72847.667264447475</v>
      </c>
      <c r="D220" s="159">
        <f>'LSR Prepaid BPA interest'!H218</f>
        <v>-635715.02174107009</v>
      </c>
      <c r="E220" s="236"/>
      <c r="F220" s="237">
        <f t="shared" si="37"/>
        <v>0</v>
      </c>
      <c r="G220" s="238">
        <f t="shared" si="40"/>
        <v>0</v>
      </c>
      <c r="H220" s="236">
        <f t="shared" si="46"/>
        <v>72847.667264447475</v>
      </c>
      <c r="I220" s="237">
        <f t="shared" si="38"/>
        <v>-72847.667264447475</v>
      </c>
      <c r="J220" s="238">
        <f t="shared" si="41"/>
        <v>0</v>
      </c>
      <c r="K220" s="236"/>
      <c r="L220" s="237">
        <f t="shared" si="42"/>
        <v>-23584.14215257049</v>
      </c>
      <c r="M220" s="238">
        <f t="shared" si="43"/>
        <v>2351988.3206868819</v>
      </c>
      <c r="N220" s="236">
        <f>'LSR Prepaid BPA interest'!G218</f>
        <v>0</v>
      </c>
      <c r="O220" s="237">
        <f t="shared" si="44"/>
        <v>-539283.21232405212</v>
      </c>
      <c r="P220" s="238">
        <f t="shared" si="45"/>
        <v>24426106.079258125</v>
      </c>
      <c r="Q220" s="240">
        <f t="shared" si="47"/>
        <v>27523054.925458636</v>
      </c>
      <c r="R220" s="154"/>
    </row>
    <row r="221" spans="1:18" ht="12.75" customHeight="1">
      <c r="A221" s="227">
        <v>46112</v>
      </c>
      <c r="B221" s="235">
        <f t="shared" si="39"/>
        <v>0</v>
      </c>
      <c r="C221" s="164">
        <f>'LSR Prepaid BPA interest'!I219</f>
        <v>78727.314195100233</v>
      </c>
      <c r="D221" s="159">
        <f>'LSR Prepaid BPA interest'!H219</f>
        <v>-635715.02174107009</v>
      </c>
      <c r="E221" s="236"/>
      <c r="F221" s="237">
        <f t="shared" ref="F221:F284" si="48">-MIN(ABS(D221),ABS(G220))</f>
        <v>0</v>
      </c>
      <c r="G221" s="238">
        <f t="shared" ref="G221:G284" si="49">G220+E221+F221</f>
        <v>0</v>
      </c>
      <c r="H221" s="236">
        <f t="shared" ref="H221:H284" si="50">C221</f>
        <v>78727.314195100233</v>
      </c>
      <c r="I221" s="237">
        <f t="shared" ref="I221:I284" si="51">-J220-H221</f>
        <v>-78727.314195100233</v>
      </c>
      <c r="J221" s="238">
        <f t="shared" ref="J221:J284" si="52">J220+H221+I221</f>
        <v>0</v>
      </c>
      <c r="K221" s="236"/>
      <c r="L221" s="237">
        <f t="shared" ref="L221:L284" si="53">IF((F221+I221)&gt;D221,(D221-F221-I221)*$M$1,0)</f>
        <v>-23337.784946176136</v>
      </c>
      <c r="M221" s="238">
        <f t="shared" ref="M221:M284" si="54">M220+K221+L221</f>
        <v>2328650.5357407057</v>
      </c>
      <c r="N221" s="236">
        <f>'LSR Prepaid BPA interest'!G219</f>
        <v>0</v>
      </c>
      <c r="O221" s="237">
        <f t="shared" ref="O221:O284" si="55">IF((I221+L221)&gt;D221,(D221-I221)*$P$1,0)</f>
        <v>-533649.92259979376</v>
      </c>
      <c r="P221" s="238">
        <f t="shared" ref="P221:P284" si="56">P220+N221+O221</f>
        <v>23892456.156658333</v>
      </c>
      <c r="Q221" s="240">
        <f t="shared" ref="Q221:Q284" si="57">(P221+P209+SUM(P210:P220)*2)/24</f>
        <v>27016675.126138937</v>
      </c>
      <c r="R221" s="154"/>
    </row>
    <row r="222" spans="1:18" ht="12.75" customHeight="1">
      <c r="A222" s="227">
        <v>46142</v>
      </c>
      <c r="B222" s="235">
        <f t="shared" si="39"/>
        <v>0</v>
      </c>
      <c r="C222" s="164">
        <f>'LSR Prepaid BPA interest'!I220</f>
        <v>75010.702855989352</v>
      </c>
      <c r="D222" s="159">
        <f>'LSR Prepaid BPA interest'!H220</f>
        <v>-635715.02174107009</v>
      </c>
      <c r="E222" s="236"/>
      <c r="F222" s="237">
        <f t="shared" si="48"/>
        <v>0</v>
      </c>
      <c r="G222" s="238">
        <f t="shared" si="49"/>
        <v>0</v>
      </c>
      <c r="H222" s="236">
        <f t="shared" si="50"/>
        <v>75010.702855989352</v>
      </c>
      <c r="I222" s="237">
        <f t="shared" si="51"/>
        <v>-75010.702855989352</v>
      </c>
      <c r="J222" s="238">
        <f t="shared" si="52"/>
        <v>0</v>
      </c>
      <c r="K222" s="236"/>
      <c r="L222" s="237">
        <f t="shared" si="53"/>
        <v>-23493.510961284883</v>
      </c>
      <c r="M222" s="238">
        <f t="shared" si="54"/>
        <v>2305157.0247794208</v>
      </c>
      <c r="N222" s="236">
        <f>'LSR Prepaid BPA interest'!G220</f>
        <v>0</v>
      </c>
      <c r="O222" s="237">
        <f t="shared" si="55"/>
        <v>-537210.80792379589</v>
      </c>
      <c r="P222" s="238">
        <f t="shared" si="56"/>
        <v>23355245.348734535</v>
      </c>
      <c r="Q222" s="240">
        <f t="shared" si="57"/>
        <v>26505827.818507042</v>
      </c>
      <c r="R222" s="154"/>
    </row>
    <row r="223" spans="1:18" ht="12.75" customHeight="1">
      <c r="A223" s="227">
        <v>46173</v>
      </c>
      <c r="B223" s="235">
        <f t="shared" si="39"/>
        <v>0</v>
      </c>
      <c r="C223" s="164">
        <f>'LSR Prepaid BPA interest'!I221</f>
        <v>75585.599341603331</v>
      </c>
      <c r="D223" s="159">
        <f>'LSR Prepaid BPA interest'!H221</f>
        <v>-635715.02174107009</v>
      </c>
      <c r="E223" s="236"/>
      <c r="F223" s="237">
        <f t="shared" si="48"/>
        <v>0</v>
      </c>
      <c r="G223" s="238">
        <f t="shared" si="49"/>
        <v>0</v>
      </c>
      <c r="H223" s="236">
        <f t="shared" si="50"/>
        <v>75585.599341603331</v>
      </c>
      <c r="I223" s="237">
        <f t="shared" si="51"/>
        <v>-75585.599341603331</v>
      </c>
      <c r="J223" s="238">
        <f t="shared" si="52"/>
        <v>0</v>
      </c>
      <c r="K223" s="236"/>
      <c r="L223" s="237">
        <f t="shared" si="53"/>
        <v>-23469.422798537656</v>
      </c>
      <c r="M223" s="238">
        <f t="shared" si="54"/>
        <v>2281687.6019808832</v>
      </c>
      <c r="N223" s="236">
        <f>'LSR Prepaid BPA interest'!G221</f>
        <v>0</v>
      </c>
      <c r="O223" s="237">
        <f t="shared" si="55"/>
        <v>-536659.99960092909</v>
      </c>
      <c r="P223" s="238">
        <f t="shared" si="56"/>
        <v>22818585.349133607</v>
      </c>
      <c r="Q223" s="240">
        <f t="shared" si="57"/>
        <v>25990497.379808903</v>
      </c>
      <c r="R223" s="154"/>
    </row>
    <row r="224" spans="1:18" ht="12.75" customHeight="1">
      <c r="A224" s="227">
        <v>46203</v>
      </c>
      <c r="B224" s="235">
        <f t="shared" si="39"/>
        <v>0</v>
      </c>
      <c r="C224" s="164">
        <f>'LSR Prepaid BPA interest'!I222</f>
        <v>71284.005547113891</v>
      </c>
      <c r="D224" s="159">
        <f>'LSR Prepaid BPA interest'!H222</f>
        <v>-635715.02174107009</v>
      </c>
      <c r="E224" s="236"/>
      <c r="F224" s="237">
        <f t="shared" si="48"/>
        <v>0</v>
      </c>
      <c r="G224" s="238">
        <f t="shared" si="49"/>
        <v>0</v>
      </c>
      <c r="H224" s="236">
        <f t="shared" si="50"/>
        <v>71284.005547113891</v>
      </c>
      <c r="I224" s="237">
        <f t="shared" si="51"/>
        <v>-71284.005547113891</v>
      </c>
      <c r="J224" s="238">
        <f t="shared" si="52"/>
        <v>0</v>
      </c>
      <c r="K224" s="236"/>
      <c r="L224" s="237">
        <f t="shared" si="53"/>
        <v>-23649.659578526764</v>
      </c>
      <c r="M224" s="238">
        <f t="shared" si="54"/>
        <v>2258037.9424023563</v>
      </c>
      <c r="N224" s="236">
        <f>'LSR Prepaid BPA interest'!G222</f>
        <v>0</v>
      </c>
      <c r="O224" s="237">
        <f t="shared" si="55"/>
        <v>-540781.35661542939</v>
      </c>
      <c r="P224" s="238">
        <f t="shared" si="56"/>
        <v>22277803.992518179</v>
      </c>
      <c r="Q224" s="240">
        <f t="shared" si="57"/>
        <v>25470675.151009958</v>
      </c>
      <c r="R224" s="154"/>
    </row>
    <row r="225" spans="1:18" ht="12.75" customHeight="1">
      <c r="A225" s="227">
        <v>46234</v>
      </c>
      <c r="B225" s="235">
        <f t="shared" si="39"/>
        <v>0</v>
      </c>
      <c r="C225" s="164">
        <f>'LSR Prepaid BPA interest'!I223</f>
        <v>72406.712175182634</v>
      </c>
      <c r="D225" s="159">
        <f>'LSR Prepaid BPA interest'!H223</f>
        <v>-635715.02174107009</v>
      </c>
      <c r="E225" s="236"/>
      <c r="F225" s="237">
        <f t="shared" si="48"/>
        <v>0</v>
      </c>
      <c r="G225" s="238">
        <f t="shared" si="49"/>
        <v>0</v>
      </c>
      <c r="H225" s="236">
        <f t="shared" si="50"/>
        <v>72406.712175182634</v>
      </c>
      <c r="I225" s="237">
        <f t="shared" si="51"/>
        <v>-72406.712175182634</v>
      </c>
      <c r="J225" s="238">
        <f t="shared" si="52"/>
        <v>0</v>
      </c>
      <c r="K225" s="236"/>
      <c r="L225" s="237">
        <f t="shared" si="53"/>
        <v>-23602.618170810685</v>
      </c>
      <c r="M225" s="238">
        <f t="shared" si="54"/>
        <v>2234435.3242315454</v>
      </c>
      <c r="N225" s="236">
        <f>'LSR Prepaid BPA interest'!G223</f>
        <v>0</v>
      </c>
      <c r="O225" s="237">
        <f t="shared" si="55"/>
        <v>-539705.69139507669</v>
      </c>
      <c r="P225" s="238">
        <f t="shared" si="56"/>
        <v>21738098.301123101</v>
      </c>
      <c r="Q225" s="240">
        <f t="shared" si="57"/>
        <v>24946345.256509308</v>
      </c>
      <c r="R225" s="154"/>
    </row>
    <row r="226" spans="1:18" ht="12.75" customHeight="1">
      <c r="A226" s="227">
        <v>46265</v>
      </c>
      <c r="B226" s="235">
        <f t="shared" si="39"/>
        <v>0</v>
      </c>
      <c r="C226" s="164">
        <f>'LSR Prepaid BPA interest'!I224</f>
        <v>70481.251898930306</v>
      </c>
      <c r="D226" s="159">
        <f>'LSR Prepaid BPA interest'!H224</f>
        <v>-635715.02174107009</v>
      </c>
      <c r="E226" s="236"/>
      <c r="F226" s="237">
        <f t="shared" si="48"/>
        <v>0</v>
      </c>
      <c r="G226" s="238">
        <f t="shared" si="49"/>
        <v>0</v>
      </c>
      <c r="H226" s="236">
        <f t="shared" si="50"/>
        <v>70481.251898930306</v>
      </c>
      <c r="I226" s="237">
        <f t="shared" si="51"/>
        <v>-70481.251898930306</v>
      </c>
      <c r="J226" s="238">
        <f t="shared" si="52"/>
        <v>0</v>
      </c>
      <c r="K226" s="236"/>
      <c r="L226" s="237">
        <f t="shared" si="53"/>
        <v>-23683.294956385656</v>
      </c>
      <c r="M226" s="238">
        <f t="shared" si="54"/>
        <v>2210752.0292751598</v>
      </c>
      <c r="N226" s="236">
        <f>'LSR Prepaid BPA interest'!G224</f>
        <v>0</v>
      </c>
      <c r="O226" s="237">
        <f t="shared" si="55"/>
        <v>-541550.47488575405</v>
      </c>
      <c r="P226" s="238">
        <f t="shared" si="56"/>
        <v>21196547.826237347</v>
      </c>
      <c r="Q226" s="240">
        <f t="shared" si="57"/>
        <v>24417466.540738326</v>
      </c>
      <c r="R226" s="154"/>
    </row>
    <row r="227" spans="1:18" ht="12.75" customHeight="1">
      <c r="A227" s="227">
        <v>46295</v>
      </c>
      <c r="B227" s="235">
        <f t="shared" si="39"/>
        <v>0</v>
      </c>
      <c r="C227" s="164">
        <f>'LSR Prepaid BPA interest'!I225</f>
        <v>66344.314473559352</v>
      </c>
      <c r="D227" s="159">
        <f>'LSR Prepaid BPA interest'!H225</f>
        <v>-635715.02174107009</v>
      </c>
      <c r="E227" s="236"/>
      <c r="F227" s="237">
        <f t="shared" si="48"/>
        <v>0</v>
      </c>
      <c r="G227" s="238">
        <f t="shared" si="49"/>
        <v>0</v>
      </c>
      <c r="H227" s="236">
        <f t="shared" si="50"/>
        <v>66344.314473559352</v>
      </c>
      <c r="I227" s="237">
        <f t="shared" si="51"/>
        <v>-66344.314473559352</v>
      </c>
      <c r="J227" s="238">
        <f t="shared" si="52"/>
        <v>0</v>
      </c>
      <c r="K227" s="236"/>
      <c r="L227" s="237">
        <f t="shared" si="53"/>
        <v>-23856.6326345087</v>
      </c>
      <c r="M227" s="238">
        <f t="shared" si="54"/>
        <v>2186895.3966406509</v>
      </c>
      <c r="N227" s="236">
        <f>'LSR Prepaid BPA interest'!G225</f>
        <v>0</v>
      </c>
      <c r="O227" s="237">
        <f t="shared" si="55"/>
        <v>-545514.07463300193</v>
      </c>
      <c r="P227" s="238">
        <f t="shared" si="56"/>
        <v>20651033.751604345</v>
      </c>
      <c r="Q227" s="240">
        <f t="shared" si="57"/>
        <v>23884055.992429066</v>
      </c>
      <c r="R227" s="154"/>
    </row>
    <row r="228" spans="1:18" ht="12.75" customHeight="1">
      <c r="A228" s="227">
        <v>46326</v>
      </c>
      <c r="B228" s="235">
        <f t="shared" si="39"/>
        <v>0</v>
      </c>
      <c r="C228" s="164">
        <f>'LSR Prepaid BPA interest'!I226</f>
        <v>67264.056249999514</v>
      </c>
      <c r="D228" s="159">
        <f>'LSR Prepaid BPA interest'!H226</f>
        <v>-635715.02174107009</v>
      </c>
      <c r="E228" s="236"/>
      <c r="F228" s="237">
        <f t="shared" si="48"/>
        <v>0</v>
      </c>
      <c r="G228" s="238">
        <f t="shared" si="49"/>
        <v>0</v>
      </c>
      <c r="H228" s="236">
        <f t="shared" si="50"/>
        <v>67264.056249999514</v>
      </c>
      <c r="I228" s="237">
        <f t="shared" si="51"/>
        <v>-67264.056249999514</v>
      </c>
      <c r="J228" s="238">
        <f t="shared" si="52"/>
        <v>0</v>
      </c>
      <c r="K228" s="236"/>
      <c r="L228" s="237">
        <f t="shared" si="53"/>
        <v>-23818.095454075854</v>
      </c>
      <c r="M228" s="238">
        <f t="shared" si="54"/>
        <v>2163077.3011865751</v>
      </c>
      <c r="N228" s="236">
        <f>'LSR Prepaid BPA interest'!G226</f>
        <v>0</v>
      </c>
      <c r="O228" s="237">
        <f t="shared" si="55"/>
        <v>-544632.87003699469</v>
      </c>
      <c r="P228" s="238">
        <f t="shared" si="56"/>
        <v>20106400.881567352</v>
      </c>
      <c r="Q228" s="240">
        <f t="shared" si="57"/>
        <v>23347579.044159055</v>
      </c>
      <c r="R228" s="154"/>
    </row>
    <row r="229" spans="1:18" ht="12.75" customHeight="1">
      <c r="A229" s="227">
        <v>46356</v>
      </c>
      <c r="B229" s="235">
        <f t="shared" si="39"/>
        <v>0</v>
      </c>
      <c r="C229" s="164">
        <f>'LSR Prepaid BPA interest'!I227</f>
        <v>63230.899329432774</v>
      </c>
      <c r="D229" s="159">
        <f>'LSR Prepaid BPA interest'!H227</f>
        <v>-635715.02174107009</v>
      </c>
      <c r="E229" s="236"/>
      <c r="F229" s="237">
        <f t="shared" si="48"/>
        <v>0</v>
      </c>
      <c r="G229" s="238">
        <f t="shared" si="49"/>
        <v>0</v>
      </c>
      <c r="H229" s="236">
        <f t="shared" si="50"/>
        <v>63230.899329432774</v>
      </c>
      <c r="I229" s="237">
        <f t="shared" si="51"/>
        <v>-63230.899329432774</v>
      </c>
      <c r="J229" s="238">
        <f t="shared" si="52"/>
        <v>0</v>
      </c>
      <c r="K229" s="236"/>
      <c r="L229" s="237">
        <f t="shared" si="53"/>
        <v>-23987.084729047605</v>
      </c>
      <c r="M229" s="238">
        <f t="shared" si="54"/>
        <v>2139090.2164575276</v>
      </c>
      <c r="N229" s="236">
        <f>'LSR Prepaid BPA interest'!G227</f>
        <v>0</v>
      </c>
      <c r="O229" s="237">
        <f t="shared" si="55"/>
        <v>-548497.03768258973</v>
      </c>
      <c r="P229" s="238">
        <f t="shared" si="56"/>
        <v>19557903.843884762</v>
      </c>
      <c r="Q229" s="240">
        <f t="shared" si="57"/>
        <v>22809505.834164236</v>
      </c>
      <c r="R229" s="154"/>
    </row>
    <row r="230" spans="1:18" ht="12.75" customHeight="1">
      <c r="A230" s="227">
        <v>46387</v>
      </c>
      <c r="B230" s="235">
        <f t="shared" si="39"/>
        <v>0</v>
      </c>
      <c r="C230" s="164">
        <f>'LSR Prepaid BPA interest'!I228</f>
        <v>63413.135697494879</v>
      </c>
      <c r="D230" s="159">
        <f>'LSR Prepaid BPA interest'!H228</f>
        <v>-635715.02174107009</v>
      </c>
      <c r="E230" s="236"/>
      <c r="F230" s="237">
        <f t="shared" si="48"/>
        <v>0</v>
      </c>
      <c r="G230" s="238">
        <f t="shared" si="49"/>
        <v>0</v>
      </c>
      <c r="H230" s="236">
        <f t="shared" si="50"/>
        <v>63413.135697494879</v>
      </c>
      <c r="I230" s="237">
        <f t="shared" si="51"/>
        <v>-63413.135697494879</v>
      </c>
      <c r="J230" s="238">
        <f t="shared" si="52"/>
        <v>0</v>
      </c>
      <c r="K230" s="236"/>
      <c r="L230" s="237">
        <f t="shared" si="53"/>
        <v>-23979.449025225804</v>
      </c>
      <c r="M230" s="238">
        <f t="shared" si="54"/>
        <v>2115110.7674323018</v>
      </c>
      <c r="N230" s="236">
        <f>'LSR Prepaid BPA interest'!G228</f>
        <v>0</v>
      </c>
      <c r="O230" s="237">
        <f t="shared" si="55"/>
        <v>-548322.43701834942</v>
      </c>
      <c r="P230" s="238">
        <f t="shared" si="56"/>
        <v>19009581.406866413</v>
      </c>
      <c r="Q230" s="240">
        <f t="shared" si="57"/>
        <v>22269836.362444617</v>
      </c>
      <c r="R230" s="154"/>
    </row>
    <row r="231" spans="1:18" ht="12.75" customHeight="1">
      <c r="A231" s="227">
        <v>46418</v>
      </c>
      <c r="B231" s="235">
        <f t="shared" si="39"/>
        <v>0</v>
      </c>
      <c r="C231" s="164">
        <f>'LSR Prepaid BPA interest'!I229</f>
        <v>62074.986266871281</v>
      </c>
      <c r="D231" s="159">
        <f>'LSR Prepaid BPA interest'!H229</f>
        <v>-635715.02174107009</v>
      </c>
      <c r="E231" s="236"/>
      <c r="F231" s="237">
        <f t="shared" si="48"/>
        <v>0</v>
      </c>
      <c r="G231" s="238">
        <f t="shared" si="49"/>
        <v>0</v>
      </c>
      <c r="H231" s="236">
        <f t="shared" si="50"/>
        <v>62074.986266871281</v>
      </c>
      <c r="I231" s="237">
        <f t="shared" si="51"/>
        <v>-62074.986266871281</v>
      </c>
      <c r="J231" s="238">
        <f t="shared" si="52"/>
        <v>0</v>
      </c>
      <c r="K231" s="236"/>
      <c r="L231" s="237">
        <f t="shared" si="53"/>
        <v>-24035.517486368928</v>
      </c>
      <c r="M231" s="238">
        <f t="shared" si="54"/>
        <v>2091075.2499459328</v>
      </c>
      <c r="N231" s="236">
        <f>'LSR Prepaid BPA interest'!G229</f>
        <v>0</v>
      </c>
      <c r="O231" s="237">
        <f t="shared" si="55"/>
        <v>-549604.51798782975</v>
      </c>
      <c r="P231" s="238">
        <f t="shared" si="56"/>
        <v>18459976.888878584</v>
      </c>
      <c r="Q231" s="240">
        <f t="shared" si="57"/>
        <v>21728537.168984707</v>
      </c>
      <c r="R231" s="154"/>
    </row>
    <row r="232" spans="1:18" ht="12.75" customHeight="1">
      <c r="A232" s="227">
        <v>46446</v>
      </c>
      <c r="B232" s="235">
        <f t="shared" si="39"/>
        <v>0</v>
      </c>
      <c r="C232" s="164">
        <f>'LSR Prepaid BPA interest'!I230</f>
        <v>54328.604120559059</v>
      </c>
      <c r="D232" s="159">
        <f>'LSR Prepaid BPA interest'!H230</f>
        <v>-635715.02174107009</v>
      </c>
      <c r="E232" s="236"/>
      <c r="F232" s="237">
        <f t="shared" si="48"/>
        <v>0</v>
      </c>
      <c r="G232" s="238">
        <f t="shared" si="49"/>
        <v>0</v>
      </c>
      <c r="H232" s="236">
        <f t="shared" si="50"/>
        <v>54328.604120559059</v>
      </c>
      <c r="I232" s="237">
        <f t="shared" si="51"/>
        <v>-54328.604120559059</v>
      </c>
      <c r="J232" s="238">
        <f t="shared" si="52"/>
        <v>0</v>
      </c>
      <c r="K232" s="236"/>
      <c r="L232" s="237">
        <f t="shared" si="53"/>
        <v>-24360.090898299411</v>
      </c>
      <c r="M232" s="238">
        <f t="shared" si="54"/>
        <v>2066715.1590476334</v>
      </c>
      <c r="N232" s="236">
        <f>'LSR Prepaid BPA interest'!G230</f>
        <v>0</v>
      </c>
      <c r="O232" s="237">
        <f t="shared" si="55"/>
        <v>-557026.32672221155</v>
      </c>
      <c r="P232" s="238">
        <f t="shared" si="56"/>
        <v>17902950.562156372</v>
      </c>
      <c r="Q232" s="240">
        <f t="shared" si="57"/>
        <v>21185680.172326148</v>
      </c>
      <c r="R232" s="154"/>
    </row>
    <row r="233" spans="1:18" ht="12.75" customHeight="1">
      <c r="A233" s="227">
        <v>46477</v>
      </c>
      <c r="B233" s="235">
        <f t="shared" si="39"/>
        <v>0</v>
      </c>
      <c r="C233" s="164">
        <f>'LSR Prepaid BPA interest'!I231</f>
        <v>58224.065714366647</v>
      </c>
      <c r="D233" s="159">
        <f>'LSR Prepaid BPA interest'!H231</f>
        <v>-635715.02174107009</v>
      </c>
      <c r="E233" s="236"/>
      <c r="F233" s="237">
        <f t="shared" si="48"/>
        <v>0</v>
      </c>
      <c r="G233" s="238">
        <f t="shared" si="49"/>
        <v>0</v>
      </c>
      <c r="H233" s="236">
        <f t="shared" si="50"/>
        <v>58224.065714366647</v>
      </c>
      <c r="I233" s="237">
        <f t="shared" si="51"/>
        <v>-58224.065714366647</v>
      </c>
      <c r="J233" s="238">
        <f t="shared" si="52"/>
        <v>0</v>
      </c>
      <c r="K233" s="236"/>
      <c r="L233" s="237">
        <f t="shared" si="53"/>
        <v>-24196.871057518874</v>
      </c>
      <c r="M233" s="238">
        <f t="shared" si="54"/>
        <v>2042518.2879901147</v>
      </c>
      <c r="N233" s="236">
        <f>'LSR Prepaid BPA interest'!G231</f>
        <v>0</v>
      </c>
      <c r="O233" s="237">
        <f t="shared" si="55"/>
        <v>-553294.08496918459</v>
      </c>
      <c r="P233" s="238">
        <f t="shared" si="56"/>
        <v>17349656.477187186</v>
      </c>
      <c r="Q233" s="240">
        <f t="shared" si="57"/>
        <v>20641265.372468945</v>
      </c>
      <c r="R233" s="154"/>
    </row>
    <row r="234" spans="1:18" ht="12.75" customHeight="1">
      <c r="A234" s="227">
        <v>46507</v>
      </c>
      <c r="B234" s="235">
        <f t="shared" si="39"/>
        <v>0</v>
      </c>
      <c r="C234" s="164">
        <f>'LSR Prepaid BPA interest'!I232</f>
        <v>54994.373710603359</v>
      </c>
      <c r="D234" s="159">
        <f>'LSR Prepaid BPA interest'!H232</f>
        <v>-635715.02174107009</v>
      </c>
      <c r="E234" s="236"/>
      <c r="F234" s="237">
        <f t="shared" si="48"/>
        <v>0</v>
      </c>
      <c r="G234" s="238">
        <f t="shared" si="49"/>
        <v>0</v>
      </c>
      <c r="H234" s="236">
        <f t="shared" si="50"/>
        <v>54994.373710603359</v>
      </c>
      <c r="I234" s="237">
        <f t="shared" si="51"/>
        <v>-54994.373710603359</v>
      </c>
      <c r="J234" s="238">
        <f t="shared" si="52"/>
        <v>0</v>
      </c>
      <c r="K234" s="236"/>
      <c r="L234" s="237">
        <f t="shared" si="53"/>
        <v>-24332.195152476557</v>
      </c>
      <c r="M234" s="238">
        <f t="shared" si="54"/>
        <v>2018186.092837638</v>
      </c>
      <c r="N234" s="236">
        <f>'LSR Prepaid BPA interest'!G232</f>
        <v>0</v>
      </c>
      <c r="O234" s="237">
        <f t="shared" si="55"/>
        <v>-556388.4528779902</v>
      </c>
      <c r="P234" s="238">
        <f t="shared" si="56"/>
        <v>16793268.024309196</v>
      </c>
      <c r="Q234" s="240">
        <f t="shared" si="57"/>
        <v>20095232.997306593</v>
      </c>
      <c r="R234" s="154"/>
    </row>
    <row r="235" spans="1:18" ht="12.75" customHeight="1">
      <c r="A235" s="227">
        <v>46538</v>
      </c>
      <c r="B235" s="235">
        <f t="shared" si="39"/>
        <v>0</v>
      </c>
      <c r="C235" s="164">
        <f>'LSR Prepaid BPA interest'!I233</f>
        <v>54902.059224704484</v>
      </c>
      <c r="D235" s="159">
        <f>'LSR Prepaid BPA interest'!H233</f>
        <v>-635715.02174107009</v>
      </c>
      <c r="E235" s="236"/>
      <c r="F235" s="237">
        <f t="shared" si="48"/>
        <v>0</v>
      </c>
      <c r="G235" s="238">
        <f t="shared" si="49"/>
        <v>0</v>
      </c>
      <c r="H235" s="236">
        <f t="shared" si="50"/>
        <v>54902.059224704484</v>
      </c>
      <c r="I235" s="237">
        <f t="shared" si="51"/>
        <v>-54902.059224704484</v>
      </c>
      <c r="J235" s="238">
        <f t="shared" si="52"/>
        <v>0</v>
      </c>
      <c r="K235" s="236"/>
      <c r="L235" s="237">
        <f t="shared" si="53"/>
        <v>-24336.063129435719</v>
      </c>
      <c r="M235" s="238">
        <f t="shared" si="54"/>
        <v>1993850.0297082022</v>
      </c>
      <c r="N235" s="236">
        <f>'LSR Prepaid BPA interest'!G233</f>
        <v>0</v>
      </c>
      <c r="O235" s="237">
        <f t="shared" si="55"/>
        <v>-556476.89938692981</v>
      </c>
      <c r="P235" s="238">
        <f t="shared" si="56"/>
        <v>16236791.124922266</v>
      </c>
      <c r="Q235" s="240">
        <f t="shared" si="57"/>
        <v>19547575.849446733</v>
      </c>
      <c r="R235" s="154"/>
    </row>
    <row r="236" spans="1:18" ht="12.75" customHeight="1">
      <c r="A236" s="227">
        <v>46568</v>
      </c>
      <c r="B236" s="235">
        <f t="shared" si="39"/>
        <v>0</v>
      </c>
      <c r="C236" s="164">
        <f>'LSR Prepaid BPA interest'!I234</f>
        <v>51267.676401727898</v>
      </c>
      <c r="D236" s="159">
        <f>'LSR Prepaid BPA interest'!H234</f>
        <v>-635715.02174107009</v>
      </c>
      <c r="E236" s="236"/>
      <c r="F236" s="237">
        <f t="shared" si="48"/>
        <v>0</v>
      </c>
      <c r="G236" s="238">
        <f t="shared" si="49"/>
        <v>0</v>
      </c>
      <c r="H236" s="236">
        <f t="shared" si="50"/>
        <v>51267.676401727898</v>
      </c>
      <c r="I236" s="237">
        <f t="shared" si="51"/>
        <v>-51267.676401727898</v>
      </c>
      <c r="J236" s="238">
        <f t="shared" si="52"/>
        <v>0</v>
      </c>
      <c r="K236" s="236"/>
      <c r="L236" s="237">
        <f t="shared" si="53"/>
        <v>-24488.343769718434</v>
      </c>
      <c r="M236" s="238">
        <f t="shared" si="54"/>
        <v>1969361.6859384838</v>
      </c>
      <c r="N236" s="236">
        <f>'LSR Prepaid BPA interest'!G234</f>
        <v>0</v>
      </c>
      <c r="O236" s="237">
        <f t="shared" si="55"/>
        <v>-559959.00156962371</v>
      </c>
      <c r="P236" s="238">
        <f t="shared" si="56"/>
        <v>15676832.123352643</v>
      </c>
      <c r="Q236" s="240">
        <f t="shared" si="57"/>
        <v>18998293.928889364</v>
      </c>
      <c r="R236" s="154"/>
    </row>
    <row r="237" spans="1:18" ht="12.75" customHeight="1">
      <c r="A237" s="227">
        <v>46599</v>
      </c>
      <c r="B237" s="235">
        <f t="shared" si="39"/>
        <v>0</v>
      </c>
      <c r="C237" s="164">
        <f>'LSR Prepaid BPA interest'!I235</f>
        <v>51539.274204432782</v>
      </c>
      <c r="D237" s="159">
        <f>'LSR Prepaid BPA interest'!H235</f>
        <v>-635715.02174107009</v>
      </c>
      <c r="E237" s="236"/>
      <c r="F237" s="237">
        <f t="shared" si="48"/>
        <v>0</v>
      </c>
      <c r="G237" s="238">
        <f t="shared" si="49"/>
        <v>0</v>
      </c>
      <c r="H237" s="236">
        <f t="shared" si="50"/>
        <v>51539.274204432782</v>
      </c>
      <c r="I237" s="237">
        <f t="shared" si="51"/>
        <v>-51539.274204432782</v>
      </c>
      <c r="J237" s="238">
        <f t="shared" si="52"/>
        <v>0</v>
      </c>
      <c r="K237" s="236"/>
      <c r="L237" s="237">
        <f t="shared" si="53"/>
        <v>-24476.963821785106</v>
      </c>
      <c r="M237" s="238">
        <f t="shared" si="54"/>
        <v>1944884.7221166987</v>
      </c>
      <c r="N237" s="236">
        <f>'LSR Prepaid BPA interest'!G235</f>
        <v>0</v>
      </c>
      <c r="O237" s="237">
        <f t="shared" si="55"/>
        <v>-559698.78371485218</v>
      </c>
      <c r="P237" s="238">
        <f t="shared" si="56"/>
        <v>15117133.339637792</v>
      </c>
      <c r="Q237" s="240">
        <f t="shared" si="57"/>
        <v>18447379.89427891</v>
      </c>
      <c r="R237" s="154"/>
    </row>
    <row r="238" spans="1:18" ht="12.75" customHeight="1">
      <c r="A238" s="227">
        <v>46630</v>
      </c>
      <c r="B238" s="242">
        <f t="shared" si="39"/>
        <v>0</v>
      </c>
      <c r="C238" s="164">
        <f>'LSR Prepaid BPA interest'!I236</f>
        <v>49613.813928180454</v>
      </c>
      <c r="D238" s="159">
        <f>'LSR Prepaid BPA interest'!H236</f>
        <v>-635715.02174107009</v>
      </c>
      <c r="E238" s="236"/>
      <c r="F238" s="237">
        <f t="shared" si="48"/>
        <v>0</v>
      </c>
      <c r="G238" s="238">
        <f t="shared" si="49"/>
        <v>0</v>
      </c>
      <c r="H238" s="236">
        <f t="shared" si="50"/>
        <v>49613.813928180454</v>
      </c>
      <c r="I238" s="237">
        <f t="shared" si="51"/>
        <v>-49613.813928180454</v>
      </c>
      <c r="J238" s="238">
        <f t="shared" si="52"/>
        <v>0</v>
      </c>
      <c r="K238" s="236"/>
      <c r="L238" s="237">
        <f t="shared" si="53"/>
        <v>-24557.640607360074</v>
      </c>
      <c r="M238" s="238">
        <f t="shared" si="54"/>
        <v>1920327.0815093387</v>
      </c>
      <c r="N238" s="236">
        <f>'LSR Prepaid BPA interest'!G236</f>
        <v>0</v>
      </c>
      <c r="O238" s="237">
        <f t="shared" si="55"/>
        <v>-561543.56720552954</v>
      </c>
      <c r="P238" s="238">
        <f t="shared" si="56"/>
        <v>14555589.772432262</v>
      </c>
      <c r="Q238" s="240">
        <f t="shared" si="57"/>
        <v>17894799.768641811</v>
      </c>
      <c r="R238" s="154"/>
    </row>
    <row r="239" spans="1:18" ht="12.75" customHeight="1">
      <c r="A239" s="227">
        <v>46660</v>
      </c>
      <c r="B239" s="242">
        <f t="shared" si="39"/>
        <v>0</v>
      </c>
      <c r="C239" s="164">
        <f>'LSR Prepaid BPA interest'!I237</f>
        <v>46150.019663156265</v>
      </c>
      <c r="D239" s="159">
        <f>'LSR Prepaid BPA interest'!H237</f>
        <v>-635715.02174107009</v>
      </c>
      <c r="E239" s="236"/>
      <c r="F239" s="237">
        <f t="shared" si="48"/>
        <v>0</v>
      </c>
      <c r="G239" s="238">
        <f t="shared" si="49"/>
        <v>0</v>
      </c>
      <c r="H239" s="236">
        <f t="shared" si="50"/>
        <v>46150.019663156265</v>
      </c>
      <c r="I239" s="237">
        <f t="shared" si="51"/>
        <v>-46150.019663156265</v>
      </c>
      <c r="J239" s="238">
        <f t="shared" si="52"/>
        <v>0</v>
      </c>
      <c r="K239" s="236"/>
      <c r="L239" s="237">
        <f t="shared" si="53"/>
        <v>-24702.773587064588</v>
      </c>
      <c r="M239" s="238">
        <f t="shared" si="54"/>
        <v>1895624.3079222741</v>
      </c>
      <c r="N239" s="236">
        <f>'LSR Prepaid BPA interest'!G237</f>
        <v>0</v>
      </c>
      <c r="O239" s="237">
        <f t="shared" si="55"/>
        <v>-564862.22849084926</v>
      </c>
      <c r="P239" s="238">
        <f t="shared" si="56"/>
        <v>13990727.543941412</v>
      </c>
      <c r="Q239" s="240">
        <f t="shared" si="57"/>
        <v>17340580.424413975</v>
      </c>
      <c r="R239" s="154"/>
    </row>
    <row r="240" spans="1:18" ht="12.75" customHeight="1">
      <c r="A240" s="227">
        <v>46691</v>
      </c>
      <c r="B240" s="242">
        <f t="shared" si="39"/>
        <v>0</v>
      </c>
      <c r="C240" s="164">
        <f>'LSR Prepaid BPA interest'!I238</f>
        <v>46090.053117061863</v>
      </c>
      <c r="D240" s="159">
        <f>'LSR Prepaid BPA interest'!H238</f>
        <v>-675002.21008466824</v>
      </c>
      <c r="E240" s="236"/>
      <c r="F240" s="237">
        <f t="shared" si="48"/>
        <v>0</v>
      </c>
      <c r="G240" s="238">
        <f t="shared" si="49"/>
        <v>0</v>
      </c>
      <c r="H240" s="236">
        <f t="shared" si="50"/>
        <v>46090.053117061863</v>
      </c>
      <c r="I240" s="237">
        <f t="shared" si="51"/>
        <v>-46090.053117061863</v>
      </c>
      <c r="J240" s="238">
        <f t="shared" si="52"/>
        <v>0</v>
      </c>
      <c r="K240" s="236"/>
      <c r="L240" s="237">
        <f t="shared" si="53"/>
        <v>-26351.419376942707</v>
      </c>
      <c r="M240" s="238">
        <f t="shared" si="54"/>
        <v>1869272.8885453313</v>
      </c>
      <c r="N240" s="236">
        <f>'LSR Prepaid BPA interest'!G238</f>
        <v>0</v>
      </c>
      <c r="O240" s="237">
        <f t="shared" si="55"/>
        <v>-602560.7375906636</v>
      </c>
      <c r="P240" s="238">
        <f t="shared" si="56"/>
        <v>13388166.806350749</v>
      </c>
      <c r="Q240" s="240">
        <f t="shared" si="57"/>
        <v>16783141.24596066</v>
      </c>
      <c r="R240" s="154"/>
    </row>
    <row r="241" spans="1:18" ht="12.75" customHeight="1">
      <c r="A241" s="227">
        <v>46721</v>
      </c>
      <c r="B241" s="242">
        <f t="shared" si="39"/>
        <v>0</v>
      </c>
      <c r="C241" s="164">
        <f>'LSR Prepaid BPA interest'!I239</f>
        <v>42624.77360877789</v>
      </c>
      <c r="D241" s="159">
        <f>'LSR Prepaid BPA interest'!H239</f>
        <v>-675002.21008466824</v>
      </c>
      <c r="E241" s="236"/>
      <c r="F241" s="237">
        <f t="shared" si="48"/>
        <v>0</v>
      </c>
      <c r="G241" s="238">
        <f t="shared" si="49"/>
        <v>0</v>
      </c>
      <c r="H241" s="236">
        <f t="shared" si="50"/>
        <v>42624.77360877789</v>
      </c>
      <c r="I241" s="237">
        <f t="shared" si="51"/>
        <v>-42624.77360877789</v>
      </c>
      <c r="J241" s="238">
        <f t="shared" si="52"/>
        <v>0</v>
      </c>
      <c r="K241" s="236"/>
      <c r="L241" s="237">
        <f t="shared" si="53"/>
        <v>-26496.614588339806</v>
      </c>
      <c r="M241" s="238">
        <f t="shared" si="54"/>
        <v>1842776.2739569915</v>
      </c>
      <c r="N241" s="236">
        <f>'LSR Prepaid BPA interest'!G239</f>
        <v>0</v>
      </c>
      <c r="O241" s="237">
        <f t="shared" si="55"/>
        <v>-605880.82188755053</v>
      </c>
      <c r="P241" s="238">
        <f t="shared" si="56"/>
        <v>12782285.984463198</v>
      </c>
      <c r="Q241" s="240">
        <f t="shared" si="57"/>
        <v>16220897.415350737</v>
      </c>
      <c r="R241" s="154"/>
    </row>
    <row r="242" spans="1:18" ht="12.75" customHeight="1">
      <c r="A242" s="227">
        <v>46752</v>
      </c>
      <c r="B242" s="242">
        <f t="shared" si="39"/>
        <v>0</v>
      </c>
      <c r="C242" s="164">
        <f>'LSR Prepaid BPA interest'!I240</f>
        <v>42001.145674412444</v>
      </c>
      <c r="D242" s="159">
        <f>'LSR Prepaid BPA interest'!H240</f>
        <v>-675002.21008466824</v>
      </c>
      <c r="E242" s="236"/>
      <c r="F242" s="237">
        <f t="shared" si="48"/>
        <v>0</v>
      </c>
      <c r="G242" s="238">
        <f t="shared" si="49"/>
        <v>0</v>
      </c>
      <c r="H242" s="236">
        <f t="shared" si="50"/>
        <v>42001.145674412444</v>
      </c>
      <c r="I242" s="237">
        <f t="shared" si="51"/>
        <v>-42001.145674412444</v>
      </c>
      <c r="J242" s="238">
        <f t="shared" si="52"/>
        <v>0</v>
      </c>
      <c r="K242" s="236"/>
      <c r="L242" s="237">
        <f t="shared" si="53"/>
        <v>-26522.744598789715</v>
      </c>
      <c r="M242" s="238">
        <f t="shared" si="54"/>
        <v>1816253.5293582019</v>
      </c>
      <c r="N242" s="236">
        <f>'LSR Prepaid BPA interest'!G240</f>
        <v>0</v>
      </c>
      <c r="O242" s="237">
        <f t="shared" si="55"/>
        <v>-606478.31981146603</v>
      </c>
      <c r="P242" s="238">
        <f t="shared" si="56"/>
        <v>12175807.664651733</v>
      </c>
      <c r="Q242" s="240">
        <f t="shared" si="57"/>
        <v>15653839.431949226</v>
      </c>
      <c r="R242" s="154"/>
    </row>
    <row r="243" spans="1:18" ht="12.75" customHeight="1">
      <c r="A243" s="168">
        <v>46783</v>
      </c>
      <c r="B243" s="242">
        <f t="shared" si="39"/>
        <v>0</v>
      </c>
      <c r="C243" s="164">
        <f>'LSR Prepaid BPA interest'!I241</f>
        <v>40352.605851172229</v>
      </c>
      <c r="D243" s="159">
        <f>'LSR Prepaid BPA interest'!H241</f>
        <v>-675002.21008466824</v>
      </c>
      <c r="E243" s="236"/>
      <c r="F243" s="237">
        <f t="shared" si="48"/>
        <v>0</v>
      </c>
      <c r="G243" s="238">
        <f t="shared" si="49"/>
        <v>0</v>
      </c>
      <c r="H243" s="236">
        <f t="shared" si="50"/>
        <v>40352.605851172229</v>
      </c>
      <c r="I243" s="237">
        <f t="shared" si="51"/>
        <v>-40352.605851172229</v>
      </c>
      <c r="J243" s="238">
        <f t="shared" si="52"/>
        <v>0</v>
      </c>
      <c r="K243" s="236"/>
      <c r="L243" s="237">
        <f t="shared" si="53"/>
        <v>-26591.818417383482</v>
      </c>
      <c r="M243" s="238">
        <f t="shared" si="54"/>
        <v>1789661.7109408183</v>
      </c>
      <c r="N243" s="236">
        <f>'LSR Prepaid BPA interest'!G241</f>
        <v>0</v>
      </c>
      <c r="O243" s="237">
        <f t="shared" si="55"/>
        <v>-608057.78581611253</v>
      </c>
      <c r="P243" s="238">
        <f t="shared" si="56"/>
        <v>11567749.87883562</v>
      </c>
      <c r="Q243" s="240">
        <f t="shared" si="57"/>
        <v>15081922.733938491</v>
      </c>
      <c r="R243" s="154"/>
    </row>
    <row r="244" spans="1:18" ht="12.75" customHeight="1">
      <c r="A244" s="168">
        <v>46811</v>
      </c>
      <c r="B244" s="242">
        <f t="shared" si="39"/>
        <v>0</v>
      </c>
      <c r="C244" s="164">
        <f>'LSR Prepaid BPA interest'!I242</f>
        <v>35836.658444050903</v>
      </c>
      <c r="D244" s="159">
        <f>'LSR Prepaid BPA interest'!H242</f>
        <v>-675002.21008466824</v>
      </c>
      <c r="E244" s="236"/>
      <c r="F244" s="237">
        <f t="shared" si="48"/>
        <v>0</v>
      </c>
      <c r="G244" s="238">
        <f t="shared" si="49"/>
        <v>0</v>
      </c>
      <c r="H244" s="236">
        <f t="shared" si="50"/>
        <v>35836.658444050903</v>
      </c>
      <c r="I244" s="237">
        <f t="shared" si="51"/>
        <v>-35836.658444050903</v>
      </c>
      <c r="J244" s="238">
        <f t="shared" si="52"/>
        <v>0</v>
      </c>
      <c r="K244" s="236"/>
      <c r="L244" s="237">
        <f t="shared" si="53"/>
        <v>-26781.036613741864</v>
      </c>
      <c r="M244" s="238">
        <f t="shared" si="54"/>
        <v>1762880.6743270764</v>
      </c>
      <c r="N244" s="236">
        <f>'LSR Prepaid BPA interest'!G242</f>
        <v>0</v>
      </c>
      <c r="O244" s="237">
        <f t="shared" si="55"/>
        <v>-612384.51502687542</v>
      </c>
      <c r="P244" s="238">
        <f t="shared" si="56"/>
        <v>10955365.363808746</v>
      </c>
      <c r="Q244" s="240">
        <f t="shared" si="57"/>
        <v>14505263.891922219</v>
      </c>
      <c r="R244" s="154"/>
    </row>
    <row r="245" spans="1:18" ht="12.75" customHeight="1">
      <c r="A245" s="168">
        <v>46843</v>
      </c>
      <c r="B245" s="242">
        <f t="shared" si="39"/>
        <v>0</v>
      </c>
      <c r="C245" s="164">
        <f>'LSR Prepaid BPA interest'!I243</f>
        <v>36263.69840852281</v>
      </c>
      <c r="D245" s="159">
        <f>'LSR Prepaid BPA interest'!H243</f>
        <v>-675002.21008466824</v>
      </c>
      <c r="E245" s="236"/>
      <c r="F245" s="237">
        <f t="shared" si="48"/>
        <v>0</v>
      </c>
      <c r="G245" s="238">
        <f t="shared" si="49"/>
        <v>0</v>
      </c>
      <c r="H245" s="236">
        <f t="shared" si="50"/>
        <v>36263.69840852281</v>
      </c>
      <c r="I245" s="237">
        <f t="shared" si="51"/>
        <v>-36263.69840852281</v>
      </c>
      <c r="J245" s="238">
        <f t="shared" si="52"/>
        <v>0</v>
      </c>
      <c r="K245" s="236"/>
      <c r="L245" s="237">
        <f t="shared" si="53"/>
        <v>-26763.143639230497</v>
      </c>
      <c r="M245" s="238">
        <f t="shared" si="54"/>
        <v>1736117.530687846</v>
      </c>
      <c r="N245" s="236">
        <f>'LSR Prepaid BPA interest'!G243</f>
        <v>0</v>
      </c>
      <c r="O245" s="237">
        <f t="shared" si="55"/>
        <v>-611975.36803691497</v>
      </c>
      <c r="P245" s="238">
        <f t="shared" si="56"/>
        <v>10343389.995771831</v>
      </c>
      <c r="Q245" s="240">
        <f t="shared" si="57"/>
        <v>13923853.40526543</v>
      </c>
      <c r="R245" s="154"/>
    </row>
    <row r="246" spans="1:18" ht="12.75" customHeight="1">
      <c r="A246" s="168">
        <v>46873</v>
      </c>
      <c r="B246" s="242">
        <f t="shared" si="39"/>
        <v>0</v>
      </c>
      <c r="C246" s="164">
        <f>'LSR Prepaid BPA interest'!I244</f>
        <v>33445.009733591978</v>
      </c>
      <c r="D246" s="159">
        <f>'LSR Prepaid BPA interest'!H244</f>
        <v>-675002.21008466824</v>
      </c>
      <c r="E246" s="236"/>
      <c r="F246" s="237">
        <f t="shared" si="48"/>
        <v>0</v>
      </c>
      <c r="G246" s="238">
        <f t="shared" si="49"/>
        <v>0</v>
      </c>
      <c r="H246" s="236">
        <f t="shared" si="50"/>
        <v>33445.009733591978</v>
      </c>
      <c r="I246" s="237">
        <f t="shared" si="51"/>
        <v>-33445.009733591978</v>
      </c>
      <c r="J246" s="238">
        <f t="shared" si="52"/>
        <v>0</v>
      </c>
      <c r="K246" s="236"/>
      <c r="L246" s="237">
        <f t="shared" si="53"/>
        <v>-26881.246694710098</v>
      </c>
      <c r="M246" s="238">
        <f t="shared" si="54"/>
        <v>1709236.2839931359</v>
      </c>
      <c r="N246" s="236">
        <f>'LSR Prepaid BPA interest'!G244</f>
        <v>0</v>
      </c>
      <c r="O246" s="237">
        <f t="shared" si="55"/>
        <v>-614675.95365636621</v>
      </c>
      <c r="P246" s="238">
        <f t="shared" si="56"/>
        <v>9728714.0421154648</v>
      </c>
      <c r="Q246" s="240">
        <f t="shared" si="57"/>
        <v>13337569.219281716</v>
      </c>
      <c r="R246" s="154"/>
    </row>
    <row r="247" spans="1:18" ht="12.75" customHeight="1">
      <c r="A247" s="168">
        <v>46904</v>
      </c>
      <c r="B247" s="242">
        <f t="shared" si="39"/>
        <v>0</v>
      </c>
      <c r="C247" s="164">
        <f>'LSR Prepaid BPA interest'!I245</f>
        <v>32515.389670053672</v>
      </c>
      <c r="D247" s="159">
        <f>'LSR Prepaid BPA interest'!H245</f>
        <v>-675002.21008466824</v>
      </c>
      <c r="E247" s="236"/>
      <c r="F247" s="237">
        <f t="shared" si="48"/>
        <v>0</v>
      </c>
      <c r="G247" s="238">
        <f t="shared" si="49"/>
        <v>0</v>
      </c>
      <c r="H247" s="236">
        <f t="shared" si="50"/>
        <v>32515.389670053672</v>
      </c>
      <c r="I247" s="237">
        <f t="shared" si="51"/>
        <v>-32515.389670053672</v>
      </c>
      <c r="J247" s="238">
        <f t="shared" si="52"/>
        <v>0</v>
      </c>
      <c r="K247" s="236"/>
      <c r="L247" s="237">
        <f t="shared" si="53"/>
        <v>-26920.197775372351</v>
      </c>
      <c r="M247" s="238">
        <f t="shared" si="54"/>
        <v>1682316.0862177636</v>
      </c>
      <c r="N247" s="236">
        <f>'LSR Prepaid BPA interest'!G245</f>
        <v>0</v>
      </c>
      <c r="O247" s="237">
        <f t="shared" si="55"/>
        <v>-615566.62263924221</v>
      </c>
      <c r="P247" s="238">
        <f t="shared" si="56"/>
        <v>9113147.4194762222</v>
      </c>
      <c r="Q247" s="240">
        <f t="shared" si="57"/>
        <v>12746394.315630058</v>
      </c>
      <c r="R247" s="154"/>
    </row>
    <row r="248" spans="1:18" ht="12.75" customHeight="1">
      <c r="A248" s="168">
        <v>46934</v>
      </c>
      <c r="B248" s="242">
        <f t="shared" si="39"/>
        <v>0</v>
      </c>
      <c r="C248" s="164">
        <f>'LSR Prepaid BPA interest'!I246</f>
        <v>29488.002531028029</v>
      </c>
      <c r="D248" s="159">
        <f>'LSR Prepaid BPA interest'!H246</f>
        <v>-675002.21008466824</v>
      </c>
      <c r="E248" s="236"/>
      <c r="F248" s="237">
        <f t="shared" si="48"/>
        <v>0</v>
      </c>
      <c r="G248" s="238">
        <f t="shared" si="49"/>
        <v>0</v>
      </c>
      <c r="H248" s="236">
        <f t="shared" si="50"/>
        <v>29488.002531028029</v>
      </c>
      <c r="I248" s="237">
        <f t="shared" si="51"/>
        <v>-29488.002531028029</v>
      </c>
      <c r="J248" s="238">
        <f t="shared" si="52"/>
        <v>0</v>
      </c>
      <c r="K248" s="236"/>
      <c r="L248" s="237">
        <f t="shared" si="53"/>
        <v>-27047.045296497527</v>
      </c>
      <c r="M248" s="238">
        <f t="shared" si="54"/>
        <v>1655269.0409212662</v>
      </c>
      <c r="N248" s="236">
        <f>'LSR Prepaid BPA interest'!G246</f>
        <v>0</v>
      </c>
      <c r="O248" s="237">
        <f t="shared" si="55"/>
        <v>-618467.16225714271</v>
      </c>
      <c r="P248" s="238">
        <f t="shared" si="56"/>
        <v>8494680.2572190799</v>
      </c>
      <c r="Q248" s="240">
        <f t="shared" si="57"/>
        <v>12150319.500147576</v>
      </c>
      <c r="R248" s="154"/>
    </row>
    <row r="249" spans="1:18" ht="12.75" customHeight="1">
      <c r="A249" s="168">
        <v>46965</v>
      </c>
      <c r="B249" s="242">
        <f t="shared" si="39"/>
        <v>0</v>
      </c>
      <c r="C249" s="164">
        <f>'LSR Prepaid BPA interest'!I247</f>
        <v>28715.577340893378</v>
      </c>
      <c r="D249" s="159">
        <f>'LSR Prepaid BPA interest'!H247</f>
        <v>-675002.21008466824</v>
      </c>
      <c r="E249" s="236"/>
      <c r="F249" s="237">
        <f t="shared" si="48"/>
        <v>0</v>
      </c>
      <c r="G249" s="238">
        <f t="shared" si="49"/>
        <v>0</v>
      </c>
      <c r="H249" s="236">
        <f t="shared" si="50"/>
        <v>28715.577340893378</v>
      </c>
      <c r="I249" s="237">
        <f t="shared" si="51"/>
        <v>-28715.577340893378</v>
      </c>
      <c r="J249" s="238">
        <f t="shared" si="52"/>
        <v>0</v>
      </c>
      <c r="K249" s="236"/>
      <c r="L249" s="237">
        <f t="shared" si="53"/>
        <v>-27079.409911964169</v>
      </c>
      <c r="M249" s="238">
        <f t="shared" si="54"/>
        <v>1628189.6310093021</v>
      </c>
      <c r="N249" s="236">
        <f>'LSR Prepaid BPA interest'!G247</f>
        <v>0</v>
      </c>
      <c r="O249" s="237">
        <f t="shared" si="55"/>
        <v>-619207.22283181071</v>
      </c>
      <c r="P249" s="238">
        <f t="shared" si="56"/>
        <v>7875473.0343872691</v>
      </c>
      <c r="Q249" s="240">
        <f t="shared" si="57"/>
        <v>11549327.326339906</v>
      </c>
      <c r="R249" s="154"/>
    </row>
    <row r="250" spans="1:18" ht="12.75" customHeight="1">
      <c r="A250" s="168">
        <v>46996</v>
      </c>
      <c r="B250" s="242">
        <f t="shared" si="39"/>
        <v>0</v>
      </c>
      <c r="C250" s="164">
        <f>'LSR Prepaid BPA interest'!I248</f>
        <v>26671.123619568669</v>
      </c>
      <c r="D250" s="159">
        <f>'LSR Prepaid BPA interest'!H248</f>
        <v>-675002.21008466824</v>
      </c>
      <c r="E250" s="236"/>
      <c r="F250" s="237">
        <f t="shared" si="48"/>
        <v>0</v>
      </c>
      <c r="G250" s="238">
        <f t="shared" si="49"/>
        <v>0</v>
      </c>
      <c r="H250" s="236">
        <f t="shared" si="50"/>
        <v>26671.123619568669</v>
      </c>
      <c r="I250" s="237">
        <f t="shared" si="51"/>
        <v>-26671.123619568669</v>
      </c>
      <c r="J250" s="238">
        <f t="shared" si="52"/>
        <v>0</v>
      </c>
      <c r="K250" s="236"/>
      <c r="L250" s="237">
        <f t="shared" si="53"/>
        <v>-27165.072522887673</v>
      </c>
      <c r="M250" s="238">
        <f t="shared" si="54"/>
        <v>1601024.5584864144</v>
      </c>
      <c r="N250" s="236">
        <f>'LSR Prepaid BPA interest'!G248</f>
        <v>0</v>
      </c>
      <c r="O250" s="237">
        <f t="shared" si="55"/>
        <v>-621166.01394221187</v>
      </c>
      <c r="P250" s="238">
        <f t="shared" si="56"/>
        <v>7254307.0204450572</v>
      </c>
      <c r="Q250" s="240">
        <f t="shared" si="57"/>
        <v>10943371.365621665</v>
      </c>
      <c r="R250" s="154"/>
    </row>
    <row r="251" spans="1:18" ht="12.75" customHeight="1">
      <c r="A251" s="168">
        <v>47026</v>
      </c>
      <c r="B251" s="242">
        <f t="shared" si="39"/>
        <v>0</v>
      </c>
      <c r="C251" s="164">
        <f>'LSR Prepaid BPA interest'!I249</f>
        <v>23832.261191848986</v>
      </c>
      <c r="D251" s="159">
        <f>'LSR Prepaid BPA interest'!H249</f>
        <v>-675002.21008466824</v>
      </c>
      <c r="E251" s="236"/>
      <c r="F251" s="237">
        <f t="shared" si="48"/>
        <v>0</v>
      </c>
      <c r="G251" s="238">
        <f t="shared" si="49"/>
        <v>0</v>
      </c>
      <c r="H251" s="236">
        <f t="shared" si="50"/>
        <v>23832.261191848986</v>
      </c>
      <c r="I251" s="237">
        <f t="shared" si="51"/>
        <v>-23832.261191848986</v>
      </c>
      <c r="J251" s="238">
        <f t="shared" si="52"/>
        <v>0</v>
      </c>
      <c r="K251" s="236"/>
      <c r="L251" s="237">
        <f t="shared" si="53"/>
        <v>-27284.020858609125</v>
      </c>
      <c r="M251" s="238">
        <f t="shared" si="54"/>
        <v>1573740.5376278053</v>
      </c>
      <c r="N251" s="236">
        <f>'LSR Prepaid BPA interest'!G249</f>
        <v>0</v>
      </c>
      <c r="O251" s="237">
        <f t="shared" si="55"/>
        <v>-623885.92803421011</v>
      </c>
      <c r="P251" s="238">
        <f t="shared" si="56"/>
        <v>6630421.0924108475</v>
      </c>
      <c r="Q251" s="240">
        <f t="shared" si="57"/>
        <v>10332471.815475093</v>
      </c>
      <c r="R251" s="154"/>
    </row>
    <row r="252" spans="1:18" ht="12.75" customHeight="1">
      <c r="A252" s="168">
        <v>47057</v>
      </c>
      <c r="B252" s="242">
        <f t="shared" si="39"/>
        <v>0</v>
      </c>
      <c r="C252" s="164">
        <f>'LSR Prepaid BPA interest'!I250</f>
        <v>22822.155394231522</v>
      </c>
      <c r="D252" s="159">
        <f>'LSR Prepaid BPA interest'!H250</f>
        <v>-675002.21008466824</v>
      </c>
      <c r="E252" s="236"/>
      <c r="F252" s="237">
        <f t="shared" si="48"/>
        <v>0</v>
      </c>
      <c r="G252" s="238">
        <f t="shared" si="49"/>
        <v>0</v>
      </c>
      <c r="H252" s="236">
        <f t="shared" si="50"/>
        <v>22822.155394231522</v>
      </c>
      <c r="I252" s="237">
        <f t="shared" si="51"/>
        <v>-22822.155394231522</v>
      </c>
      <c r="J252" s="238">
        <f t="shared" si="52"/>
        <v>0</v>
      </c>
      <c r="K252" s="236"/>
      <c r="L252" s="237">
        <f t="shared" si="53"/>
        <v>-27326.344291529298</v>
      </c>
      <c r="M252" s="238">
        <f t="shared" si="54"/>
        <v>1546414.1933362759</v>
      </c>
      <c r="N252" s="236">
        <f>'LSR Prepaid BPA interest'!G250</f>
        <v>0</v>
      </c>
      <c r="O252" s="237">
        <f t="shared" si="55"/>
        <v>-624853.71039890731</v>
      </c>
      <c r="P252" s="238">
        <f t="shared" si="56"/>
        <v>6005567.3820119407</v>
      </c>
      <c r="Q252" s="240">
        <f t="shared" si="57"/>
        <v>9718184.0706472006</v>
      </c>
      <c r="R252" s="154"/>
    </row>
    <row r="253" spans="1:18" ht="12.75" customHeight="1">
      <c r="A253" s="168">
        <v>47087</v>
      </c>
      <c r="B253" s="242">
        <f t="shared" si="39"/>
        <v>0</v>
      </c>
      <c r="C253" s="164">
        <f>'LSR Prepaid BPA interest'!I251</f>
        <v>20107.453231845298</v>
      </c>
      <c r="D253" s="159">
        <f>'LSR Prepaid BPA interest'!H251</f>
        <v>-675002.21008466824</v>
      </c>
      <c r="E253" s="236"/>
      <c r="F253" s="237">
        <f t="shared" si="48"/>
        <v>0</v>
      </c>
      <c r="G253" s="238">
        <f t="shared" si="49"/>
        <v>0</v>
      </c>
      <c r="H253" s="236">
        <f t="shared" si="50"/>
        <v>20107.453231845298</v>
      </c>
      <c r="I253" s="237">
        <f t="shared" si="51"/>
        <v>-20107.453231845298</v>
      </c>
      <c r="J253" s="238">
        <f t="shared" si="52"/>
        <v>0</v>
      </c>
      <c r="K253" s="236"/>
      <c r="L253" s="237">
        <f t="shared" si="53"/>
        <v>-27440.090312133281</v>
      </c>
      <c r="M253" s="238">
        <f t="shared" si="54"/>
        <v>1518974.1030241426</v>
      </c>
      <c r="N253" s="236">
        <f>'LSR Prepaid BPA interest'!G251</f>
        <v>0</v>
      </c>
      <c r="O253" s="237">
        <f t="shared" si="55"/>
        <v>-627454.66654068965</v>
      </c>
      <c r="P253" s="238">
        <f t="shared" si="56"/>
        <v>5378112.7154712509</v>
      </c>
      <c r="Q253" s="240">
        <f t="shared" si="57"/>
        <v>9102068.5417584199</v>
      </c>
      <c r="R253" s="154"/>
    </row>
    <row r="254" spans="1:18" ht="12.75" customHeight="1">
      <c r="A254" s="168">
        <v>47118</v>
      </c>
      <c r="B254" s="242">
        <f t="shared" si="39"/>
        <v>0</v>
      </c>
      <c r="C254" s="164">
        <f>'LSR Prepaid BPA interest'!I252</f>
        <v>18733.247951582096</v>
      </c>
      <c r="D254" s="159">
        <f>'LSR Prepaid BPA interest'!H252</f>
        <v>-675002.21008466824</v>
      </c>
      <c r="E254" s="236"/>
      <c r="F254" s="237">
        <f t="shared" si="48"/>
        <v>0</v>
      </c>
      <c r="G254" s="238">
        <f t="shared" si="49"/>
        <v>0</v>
      </c>
      <c r="H254" s="236">
        <f t="shared" si="50"/>
        <v>18733.247951582096</v>
      </c>
      <c r="I254" s="237">
        <f t="shared" si="51"/>
        <v>-18733.247951582096</v>
      </c>
      <c r="J254" s="238">
        <f t="shared" si="52"/>
        <v>0</v>
      </c>
      <c r="K254" s="236"/>
      <c r="L254" s="237">
        <f t="shared" si="53"/>
        <v>-27497.66951337631</v>
      </c>
      <c r="M254" s="238">
        <f t="shared" si="54"/>
        <v>1491476.4335107664</v>
      </c>
      <c r="N254" s="236">
        <f>'LSR Prepaid BPA interest'!G252</f>
        <v>0</v>
      </c>
      <c r="O254" s="237">
        <f t="shared" si="55"/>
        <v>-628771.29261970986</v>
      </c>
      <c r="P254" s="238">
        <f t="shared" si="56"/>
        <v>4749341.4228515411</v>
      </c>
      <c r="Q254" s="240">
        <f t="shared" si="57"/>
        <v>8484125.2288087476</v>
      </c>
      <c r="R254" s="154"/>
    </row>
    <row r="255" spans="1:18" ht="12.75" customHeight="1">
      <c r="A255" s="168">
        <v>47149</v>
      </c>
      <c r="B255" s="242">
        <f t="shared" si="39"/>
        <v>0</v>
      </c>
      <c r="C255" s="164">
        <f>'LSR Prepaid BPA interest'!I253</f>
        <v>16875.559332229263</v>
      </c>
      <c r="D255" s="159">
        <f>'LSR Prepaid BPA interest'!H253</f>
        <v>-675002.21008466824</v>
      </c>
      <c r="E255" s="236"/>
      <c r="F255" s="237">
        <f t="shared" si="48"/>
        <v>0</v>
      </c>
      <c r="G255" s="238">
        <f t="shared" si="49"/>
        <v>0</v>
      </c>
      <c r="H255" s="236">
        <f t="shared" si="50"/>
        <v>16875.559332229263</v>
      </c>
      <c r="I255" s="237">
        <f t="shared" si="51"/>
        <v>-16875.559332229263</v>
      </c>
      <c r="J255" s="238">
        <f t="shared" si="52"/>
        <v>0</v>
      </c>
      <c r="K255" s="236"/>
      <c r="L255" s="237">
        <f t="shared" si="53"/>
        <v>-27575.506666527192</v>
      </c>
      <c r="M255" s="238">
        <f t="shared" si="54"/>
        <v>1463900.9268442392</v>
      </c>
      <c r="N255" s="236">
        <f>'LSR Prepaid BPA interest'!G253</f>
        <v>0</v>
      </c>
      <c r="O255" s="237">
        <f t="shared" si="55"/>
        <v>-630551.14408591168</v>
      </c>
      <c r="P255" s="238">
        <f t="shared" si="56"/>
        <v>4118790.2787656295</v>
      </c>
      <c r="Q255" s="240">
        <f t="shared" si="57"/>
        <v>7864315.8187308228</v>
      </c>
      <c r="R255" s="154"/>
    </row>
    <row r="256" spans="1:18" ht="12.75" customHeight="1">
      <c r="A256" s="168">
        <v>47177</v>
      </c>
      <c r="B256" s="242">
        <f t="shared" si="39"/>
        <v>0</v>
      </c>
      <c r="C256" s="164">
        <f>'LSR Prepaid BPA interest'!I254</f>
        <v>13395.8373259783</v>
      </c>
      <c r="D256" s="159">
        <f>'LSR Prepaid BPA interest'!H254</f>
        <v>-675002.21008466824</v>
      </c>
      <c r="E256" s="236"/>
      <c r="F256" s="237">
        <f t="shared" si="48"/>
        <v>0</v>
      </c>
      <c r="G256" s="238">
        <f t="shared" si="49"/>
        <v>0</v>
      </c>
      <c r="H256" s="236">
        <f t="shared" si="50"/>
        <v>13395.8373259783</v>
      </c>
      <c r="I256" s="237">
        <f t="shared" si="51"/>
        <v>-13395.8373259783</v>
      </c>
      <c r="J256" s="238">
        <f t="shared" si="52"/>
        <v>0</v>
      </c>
      <c r="K256" s="236"/>
      <c r="L256" s="237">
        <f t="shared" si="53"/>
        <v>-27721.307018589108</v>
      </c>
      <c r="M256" s="238">
        <f t="shared" si="54"/>
        <v>1436179.6198256502</v>
      </c>
      <c r="N256" s="236">
        <f>'LSR Prepaid BPA interest'!G254</f>
        <v>0</v>
      </c>
      <c r="O256" s="237">
        <f t="shared" si="55"/>
        <v>-633885.06574010081</v>
      </c>
      <c r="P256" s="238">
        <f t="shared" si="56"/>
        <v>3484905.2130255289</v>
      </c>
      <c r="Q256" s="240">
        <f t="shared" si="57"/>
        <v>7242673.3291119402</v>
      </c>
      <c r="R256" s="154"/>
    </row>
    <row r="257" spans="1:18" ht="12.75" customHeight="1">
      <c r="A257" s="168">
        <v>47208</v>
      </c>
      <c r="B257" s="242">
        <f t="shared" si="39"/>
        <v>0</v>
      </c>
      <c r="C257" s="164">
        <f>'LSR Prepaid BPA interest'!I255</f>
        <v>12786.651889579836</v>
      </c>
      <c r="D257" s="159">
        <f>'LSR Prepaid BPA interest'!H255</f>
        <v>-675002.21008466824</v>
      </c>
      <c r="E257" s="236"/>
      <c r="F257" s="237">
        <f t="shared" si="48"/>
        <v>0</v>
      </c>
      <c r="G257" s="238">
        <f t="shared" si="49"/>
        <v>0</v>
      </c>
      <c r="H257" s="236">
        <f t="shared" si="50"/>
        <v>12786.651889579836</v>
      </c>
      <c r="I257" s="237">
        <f t="shared" si="51"/>
        <v>-12786.651889579836</v>
      </c>
      <c r="J257" s="238">
        <f t="shared" si="52"/>
        <v>0</v>
      </c>
      <c r="K257" s="236"/>
      <c r="L257" s="237">
        <f t="shared" si="53"/>
        <v>-27746.831888374203</v>
      </c>
      <c r="M257" s="238">
        <f t="shared" si="54"/>
        <v>1408432.7879372761</v>
      </c>
      <c r="N257" s="236">
        <f>'LSR Prepaid BPA interest'!G255</f>
        <v>0</v>
      </c>
      <c r="O257" s="237">
        <f t="shared" si="55"/>
        <v>-634468.72630671412</v>
      </c>
      <c r="P257" s="238">
        <f t="shared" si="56"/>
        <v>2850436.4867188148</v>
      </c>
      <c r="Q257" s="240">
        <f t="shared" si="57"/>
        <v>6619197.7599520972</v>
      </c>
      <c r="R257" s="154"/>
    </row>
    <row r="258" spans="1:18" ht="12.75" customHeight="1">
      <c r="A258" s="168">
        <v>47238</v>
      </c>
      <c r="B258" s="242">
        <f t="shared" si="39"/>
        <v>0</v>
      </c>
      <c r="C258" s="164">
        <f>'LSR Prepaid BPA interest'!I256</f>
        <v>10521.883387715065</v>
      </c>
      <c r="D258" s="159">
        <f>'LSR Prepaid BPA interest'!H256</f>
        <v>-675002.21008466824</v>
      </c>
      <c r="E258" s="236"/>
      <c r="F258" s="237">
        <f t="shared" si="48"/>
        <v>0</v>
      </c>
      <c r="G258" s="238">
        <f t="shared" si="49"/>
        <v>0</v>
      </c>
      <c r="H258" s="236">
        <f t="shared" si="50"/>
        <v>10521.883387715065</v>
      </c>
      <c r="I258" s="237">
        <f t="shared" si="51"/>
        <v>-10521.883387715065</v>
      </c>
      <c r="J258" s="238">
        <f t="shared" si="52"/>
        <v>0</v>
      </c>
      <c r="K258" s="236"/>
      <c r="L258" s="237">
        <f t="shared" si="53"/>
        <v>-27841.725688602339</v>
      </c>
      <c r="M258" s="238">
        <f t="shared" si="54"/>
        <v>1380591.0622486738</v>
      </c>
      <c r="N258" s="236">
        <f>'LSR Prepaid BPA interest'!G256</f>
        <v>0</v>
      </c>
      <c r="O258" s="237">
        <f t="shared" si="55"/>
        <v>-636638.60100835073</v>
      </c>
      <c r="P258" s="238">
        <f t="shared" si="56"/>
        <v>2213797.8857104639</v>
      </c>
      <c r="Q258" s="240">
        <f t="shared" si="57"/>
        <v>5993869.8572246796</v>
      </c>
      <c r="R258" s="154"/>
    </row>
    <row r="259" spans="1:18" ht="12.75" customHeight="1">
      <c r="A259" s="168">
        <v>47269</v>
      </c>
      <c r="B259" s="242">
        <f t="shared" si="39"/>
        <v>0</v>
      </c>
      <c r="C259" s="164">
        <f>'LSR Prepaid BPA interest'!I257</f>
        <v>8828.1591126475214</v>
      </c>
      <c r="D259" s="159">
        <f>'LSR Prepaid BPA interest'!H257</f>
        <v>-675002.21008466824</v>
      </c>
      <c r="E259" s="236"/>
      <c r="F259" s="237">
        <f t="shared" si="48"/>
        <v>0</v>
      </c>
      <c r="G259" s="238">
        <f t="shared" si="49"/>
        <v>0</v>
      </c>
      <c r="H259" s="236">
        <f t="shared" si="50"/>
        <v>8828.1591126475214</v>
      </c>
      <c r="I259" s="237">
        <f t="shared" si="51"/>
        <v>-8828.1591126475214</v>
      </c>
      <c r="J259" s="238">
        <f t="shared" si="52"/>
        <v>0</v>
      </c>
      <c r="K259" s="236"/>
      <c r="L259" s="237">
        <f t="shared" si="53"/>
        <v>-27912.692735727669</v>
      </c>
      <c r="M259" s="238">
        <f t="shared" si="54"/>
        <v>1352678.3695129461</v>
      </c>
      <c r="N259" s="236">
        <f>'LSR Prepaid BPA interest'!G257</f>
        <v>0</v>
      </c>
      <c r="O259" s="237">
        <f t="shared" si="55"/>
        <v>-638261.35823629308</v>
      </c>
      <c r="P259" s="238">
        <f t="shared" si="56"/>
        <v>1575536.5274741708</v>
      </c>
      <c r="Q259" s="240">
        <f t="shared" si="57"/>
        <v>5366681.230207718</v>
      </c>
      <c r="R259" s="154"/>
    </row>
    <row r="260" spans="1:18" ht="12.75" customHeight="1">
      <c r="A260" s="168">
        <v>47299</v>
      </c>
      <c r="B260" s="242">
        <f t="shared" si="39"/>
        <v>0</v>
      </c>
      <c r="C260" s="164">
        <f>'LSR Prepaid BPA interest'!I258</f>
        <v>6564.8761851511035</v>
      </c>
      <c r="D260" s="159">
        <f>'LSR Prepaid BPA interest'!H258</f>
        <v>-675002.21008466824</v>
      </c>
      <c r="E260" s="236"/>
      <c r="F260" s="237">
        <f t="shared" si="48"/>
        <v>0</v>
      </c>
      <c r="G260" s="238">
        <f t="shared" si="49"/>
        <v>0</v>
      </c>
      <c r="H260" s="236">
        <f t="shared" si="50"/>
        <v>6564.8761851511035</v>
      </c>
      <c r="I260" s="237">
        <f t="shared" si="51"/>
        <v>-6564.8761851511035</v>
      </c>
      <c r="J260" s="238">
        <f t="shared" si="52"/>
        <v>0</v>
      </c>
      <c r="K260" s="236"/>
      <c r="L260" s="237">
        <f t="shared" si="53"/>
        <v>-28007.524290389771</v>
      </c>
      <c r="M260" s="238">
        <f t="shared" si="54"/>
        <v>1324670.8452225563</v>
      </c>
      <c r="N260" s="236">
        <f>'LSR Prepaid BPA interest'!G258</f>
        <v>0</v>
      </c>
      <c r="O260" s="237">
        <f t="shared" si="55"/>
        <v>-640429.80960912735</v>
      </c>
      <c r="P260" s="238">
        <f t="shared" si="56"/>
        <v>935106.71786504344</v>
      </c>
      <c r="Q260" s="240">
        <f t="shared" si="57"/>
        <v>4737631.8789012153</v>
      </c>
      <c r="R260" s="154"/>
    </row>
    <row r="261" spans="1:18" ht="12.75" customHeight="1">
      <c r="A261" s="168">
        <v>47330</v>
      </c>
      <c r="B261" s="242">
        <f t="shared" si="39"/>
        <v>0</v>
      </c>
      <c r="C261" s="164">
        <f>'LSR Prepaid BPA interest'!I259</f>
        <v>4817.7430455119329</v>
      </c>
      <c r="D261" s="159">
        <f>'LSR Prepaid BPA interest'!H259</f>
        <v>-675002.21008466824</v>
      </c>
      <c r="E261" s="236"/>
      <c r="F261" s="237">
        <f t="shared" si="48"/>
        <v>0</v>
      </c>
      <c r="G261" s="238">
        <f t="shared" si="49"/>
        <v>0</v>
      </c>
      <c r="H261" s="236">
        <f t="shared" si="50"/>
        <v>4817.7430455119329</v>
      </c>
      <c r="I261" s="237">
        <f t="shared" si="51"/>
        <v>-4817.7430455119329</v>
      </c>
      <c r="J261" s="238">
        <f t="shared" si="52"/>
        <v>0</v>
      </c>
      <c r="K261" s="236"/>
      <c r="L261" s="237">
        <f t="shared" si="53"/>
        <v>-28080.729168940652</v>
      </c>
      <c r="M261" s="238">
        <f t="shared" si="54"/>
        <v>1296590.1160536157</v>
      </c>
      <c r="N261" s="236">
        <f>'LSR Prepaid BPA interest'!G259</f>
        <v>0</v>
      </c>
      <c r="O261" s="237">
        <f t="shared" si="55"/>
        <v>-642103.73787021567</v>
      </c>
      <c r="P261" s="238">
        <f t="shared" si="56"/>
        <v>293002.97999482777</v>
      </c>
      <c r="Q261" s="240">
        <f t="shared" si="57"/>
        <v>4106713.3958284445</v>
      </c>
      <c r="R261" s="154"/>
    </row>
    <row r="262" spans="1:18" ht="12.75" customHeight="1">
      <c r="A262" s="168">
        <v>47361</v>
      </c>
      <c r="B262" s="242">
        <f t="shared" si="39"/>
        <v>0</v>
      </c>
      <c r="C262" s="164">
        <f>'LSR Prepaid BPA interest'!I260</f>
        <v>2773.2893241872202</v>
      </c>
      <c r="D262" s="159">
        <f>'LSR Prepaid BPA interest'!H260</f>
        <v>-675002.21008466824</v>
      </c>
      <c r="E262" s="236"/>
      <c r="F262" s="237">
        <f t="shared" si="48"/>
        <v>0</v>
      </c>
      <c r="G262" s="238">
        <f t="shared" si="49"/>
        <v>0</v>
      </c>
      <c r="H262" s="236">
        <f t="shared" si="50"/>
        <v>2773.2893241872202</v>
      </c>
      <c r="I262" s="237">
        <f t="shared" si="51"/>
        <v>-2773.2893241872202</v>
      </c>
      <c r="J262" s="238">
        <f t="shared" si="52"/>
        <v>0</v>
      </c>
      <c r="K262" s="236"/>
      <c r="L262" s="237">
        <f t="shared" si="53"/>
        <v>-28166.391779864156</v>
      </c>
      <c r="M262" s="238">
        <f t="shared" si="54"/>
        <v>1268423.7242737515</v>
      </c>
      <c r="N262" s="236">
        <f>'LSR Prepaid BPA interest'!G260</f>
        <v>0</v>
      </c>
      <c r="O262" s="237">
        <f t="shared" si="55"/>
        <v>-644062.52898061683</v>
      </c>
      <c r="P262" s="238">
        <f t="shared" si="56"/>
        <v>-351059.54898578906</v>
      </c>
      <c r="Q262" s="240">
        <f t="shared" si="57"/>
        <v>3473886.8698358075</v>
      </c>
      <c r="R262" s="154"/>
    </row>
    <row r="263" spans="1:18" ht="12.75" customHeight="1">
      <c r="A263" s="168">
        <v>47391</v>
      </c>
      <c r="B263" s="242">
        <f t="shared" si="39"/>
        <v>0</v>
      </c>
      <c r="C263" s="164">
        <f>'LSR Prepaid BPA interest'!I261</f>
        <v>705.32477696371711</v>
      </c>
      <c r="D263" s="159">
        <f>'LSR Prepaid BPA interest'!H261</f>
        <v>-675002.21008466824</v>
      </c>
      <c r="E263" s="236"/>
      <c r="F263" s="237">
        <f t="shared" si="48"/>
        <v>0</v>
      </c>
      <c r="G263" s="238">
        <f t="shared" si="49"/>
        <v>0</v>
      </c>
      <c r="H263" s="236">
        <f t="shared" si="50"/>
        <v>705.32477696371711</v>
      </c>
      <c r="I263" s="237">
        <f t="shared" si="51"/>
        <v>-705.32477696371711</v>
      </c>
      <c r="J263" s="238">
        <f t="shared" si="52"/>
        <v>0</v>
      </c>
      <c r="K263" s="236"/>
      <c r="L263" s="237">
        <f t="shared" si="53"/>
        <v>-28253.039494392822</v>
      </c>
      <c r="M263" s="238">
        <f t="shared" si="54"/>
        <v>1240170.6847793586</v>
      </c>
      <c r="N263" s="236">
        <f>'LSR Prepaid BPA interest'!G261</f>
        <v>0</v>
      </c>
      <c r="O263" s="237">
        <f t="shared" si="55"/>
        <v>-646043.84581331175</v>
      </c>
      <c r="P263" s="238">
        <f t="shared" si="56"/>
        <v>-997103.39479910082</v>
      </c>
      <c r="Q263" s="240">
        <f t="shared" si="57"/>
        <v>2839183.0758091076</v>
      </c>
      <c r="R263" s="154"/>
    </row>
    <row r="264" spans="1:18" ht="12.75" customHeight="1">
      <c r="A264" s="168">
        <v>47422</v>
      </c>
      <c r="B264" s="242">
        <f t="shared" si="39"/>
        <v>0</v>
      </c>
      <c r="C264" s="164">
        <f>'LSR Prepaid BPA interest'!I262</f>
        <v>-1416.8372655412265</v>
      </c>
      <c r="D264" s="159">
        <f>'LSR Prepaid BPA interest'!H262</f>
        <v>-716717.3466679008</v>
      </c>
      <c r="E264" s="236"/>
      <c r="F264" s="237">
        <f t="shared" si="48"/>
        <v>0</v>
      </c>
      <c r="G264" s="238">
        <f t="shared" si="49"/>
        <v>0</v>
      </c>
      <c r="H264" s="236">
        <f t="shared" si="50"/>
        <v>-1416.8372655412265</v>
      </c>
      <c r="I264" s="237">
        <f t="shared" si="51"/>
        <v>1416.8372655412265</v>
      </c>
      <c r="J264" s="238">
        <f t="shared" si="52"/>
        <v>0</v>
      </c>
      <c r="K264" s="236"/>
      <c r="L264" s="237">
        <f t="shared" si="53"/>
        <v>-30089.82230681122</v>
      </c>
      <c r="M264" s="238">
        <f t="shared" si="54"/>
        <v>1210080.8624725475</v>
      </c>
      <c r="N264" s="236">
        <f>'LSR Prepaid BPA interest'!G262</f>
        <v>0</v>
      </c>
      <c r="O264" s="237">
        <f t="shared" si="55"/>
        <v>-688044.36162663077</v>
      </c>
      <c r="P264" s="238">
        <f t="shared" si="56"/>
        <v>-1685147.7564257316</v>
      </c>
      <c r="Q264" s="240">
        <f t="shared" si="57"/>
        <v>2200923.0914071235</v>
      </c>
      <c r="R264" s="154"/>
    </row>
    <row r="265" spans="1:18" ht="12.75" customHeight="1">
      <c r="A265" s="168">
        <v>47452</v>
      </c>
      <c r="B265" s="242">
        <f t="shared" si="39"/>
        <v>0</v>
      </c>
      <c r="C265" s="164">
        <f>'LSR Prepaid BPA interest'!I263</f>
        <v>-3471.9079614617485</v>
      </c>
      <c r="D265" s="159">
        <f>'LSR Prepaid BPA interest'!H263</f>
        <v>-716717.3466679008</v>
      </c>
      <c r="E265" s="236"/>
      <c r="F265" s="237">
        <f t="shared" si="48"/>
        <v>0</v>
      </c>
      <c r="G265" s="238">
        <f t="shared" si="49"/>
        <v>0</v>
      </c>
      <c r="H265" s="236">
        <f t="shared" si="50"/>
        <v>-3471.9079614617485</v>
      </c>
      <c r="I265" s="237">
        <f t="shared" si="51"/>
        <v>3471.9079614617485</v>
      </c>
      <c r="J265" s="238">
        <f t="shared" si="52"/>
        <v>0</v>
      </c>
      <c r="K265" s="236"/>
      <c r="L265" s="237">
        <f t="shared" si="53"/>
        <v>-30175.929768970287</v>
      </c>
      <c r="M265" s="238">
        <f t="shared" si="54"/>
        <v>1179904.9327035772</v>
      </c>
      <c r="N265" s="236">
        <f>'LSR Prepaid BPA interest'!G263</f>
        <v>0</v>
      </c>
      <c r="O265" s="237">
        <f t="shared" si="55"/>
        <v>-690013.32486039214</v>
      </c>
      <c r="P265" s="238">
        <f t="shared" si="56"/>
        <v>-2375161.081286124</v>
      </c>
      <c r="Q265" s="240">
        <f t="shared" si="57"/>
        <v>1557423.5524406631</v>
      </c>
      <c r="R265" s="154"/>
    </row>
    <row r="266" spans="1:18" ht="12.75" customHeight="1">
      <c r="A266" s="168">
        <v>47483</v>
      </c>
      <c r="B266" s="242">
        <f t="shared" si="39"/>
        <v>0</v>
      </c>
      <c r="C266" s="164">
        <f>'LSR Prepaid BPA interest'!I264</f>
        <v>-5758.4391881463862</v>
      </c>
      <c r="D266" s="159">
        <f>'LSR Prepaid BPA interest'!H264</f>
        <v>-716717.3466679008</v>
      </c>
      <c r="E266" s="236"/>
      <c r="F266" s="237">
        <f t="shared" si="48"/>
        <v>0</v>
      </c>
      <c r="G266" s="238">
        <f t="shared" si="49"/>
        <v>0</v>
      </c>
      <c r="H266" s="236">
        <f t="shared" si="50"/>
        <v>-5758.4391881463862</v>
      </c>
      <c r="I266" s="237">
        <f t="shared" si="51"/>
        <v>5758.4391881463862</v>
      </c>
      <c r="J266" s="238">
        <f t="shared" si="52"/>
        <v>0</v>
      </c>
      <c r="K266" s="236"/>
      <c r="L266" s="237">
        <f t="shared" si="53"/>
        <v>-30271.735427368378</v>
      </c>
      <c r="M266" s="238">
        <f t="shared" si="54"/>
        <v>1149633.1972762088</v>
      </c>
      <c r="N266" s="236">
        <f>'LSR Prepaid BPA interest'!G264</f>
        <v>0</v>
      </c>
      <c r="O266" s="237">
        <f t="shared" si="55"/>
        <v>-692204.05042867875</v>
      </c>
      <c r="P266" s="238">
        <f t="shared" si="56"/>
        <v>-3067365.1317148027</v>
      </c>
      <c r="Q266" s="240">
        <f t="shared" si="57"/>
        <v>908674.37113550876</v>
      </c>
      <c r="R266" s="154"/>
    </row>
    <row r="267" spans="1:18" ht="12.75" customHeight="1">
      <c r="A267" s="168">
        <v>47514</v>
      </c>
      <c r="B267" s="242">
        <f t="shared" si="39"/>
        <v>0</v>
      </c>
      <c r="C267" s="164">
        <f>'LSR Prepaid BPA interest'!I265</f>
        <v>-7961.4884524529698</v>
      </c>
      <c r="D267" s="159">
        <f>'LSR Prepaid BPA interest'!H265</f>
        <v>-716717.3466679008</v>
      </c>
      <c r="E267" s="236"/>
      <c r="F267" s="237">
        <f t="shared" si="48"/>
        <v>0</v>
      </c>
      <c r="G267" s="238">
        <f t="shared" si="49"/>
        <v>0</v>
      </c>
      <c r="H267" s="236">
        <f t="shared" si="50"/>
        <v>-7961.4884524529698</v>
      </c>
      <c r="I267" s="237">
        <f t="shared" si="51"/>
        <v>7961.4884524529698</v>
      </c>
      <c r="J267" s="238">
        <f t="shared" si="52"/>
        <v>0</v>
      </c>
      <c r="K267" s="236"/>
      <c r="L267" s="237">
        <f t="shared" si="53"/>
        <v>-30364.04319154282</v>
      </c>
      <c r="M267" s="238">
        <f t="shared" si="54"/>
        <v>1119269.1540846659</v>
      </c>
      <c r="N267" s="236">
        <f>'LSR Prepaid BPA interest'!G265</f>
        <v>0</v>
      </c>
      <c r="O267" s="237">
        <f t="shared" si="55"/>
        <v>-694314.79192881088</v>
      </c>
      <c r="P267" s="238">
        <f t="shared" si="56"/>
        <v>-3761679.9236436137</v>
      </c>
      <c r="Q267" s="240">
        <f t="shared" si="57"/>
        <v>254625.33959485916</v>
      </c>
      <c r="R267" s="154"/>
    </row>
    <row r="268" spans="1:18" ht="12.75" customHeight="1">
      <c r="A268" s="168">
        <v>47542</v>
      </c>
      <c r="B268" s="242">
        <f t="shared" si="39"/>
        <v>0</v>
      </c>
      <c r="C268" s="164">
        <f>'LSR Prepaid BPA interest'!I266</f>
        <v>-9151.7452769404954</v>
      </c>
      <c r="D268" s="159">
        <f>'LSR Prepaid BPA interest'!H266</f>
        <v>-716717.3466679008</v>
      </c>
      <c r="E268" s="236"/>
      <c r="F268" s="237">
        <f t="shared" si="48"/>
        <v>0</v>
      </c>
      <c r="G268" s="238">
        <f t="shared" si="49"/>
        <v>0</v>
      </c>
      <c r="H268" s="236">
        <f t="shared" si="50"/>
        <v>-9151.7452769404954</v>
      </c>
      <c r="I268" s="237">
        <f t="shared" si="51"/>
        <v>9151.7452769404954</v>
      </c>
      <c r="J268" s="238">
        <f t="shared" si="52"/>
        <v>0</v>
      </c>
      <c r="K268" s="236"/>
      <c r="L268" s="237">
        <f t="shared" si="53"/>
        <v>-30413.914952488853</v>
      </c>
      <c r="M268" s="238">
        <f t="shared" si="54"/>
        <v>1088855.2391321771</v>
      </c>
      <c r="N268" s="236">
        <f>'LSR Prepaid BPA interest'!G266</f>
        <v>0</v>
      </c>
      <c r="O268" s="237">
        <f t="shared" si="55"/>
        <v>-695455.17699235247</v>
      </c>
      <c r="P268" s="238">
        <f t="shared" si="56"/>
        <v>-4457135.1006359663</v>
      </c>
      <c r="Q268" s="240">
        <f t="shared" si="57"/>
        <v>-404645.93190808833</v>
      </c>
      <c r="R268" s="154"/>
    </row>
    <row r="269" spans="1:18" ht="12.75" customHeight="1">
      <c r="A269" s="168">
        <v>47573</v>
      </c>
      <c r="B269" s="242">
        <f t="shared" si="39"/>
        <v>0</v>
      </c>
      <c r="C269" s="164">
        <f>'LSR Prepaid BPA interest'!I267</f>
        <v>-12303.090375058129</v>
      </c>
      <c r="D269" s="159">
        <f>'LSR Prepaid BPA interest'!H267</f>
        <v>-716717.3466679008</v>
      </c>
      <c r="E269" s="236"/>
      <c r="F269" s="237">
        <f t="shared" si="48"/>
        <v>0</v>
      </c>
      <c r="G269" s="238">
        <f t="shared" si="49"/>
        <v>0</v>
      </c>
      <c r="H269" s="236">
        <f t="shared" si="50"/>
        <v>-12303.090375058129</v>
      </c>
      <c r="I269" s="237">
        <f t="shared" si="51"/>
        <v>12303.090375058129</v>
      </c>
      <c r="J269" s="238">
        <f t="shared" si="52"/>
        <v>0</v>
      </c>
      <c r="K269" s="236"/>
      <c r="L269" s="237">
        <f t="shared" si="53"/>
        <v>-30545.956312099977</v>
      </c>
      <c r="M269" s="238">
        <f t="shared" si="54"/>
        <v>1058309.2828200771</v>
      </c>
      <c r="N269" s="236">
        <f>'LSR Prepaid BPA interest'!G267</f>
        <v>0</v>
      </c>
      <c r="O269" s="237">
        <f t="shared" si="55"/>
        <v>-698474.48073085886</v>
      </c>
      <c r="P269" s="238">
        <f t="shared" si="56"/>
        <v>-5155609.5813668249</v>
      </c>
      <c r="Q269" s="240">
        <f t="shared" si="57"/>
        <v>-1069149.5311475524</v>
      </c>
      <c r="R269" s="154"/>
    </row>
    <row r="270" spans="1:18" ht="12.75" customHeight="1">
      <c r="A270" s="168">
        <v>47603</v>
      </c>
      <c r="B270" s="242">
        <f t="shared" si="39"/>
        <v>0</v>
      </c>
      <c r="C270" s="164">
        <f>'LSR Prepaid BPA interest'!I268</f>
        <v>-14093.214004897176</v>
      </c>
      <c r="D270" s="159">
        <f>'LSR Prepaid BPA interest'!H268</f>
        <v>-716717.3466679008</v>
      </c>
      <c r="E270" s="236"/>
      <c r="F270" s="237">
        <f t="shared" si="48"/>
        <v>0</v>
      </c>
      <c r="G270" s="238">
        <f t="shared" si="49"/>
        <v>0</v>
      </c>
      <c r="H270" s="236">
        <f t="shared" si="50"/>
        <v>-14093.214004897176</v>
      </c>
      <c r="I270" s="237">
        <f t="shared" si="51"/>
        <v>14093.214004897176</v>
      </c>
      <c r="J270" s="238">
        <f t="shared" si="52"/>
        <v>0</v>
      </c>
      <c r="K270" s="236"/>
      <c r="L270" s="237">
        <f t="shared" si="53"/>
        <v>-30620.962492190236</v>
      </c>
      <c r="M270" s="238">
        <f t="shared" si="54"/>
        <v>1027688.320327887</v>
      </c>
      <c r="N270" s="236">
        <f>'LSR Prepaid BPA interest'!G268</f>
        <v>0</v>
      </c>
      <c r="O270" s="237">
        <f t="shared" si="55"/>
        <v>-700189.59818060766</v>
      </c>
      <c r="P270" s="238">
        <f t="shared" si="56"/>
        <v>-5855799.1795474328</v>
      </c>
      <c r="Q270" s="240">
        <f t="shared" si="57"/>
        <v>-1738967.9950368663</v>
      </c>
      <c r="R270" s="154"/>
    </row>
    <row r="271" spans="1:18" ht="12.75" customHeight="1">
      <c r="A271" s="168">
        <v>47634</v>
      </c>
      <c r="B271" s="242">
        <f t="shared" si="39"/>
        <v>0</v>
      </c>
      <c r="C271" s="164">
        <f>'LSR Prepaid BPA interest'!I269</f>
        <v>-16733.788766362992</v>
      </c>
      <c r="D271" s="159">
        <f>'LSR Prepaid BPA interest'!H269</f>
        <v>-716717.3466679008</v>
      </c>
      <c r="E271" s="236"/>
      <c r="F271" s="237">
        <f t="shared" si="48"/>
        <v>0</v>
      </c>
      <c r="G271" s="238">
        <f t="shared" si="49"/>
        <v>0</v>
      </c>
      <c r="H271" s="236">
        <f t="shared" si="50"/>
        <v>-16733.788766362992</v>
      </c>
      <c r="I271" s="237">
        <f t="shared" si="51"/>
        <v>16733.788766362992</v>
      </c>
      <c r="J271" s="238">
        <f t="shared" si="52"/>
        <v>0</v>
      </c>
      <c r="K271" s="236"/>
      <c r="L271" s="237">
        <f t="shared" si="53"/>
        <v>-30731.602574695651</v>
      </c>
      <c r="M271" s="238">
        <f t="shared" si="54"/>
        <v>996956.71775319136</v>
      </c>
      <c r="N271" s="236">
        <f>'LSR Prepaid BPA interest'!G269</f>
        <v>0</v>
      </c>
      <c r="O271" s="237">
        <f t="shared" si="55"/>
        <v>-702719.53285956802</v>
      </c>
      <c r="P271" s="238">
        <f t="shared" si="56"/>
        <v>-6558518.7124070004</v>
      </c>
      <c r="Q271" s="240">
        <f t="shared" si="57"/>
        <v>-2414120.1744176606</v>
      </c>
      <c r="R271" s="154"/>
    </row>
    <row r="272" spans="1:18" ht="12.75" customHeight="1">
      <c r="A272" s="168">
        <v>47664</v>
      </c>
      <c r="B272" s="242">
        <f t="shared" si="39"/>
        <v>0</v>
      </c>
      <c r="C272" s="164">
        <f>'LSR Prepaid BPA interest'!I270</f>
        <v>-18294.764252579589</v>
      </c>
      <c r="D272" s="159">
        <f>'LSR Prepaid BPA interest'!H270</f>
        <v>-716717.3466679008</v>
      </c>
      <c r="E272" s="236"/>
      <c r="F272" s="237">
        <f t="shared" si="48"/>
        <v>0</v>
      </c>
      <c r="G272" s="238">
        <f t="shared" si="49"/>
        <v>0</v>
      </c>
      <c r="H272" s="236">
        <f t="shared" si="50"/>
        <v>-18294.764252579589</v>
      </c>
      <c r="I272" s="237">
        <f t="shared" si="51"/>
        <v>18294.764252579589</v>
      </c>
      <c r="J272" s="238">
        <f t="shared" si="52"/>
        <v>0</v>
      </c>
      <c r="K272" s="236"/>
      <c r="L272" s="237">
        <f t="shared" si="53"/>
        <v>-30797.007447568125</v>
      </c>
      <c r="M272" s="238">
        <f t="shared" si="54"/>
        <v>966159.71030562324</v>
      </c>
      <c r="N272" s="236">
        <f>'LSR Prepaid BPA interest'!G270</f>
        <v>0</v>
      </c>
      <c r="O272" s="237">
        <f t="shared" si="55"/>
        <v>-704215.10347291222</v>
      </c>
      <c r="P272" s="238">
        <f t="shared" si="56"/>
        <v>-7262733.815879913</v>
      </c>
      <c r="Q272" s="240">
        <f t="shared" si="57"/>
        <v>-3094615.831652083</v>
      </c>
      <c r="R272" s="154"/>
    </row>
    <row r="273" spans="1:18" ht="12.75" customHeight="1">
      <c r="A273" s="168">
        <v>47695</v>
      </c>
      <c r="B273" s="242">
        <f t="shared" si="39"/>
        <v>0</v>
      </c>
      <c r="C273" s="164">
        <f>'LSR Prepaid BPA interest'!I271</f>
        <v>-21224.171208334657</v>
      </c>
      <c r="D273" s="159">
        <f>'LSR Prepaid BPA interest'!H271</f>
        <v>-716717.3466679008</v>
      </c>
      <c r="E273" s="236"/>
      <c r="F273" s="237">
        <f t="shared" si="48"/>
        <v>0</v>
      </c>
      <c r="G273" s="238">
        <f t="shared" si="49"/>
        <v>0</v>
      </c>
      <c r="H273" s="236">
        <f t="shared" si="50"/>
        <v>-21224.171208334657</v>
      </c>
      <c r="I273" s="237">
        <f t="shared" si="51"/>
        <v>21224.171208334657</v>
      </c>
      <c r="J273" s="238">
        <f t="shared" si="52"/>
        <v>0</v>
      </c>
      <c r="K273" s="236"/>
      <c r="L273" s="237">
        <f t="shared" si="53"/>
        <v>-30919.749599014263</v>
      </c>
      <c r="M273" s="238">
        <f t="shared" si="54"/>
        <v>935239.96070660895</v>
      </c>
      <c r="N273" s="236">
        <f>'LSR Prepaid BPA interest'!G271</f>
        <v>0</v>
      </c>
      <c r="O273" s="237">
        <f t="shared" si="55"/>
        <v>-707021.76827722113</v>
      </c>
      <c r="P273" s="238">
        <f t="shared" si="56"/>
        <v>-7969755.5841571344</v>
      </c>
      <c r="Q273" s="240">
        <f t="shared" si="57"/>
        <v>-3780474.1273977873</v>
      </c>
      <c r="R273" s="154"/>
    </row>
    <row r="274" spans="1:18" ht="12.75" customHeight="1">
      <c r="A274" s="168">
        <v>47726</v>
      </c>
      <c r="B274" s="242">
        <f t="shared" si="39"/>
        <v>0</v>
      </c>
      <c r="C274" s="164">
        <f>'LSR Prepaid BPA interest'!I272</f>
        <v>-23394.97216963724</v>
      </c>
      <c r="D274" s="159">
        <f>'LSR Prepaid BPA interest'!H272</f>
        <v>-716717.3466679008</v>
      </c>
      <c r="E274" s="236"/>
      <c r="F274" s="237">
        <f t="shared" si="48"/>
        <v>0</v>
      </c>
      <c r="G274" s="238">
        <f t="shared" si="49"/>
        <v>0</v>
      </c>
      <c r="H274" s="236">
        <f t="shared" si="50"/>
        <v>-23394.97216963724</v>
      </c>
      <c r="I274" s="237">
        <f t="shared" si="51"/>
        <v>23394.97216963724</v>
      </c>
      <c r="J274" s="238">
        <f t="shared" si="52"/>
        <v>0</v>
      </c>
      <c r="K274" s="236"/>
      <c r="L274" s="237">
        <f t="shared" si="53"/>
        <v>-31010.706159292844</v>
      </c>
      <c r="M274" s="238">
        <f t="shared" si="54"/>
        <v>904229.25454731612</v>
      </c>
      <c r="N274" s="236">
        <f>'LSR Prepaid BPA interest'!G272</f>
        <v>0</v>
      </c>
      <c r="O274" s="237">
        <f t="shared" si="55"/>
        <v>-709101.61267824518</v>
      </c>
      <c r="P274" s="238">
        <f t="shared" si="56"/>
        <v>-8678857.19683538</v>
      </c>
      <c r="Q274" s="240">
        <f t="shared" si="57"/>
        <v>-4471747.3028978519</v>
      </c>
      <c r="R274" s="154"/>
    </row>
    <row r="275" spans="1:18" ht="12.75" customHeight="1">
      <c r="A275" s="168">
        <v>47756</v>
      </c>
      <c r="B275" s="242">
        <f t="shared" si="39"/>
        <v>0</v>
      </c>
      <c r="C275" s="164">
        <f>'LSR Prepaid BPA interest'!I273</f>
        <v>-24741.070771877246</v>
      </c>
      <c r="D275" s="159">
        <f>'LSR Prepaid BPA interest'!H273</f>
        <v>-716717.3466679008</v>
      </c>
      <c r="E275" s="236"/>
      <c r="F275" s="237">
        <f t="shared" si="48"/>
        <v>0</v>
      </c>
      <c r="G275" s="238">
        <f t="shared" si="49"/>
        <v>0</v>
      </c>
      <c r="H275" s="236">
        <f t="shared" si="50"/>
        <v>-24741.070771877246</v>
      </c>
      <c r="I275" s="237">
        <f t="shared" si="51"/>
        <v>24741.070771877246</v>
      </c>
      <c r="J275" s="238">
        <f t="shared" si="52"/>
        <v>0</v>
      </c>
      <c r="K275" s="236"/>
      <c r="L275" s="237">
        <f t="shared" si="53"/>
        <v>-31067.107690726702</v>
      </c>
      <c r="M275" s="238">
        <f t="shared" si="54"/>
        <v>873162.14685658936</v>
      </c>
      <c r="N275" s="236">
        <f>'LSR Prepaid BPA interest'!G273</f>
        <v>0</v>
      </c>
      <c r="O275" s="237">
        <f t="shared" si="55"/>
        <v>-710391.30974905135</v>
      </c>
      <c r="P275" s="238">
        <f t="shared" si="56"/>
        <v>-9389248.506584432</v>
      </c>
      <c r="Q275" s="240">
        <f t="shared" si="57"/>
        <v>-5168411.5845493069</v>
      </c>
      <c r="R275" s="154"/>
    </row>
    <row r="276" spans="1:18" ht="12.75" customHeight="1">
      <c r="A276" s="168">
        <v>47787</v>
      </c>
      <c r="B276" s="242">
        <f t="shared" si="39"/>
        <v>0</v>
      </c>
      <c r="C276" s="164">
        <f>'LSR Prepaid BPA interest'!I274</f>
        <v>-27946.653030965801</v>
      </c>
      <c r="D276" s="159">
        <f>'LSR Prepaid BPA interest'!H274</f>
        <v>-716717.3466679008</v>
      </c>
      <c r="E276" s="236"/>
      <c r="F276" s="237">
        <f t="shared" si="48"/>
        <v>0</v>
      </c>
      <c r="G276" s="238">
        <f t="shared" si="49"/>
        <v>0</v>
      </c>
      <c r="H276" s="236">
        <f t="shared" si="50"/>
        <v>-27946.653030965801</v>
      </c>
      <c r="I276" s="237">
        <f t="shared" si="51"/>
        <v>27946.653030965801</v>
      </c>
      <c r="J276" s="238">
        <f t="shared" si="52"/>
        <v>0</v>
      </c>
      <c r="K276" s="236"/>
      <c r="L276" s="237">
        <f t="shared" si="53"/>
        <v>-31201.421587382512</v>
      </c>
      <c r="M276" s="238">
        <f t="shared" si="54"/>
        <v>841960.7252692068</v>
      </c>
      <c r="N276" s="236">
        <f>'LSR Prepaid BPA interest'!G274</f>
        <v>0</v>
      </c>
      <c r="O276" s="237">
        <f t="shared" si="55"/>
        <v>-713462.57811148406</v>
      </c>
      <c r="P276" s="238">
        <f t="shared" si="56"/>
        <v>-10102711.084695917</v>
      </c>
      <c r="Q276" s="240">
        <f t="shared" si="57"/>
        <v>-5868816.1028849548</v>
      </c>
      <c r="R276" s="154"/>
    </row>
    <row r="277" spans="1:18" ht="12.75" customHeight="1">
      <c r="A277" s="168">
        <v>47817</v>
      </c>
      <c r="B277" s="242">
        <f t="shared" si="39"/>
        <v>0</v>
      </c>
      <c r="C277" s="164">
        <f>'LSR Prepaid BPA interest'!I275</f>
        <v>-29145.923218324242</v>
      </c>
      <c r="D277" s="159">
        <f>'LSR Prepaid BPA interest'!H275</f>
        <v>-716717.3466679008</v>
      </c>
      <c r="E277" s="236"/>
      <c r="F277" s="237">
        <f t="shared" si="48"/>
        <v>0</v>
      </c>
      <c r="G277" s="238">
        <f t="shared" si="49"/>
        <v>0</v>
      </c>
      <c r="H277" s="236">
        <f t="shared" si="50"/>
        <v>-29145.923218324242</v>
      </c>
      <c r="I277" s="237">
        <f t="shared" si="51"/>
        <v>29145.923218324242</v>
      </c>
      <c r="J277" s="238">
        <f t="shared" si="52"/>
        <v>0</v>
      </c>
      <c r="K277" s="236"/>
      <c r="L277" s="237">
        <f t="shared" si="53"/>
        <v>-31251.671008232828</v>
      </c>
      <c r="M277" s="238">
        <f t="shared" si="54"/>
        <v>810709.05426097394</v>
      </c>
      <c r="N277" s="236">
        <f>'LSR Prepaid BPA interest'!G275</f>
        <v>0</v>
      </c>
      <c r="O277" s="237">
        <f t="shared" si="55"/>
        <v>-714611.59887799213</v>
      </c>
      <c r="P277" s="238">
        <f t="shared" si="56"/>
        <v>-10817322.683573909</v>
      </c>
      <c r="Q277" s="240">
        <f t="shared" si="57"/>
        <v>-6571304.6416582027</v>
      </c>
      <c r="R277" s="154"/>
    </row>
    <row r="278" spans="1:18" ht="12.75" customHeight="1">
      <c r="A278" s="168">
        <v>47848</v>
      </c>
      <c r="B278" s="242">
        <f t="shared" si="39"/>
        <v>0</v>
      </c>
      <c r="C278" s="164">
        <f>'LSR Prepaid BPA interest'!I276</f>
        <v>-32288.254953570959</v>
      </c>
      <c r="D278" s="159">
        <f>'LSR Prepaid BPA interest'!H276</f>
        <v>-716717.3466679008</v>
      </c>
      <c r="E278" s="236"/>
      <c r="F278" s="237">
        <f t="shared" si="48"/>
        <v>0</v>
      </c>
      <c r="G278" s="238">
        <f t="shared" si="49"/>
        <v>0</v>
      </c>
      <c r="H278" s="236">
        <f t="shared" si="50"/>
        <v>-32288.254953570959</v>
      </c>
      <c r="I278" s="237">
        <f t="shared" si="51"/>
        <v>32288.254953570959</v>
      </c>
      <c r="J278" s="238">
        <f t="shared" si="52"/>
        <v>0</v>
      </c>
      <c r="K278" s="236"/>
      <c r="L278" s="237">
        <f t="shared" si="53"/>
        <v>-31383.33470793967</v>
      </c>
      <c r="M278" s="238">
        <f t="shared" si="54"/>
        <v>779325.71955303429</v>
      </c>
      <c r="N278" s="236">
        <f>'LSR Prepaid BPA interest'!G276</f>
        <v>0</v>
      </c>
      <c r="O278" s="237">
        <f t="shared" si="55"/>
        <v>-717622.26691353216</v>
      </c>
      <c r="P278" s="238">
        <f t="shared" si="56"/>
        <v>-11534944.95048744</v>
      </c>
      <c r="Q278" s="240">
        <f t="shared" si="57"/>
        <v>-7275877.2008690536</v>
      </c>
      <c r="R278" s="154"/>
    </row>
    <row r="279" spans="1:18" ht="12.75" customHeight="1">
      <c r="A279" s="168">
        <v>47879</v>
      </c>
      <c r="B279" s="242">
        <f t="shared" si="39"/>
        <v>0</v>
      </c>
      <c r="C279" s="164">
        <f>'LSR Prepaid BPA interest'!I277</f>
        <v>-34729.773506960926</v>
      </c>
      <c r="D279" s="159">
        <f>'LSR Prepaid BPA interest'!H277</f>
        <v>-716717.3466679008</v>
      </c>
      <c r="E279" s="236"/>
      <c r="F279" s="237">
        <f t="shared" si="48"/>
        <v>0</v>
      </c>
      <c r="G279" s="238">
        <f t="shared" si="49"/>
        <v>0</v>
      </c>
      <c r="H279" s="236">
        <f t="shared" si="50"/>
        <v>-34729.773506960926</v>
      </c>
      <c r="I279" s="237">
        <f t="shared" si="51"/>
        <v>34729.773506960926</v>
      </c>
      <c r="J279" s="238">
        <f t="shared" si="52"/>
        <v>0</v>
      </c>
      <c r="K279" s="236"/>
      <c r="L279" s="237">
        <f t="shared" si="53"/>
        <v>-31485.634335326708</v>
      </c>
      <c r="M279" s="238">
        <f t="shared" si="54"/>
        <v>747840.08521770756</v>
      </c>
      <c r="N279" s="236">
        <f>'LSR Prepaid BPA interest'!G277</f>
        <v>0</v>
      </c>
      <c r="O279" s="237">
        <f t="shared" si="55"/>
        <v>-719961.48583953502</v>
      </c>
      <c r="P279" s="238">
        <f t="shared" si="56"/>
        <v>-12254906.436326975</v>
      </c>
      <c r="Q279" s="240">
        <f t="shared" si="57"/>
        <v>-7982577.4646797217</v>
      </c>
      <c r="R279" s="154"/>
    </row>
    <row r="280" spans="1:18" ht="12.75" customHeight="1">
      <c r="A280" s="168">
        <v>47907</v>
      </c>
      <c r="B280" s="242">
        <f t="shared" si="39"/>
        <v>0</v>
      </c>
      <c r="C280" s="164">
        <f>'LSR Prepaid BPA interest'!I278</f>
        <v>-33329.5511326251</v>
      </c>
      <c r="D280" s="159">
        <f>'LSR Prepaid BPA interest'!H278</f>
        <v>-716717.3466679008</v>
      </c>
      <c r="E280" s="236"/>
      <c r="F280" s="237">
        <f t="shared" si="48"/>
        <v>0</v>
      </c>
      <c r="G280" s="238">
        <f t="shared" si="49"/>
        <v>0</v>
      </c>
      <c r="H280" s="236">
        <f t="shared" si="50"/>
        <v>-33329.5511326251</v>
      </c>
      <c r="I280" s="237">
        <f t="shared" si="51"/>
        <v>33329.5511326251</v>
      </c>
      <c r="J280" s="238">
        <f t="shared" si="52"/>
        <v>0</v>
      </c>
      <c r="K280" s="236"/>
      <c r="L280" s="237">
        <f t="shared" si="53"/>
        <v>-31426.965017842034</v>
      </c>
      <c r="M280" s="238">
        <f t="shared" si="54"/>
        <v>716413.12019986555</v>
      </c>
      <c r="N280" s="236">
        <f>'LSR Prepaid BPA interest'!G278</f>
        <v>0</v>
      </c>
      <c r="O280" s="237">
        <f t="shared" si="55"/>
        <v>-718619.93278268375</v>
      </c>
      <c r="P280" s="238">
        <f t="shared" si="56"/>
        <v>-12973526.369109659</v>
      </c>
      <c r="Q280" s="240">
        <f t="shared" si="57"/>
        <v>-8691311.5388945993</v>
      </c>
      <c r="R280" s="154"/>
    </row>
    <row r="281" spans="1:18" ht="12.75" customHeight="1">
      <c r="A281" s="168">
        <v>47938</v>
      </c>
      <c r="B281" s="242">
        <f t="shared" si="39"/>
        <v>0</v>
      </c>
      <c r="C281" s="164">
        <f>'LSR Prepaid BPA interest'!I279</f>
        <v>-39071.375429566084</v>
      </c>
      <c r="D281" s="159">
        <f>'LSR Prepaid BPA interest'!H279</f>
        <v>-716717.3466679008</v>
      </c>
      <c r="E281" s="236"/>
      <c r="F281" s="237">
        <f t="shared" si="48"/>
        <v>0</v>
      </c>
      <c r="G281" s="238">
        <f t="shared" si="49"/>
        <v>0</v>
      </c>
      <c r="H281" s="236">
        <f t="shared" si="50"/>
        <v>-39071.375429566084</v>
      </c>
      <c r="I281" s="237">
        <f t="shared" si="51"/>
        <v>39071.375429566084</v>
      </c>
      <c r="J281" s="238">
        <f t="shared" si="52"/>
        <v>0</v>
      </c>
      <c r="K281" s="236"/>
      <c r="L281" s="237">
        <f t="shared" si="53"/>
        <v>-31667.547455883865</v>
      </c>
      <c r="M281" s="238">
        <f t="shared" si="54"/>
        <v>684745.57274398173</v>
      </c>
      <c r="N281" s="236">
        <f>'LSR Prepaid BPA interest'!G279</f>
        <v>0</v>
      </c>
      <c r="O281" s="237">
        <f t="shared" si="55"/>
        <v>-724121.174641583</v>
      </c>
      <c r="P281" s="238">
        <f t="shared" si="56"/>
        <v>-13697647.543751242</v>
      </c>
      <c r="Q281" s="240">
        <f t="shared" si="57"/>
        <v>-9402079.4235136863</v>
      </c>
      <c r="R281" s="154"/>
    </row>
    <row r="282" spans="1:18" ht="12.75" customHeight="1">
      <c r="A282" s="168">
        <v>47968</v>
      </c>
      <c r="B282" s="242">
        <f t="shared" si="39"/>
        <v>0</v>
      </c>
      <c r="C282" s="164">
        <f>'LSR Prepaid BPA interest'!I280</f>
        <v>-40225.795132811065</v>
      </c>
      <c r="D282" s="159">
        <f>'LSR Prepaid BPA interest'!H280</f>
        <v>-716717.3466679008</v>
      </c>
      <c r="E282" s="236"/>
      <c r="F282" s="237">
        <f t="shared" si="48"/>
        <v>0</v>
      </c>
      <c r="G282" s="238">
        <f t="shared" si="49"/>
        <v>0</v>
      </c>
      <c r="H282" s="236">
        <f t="shared" si="50"/>
        <v>-40225.795132811065</v>
      </c>
      <c r="I282" s="237">
        <f t="shared" si="51"/>
        <v>40225.795132811065</v>
      </c>
      <c r="J282" s="238">
        <f t="shared" si="52"/>
        <v>0</v>
      </c>
      <c r="K282" s="236"/>
      <c r="L282" s="237">
        <f t="shared" si="53"/>
        <v>-31715.917641449825</v>
      </c>
      <c r="M282" s="238">
        <f t="shared" si="54"/>
        <v>653029.65510253189</v>
      </c>
      <c r="N282" s="236">
        <f>'LSR Prepaid BPA interest'!G280</f>
        <v>0</v>
      </c>
      <c r="O282" s="237">
        <f t="shared" si="55"/>
        <v>-725227.22415926203</v>
      </c>
      <c r="P282" s="238">
        <f t="shared" si="56"/>
        <v>-14422874.767910503</v>
      </c>
      <c r="Q282" s="240">
        <f t="shared" si="57"/>
        <v>-10114959.154794833</v>
      </c>
      <c r="R282" s="154"/>
    </row>
    <row r="283" spans="1:18" ht="12.75" customHeight="1">
      <c r="A283" s="168">
        <v>47999</v>
      </c>
      <c r="B283" s="242">
        <f t="shared" si="39"/>
        <v>0</v>
      </c>
      <c r="C283" s="164">
        <f>'LSR Prepaid BPA interest'!I281</f>
        <v>-43737.455931874014</v>
      </c>
      <c r="D283" s="159">
        <f>'LSR Prepaid BPA interest'!H281</f>
        <v>-716717.3466679008</v>
      </c>
      <c r="E283" s="236"/>
      <c r="F283" s="237">
        <f t="shared" si="48"/>
        <v>0</v>
      </c>
      <c r="G283" s="238">
        <f t="shared" si="49"/>
        <v>0</v>
      </c>
      <c r="H283" s="236">
        <f t="shared" si="50"/>
        <v>-43737.455931874014</v>
      </c>
      <c r="I283" s="237">
        <f t="shared" si="51"/>
        <v>43737.455931874014</v>
      </c>
      <c r="J283" s="238">
        <f t="shared" si="52"/>
        <v>0</v>
      </c>
      <c r="K283" s="236"/>
      <c r="L283" s="237">
        <f t="shared" si="53"/>
        <v>-31863.056228930564</v>
      </c>
      <c r="M283" s="238">
        <f t="shared" si="54"/>
        <v>621166.5988736013</v>
      </c>
      <c r="N283" s="236">
        <f>'LSR Prepaid BPA interest'!G281</f>
        <v>0</v>
      </c>
      <c r="O283" s="237">
        <f t="shared" si="55"/>
        <v>-728591.74637084419</v>
      </c>
      <c r="P283" s="238">
        <f t="shared" si="56"/>
        <v>-15151466.514281347</v>
      </c>
      <c r="Q283" s="240">
        <f t="shared" si="57"/>
        <v>-10829960.129388059</v>
      </c>
      <c r="R283" s="154"/>
    </row>
    <row r="284" spans="1:18" ht="12.75" customHeight="1">
      <c r="A284" s="168">
        <v>48029</v>
      </c>
      <c r="B284" s="242">
        <f t="shared" si="39"/>
        <v>0</v>
      </c>
      <c r="C284" s="164">
        <f>'LSR Prepaid BPA interest'!I282</f>
        <v>-44427.345380493476</v>
      </c>
      <c r="D284" s="159">
        <f>'LSR Prepaid BPA interest'!H282</f>
        <v>-716717.3466679008</v>
      </c>
      <c r="E284" s="236"/>
      <c r="F284" s="237">
        <f t="shared" si="48"/>
        <v>0</v>
      </c>
      <c r="G284" s="238">
        <f t="shared" si="49"/>
        <v>0</v>
      </c>
      <c r="H284" s="236">
        <f t="shared" si="50"/>
        <v>-44427.345380493476</v>
      </c>
      <c r="I284" s="237">
        <f t="shared" si="51"/>
        <v>44427.345380493476</v>
      </c>
      <c r="J284" s="238">
        <f t="shared" si="52"/>
        <v>0</v>
      </c>
      <c r="K284" s="236"/>
      <c r="L284" s="237">
        <f t="shared" si="53"/>
        <v>-31891.962596827718</v>
      </c>
      <c r="M284" s="238">
        <f t="shared" si="54"/>
        <v>589274.63627677353</v>
      </c>
      <c r="N284" s="236">
        <f>'LSR Prepaid BPA interest'!G282</f>
        <v>0</v>
      </c>
      <c r="O284" s="237">
        <f t="shared" si="55"/>
        <v>-729252.72945156647</v>
      </c>
      <c r="P284" s="238">
        <f t="shared" si="56"/>
        <v>-15880719.243732914</v>
      </c>
      <c r="Q284" s="240">
        <f t="shared" si="57"/>
        <v>-11547082.347293364</v>
      </c>
      <c r="R284" s="154"/>
    </row>
    <row r="285" spans="1:18" ht="12.75" customHeight="1">
      <c r="A285" s="168">
        <v>48060</v>
      </c>
      <c r="B285" s="242">
        <f t="shared" si="39"/>
        <v>0</v>
      </c>
      <c r="C285" s="164">
        <f>'LSR Prepaid BPA interest'!I283</f>
        <v>-48467.928629661554</v>
      </c>
      <c r="D285" s="159">
        <f>'LSR Prepaid BPA interest'!H283</f>
        <v>-716717.3466679008</v>
      </c>
      <c r="E285" s="236"/>
      <c r="F285" s="237">
        <f>-MIN(ABS(D285),ABS(G284))</f>
        <v>0</v>
      </c>
      <c r="G285" s="238">
        <f>G284+E285+F285</f>
        <v>0</v>
      </c>
      <c r="H285" s="236">
        <f>C285</f>
        <v>-48467.928629661554</v>
      </c>
      <c r="I285" s="237">
        <f>-J284-H285</f>
        <v>48467.928629661554</v>
      </c>
      <c r="J285" s="238">
        <f>J284+H285+I285</f>
        <v>0</v>
      </c>
      <c r="K285" s="236"/>
      <c r="L285" s="237">
        <f>IF((F285+I285)&gt;D285,(D285-F285-I285)*$M$1,0)</f>
        <v>-32061.263034967862</v>
      </c>
      <c r="M285" s="238">
        <f>M284+K285+L285</f>
        <v>557213.3732418057</v>
      </c>
      <c r="N285" s="236">
        <f>'LSR Prepaid BPA interest'!G283</f>
        <v>0</v>
      </c>
      <c r="O285" s="237">
        <f t="shared" ref="O285:O295" si="58">IF((I285+L285)&gt;D285,(D285-I285)*$P$1,0)</f>
        <v>-733124.01226259442</v>
      </c>
      <c r="P285" s="238">
        <f t="shared" ref="P285:P295" si="59">P284+N285+O285</f>
        <v>-16613843.255995508</v>
      </c>
      <c r="Q285" s="240">
        <f t="shared" ref="Q285:Q298" si="60">(P285+P273+SUM(P274:P284)*2)/24</f>
        <v>-12266335.393113837</v>
      </c>
      <c r="R285" s="154"/>
    </row>
    <row r="286" spans="1:18" ht="12.75" customHeight="1">
      <c r="A286" s="168">
        <v>48091</v>
      </c>
      <c r="B286" s="242">
        <f t="shared" si="39"/>
        <v>0</v>
      </c>
      <c r="C286" s="164">
        <f>'LSR Prepaid BPA interest'!I284</f>
        <v>0</v>
      </c>
      <c r="D286" s="159">
        <f>'LSR Prepaid BPA interest'!H284</f>
        <v>-476931</v>
      </c>
      <c r="E286" s="236"/>
      <c r="F286" s="237">
        <f>-MIN(ABS(D286),ABS(G285))</f>
        <v>0</v>
      </c>
      <c r="G286" s="238">
        <f>G285+E286+F286</f>
        <v>0</v>
      </c>
      <c r="H286" s="236">
        <f>C286</f>
        <v>0</v>
      </c>
      <c r="I286" s="237">
        <f>-J285-H286</f>
        <v>0</v>
      </c>
      <c r="J286" s="238">
        <f>J285+H286+I286</f>
        <v>0</v>
      </c>
      <c r="K286" s="236"/>
      <c r="L286" s="237">
        <f>-M285</f>
        <v>-557213.3732418057</v>
      </c>
      <c r="M286" s="238">
        <f>M285+K286+L286</f>
        <v>0</v>
      </c>
      <c r="N286" s="236">
        <f>'LSR Prepaid BPA interest'!G284</f>
        <v>0</v>
      </c>
      <c r="O286" s="237">
        <f>-P285</f>
        <v>16613843.255995508</v>
      </c>
      <c r="P286" s="238">
        <f t="shared" si="59"/>
        <v>0</v>
      </c>
      <c r="Q286" s="240">
        <f t="shared" si="60"/>
        <v>-12264886.662905628</v>
      </c>
      <c r="R286" s="154"/>
    </row>
    <row r="287" spans="1:18" ht="12.75" customHeight="1">
      <c r="A287" s="168">
        <v>48121</v>
      </c>
      <c r="B287" s="242">
        <f t="shared" si="39"/>
        <v>0</v>
      </c>
      <c r="C287" s="164">
        <f>'LSR Prepaid BPA interest'!I285</f>
        <v>0</v>
      </c>
      <c r="D287" s="159">
        <f>'LSR Prepaid BPA interest'!H285</f>
        <v>0</v>
      </c>
      <c r="E287" s="236"/>
      <c r="F287" s="237">
        <f>-MIN(ABS(D287),ABS(G286))</f>
        <v>0</v>
      </c>
      <c r="G287" s="238">
        <f>G286+E287+F287</f>
        <v>0</v>
      </c>
      <c r="H287" s="236">
        <f>C287</f>
        <v>0</v>
      </c>
      <c r="I287" s="237">
        <f>-J286-H287</f>
        <v>0</v>
      </c>
      <c r="J287" s="238">
        <f>J286+H287+I287</f>
        <v>0</v>
      </c>
      <c r="K287" s="236"/>
      <c r="L287" s="237">
        <f>IF((F287+I287)&gt;D287,(D287-F287-I287)*$M$1,0)</f>
        <v>0</v>
      </c>
      <c r="M287" s="238">
        <f>M286+K287+L287</f>
        <v>0</v>
      </c>
      <c r="N287" s="236">
        <f>'LSR Prepaid BPA interest'!G285</f>
        <v>0</v>
      </c>
      <c r="O287" s="237">
        <f t="shared" si="58"/>
        <v>0</v>
      </c>
      <c r="P287" s="238">
        <f t="shared" si="59"/>
        <v>0</v>
      </c>
      <c r="Q287" s="240">
        <f t="shared" si="60"/>
        <v>-11512048.925263135</v>
      </c>
      <c r="R287" s="154"/>
    </row>
    <row r="288" spans="1:18" ht="12.75" customHeight="1">
      <c r="A288" s="288">
        <v>48152</v>
      </c>
      <c r="B288" s="242">
        <f t="shared" si="39"/>
        <v>0</v>
      </c>
      <c r="C288" s="164">
        <f>'LSR Prepaid BPA interest'!I286</f>
        <v>0</v>
      </c>
      <c r="D288" s="159">
        <f>'LSR Prepaid BPA interest'!H286</f>
        <v>0</v>
      </c>
      <c r="E288" s="236"/>
      <c r="F288" s="237">
        <f>-MIN(ABS(D288),ABS(G287))</f>
        <v>0</v>
      </c>
      <c r="G288" s="238">
        <f>G287+E288+F288</f>
        <v>0</v>
      </c>
      <c r="H288" s="236">
        <f>C288</f>
        <v>0</v>
      </c>
      <c r="I288" s="237">
        <f>-J287-H288</f>
        <v>0</v>
      </c>
      <c r="J288" s="238">
        <f>J287+H288+I288</f>
        <v>0</v>
      </c>
      <c r="K288" s="236"/>
      <c r="L288" s="237">
        <f>IF((F288+I288)&gt;D288,(D288-F288-I288)*$M$1,0)</f>
        <v>0</v>
      </c>
      <c r="M288" s="238">
        <f>M287+K288+L288</f>
        <v>0</v>
      </c>
      <c r="N288" s="236">
        <f>'LSR Prepaid BPA interest'!G286</f>
        <v>0</v>
      </c>
      <c r="O288" s="237">
        <f t="shared" si="58"/>
        <v>0</v>
      </c>
      <c r="P288" s="238">
        <f t="shared" si="59"/>
        <v>0</v>
      </c>
      <c r="Q288" s="240">
        <f t="shared" si="60"/>
        <v>-10699883.942293121</v>
      </c>
      <c r="R288" s="154"/>
    </row>
    <row r="289" spans="1:18" ht="12.75" customHeight="1">
      <c r="A289" s="168">
        <v>48182</v>
      </c>
      <c r="B289" s="242">
        <f t="shared" si="39"/>
        <v>0</v>
      </c>
      <c r="C289" s="164">
        <f>'LSR Prepaid BPA interest'!I287</f>
        <v>0</v>
      </c>
      <c r="D289" s="159">
        <f>'LSR Prepaid BPA interest'!H287</f>
        <v>0</v>
      </c>
      <c r="E289" s="236"/>
      <c r="F289" s="237">
        <f>-MIN(ABS(D289),ABS(G288))</f>
        <v>0</v>
      </c>
      <c r="G289" s="238">
        <f>G288+E289+F289</f>
        <v>0</v>
      </c>
      <c r="H289" s="236">
        <f>C289</f>
        <v>0</v>
      </c>
      <c r="I289" s="237">
        <f>-J288-H289</f>
        <v>0</v>
      </c>
      <c r="J289" s="238">
        <f>J288+H289+I289</f>
        <v>0</v>
      </c>
      <c r="K289" s="236"/>
      <c r="L289" s="237">
        <f>IF((F289+I289)&gt;D289,(D289-F289-I289)*$M$1,0)</f>
        <v>0</v>
      </c>
      <c r="M289" s="238">
        <f>M288+K289+L289</f>
        <v>0</v>
      </c>
      <c r="N289" s="236">
        <f>'LSR Prepaid BPA interest'!G287</f>
        <v>0</v>
      </c>
      <c r="O289" s="237">
        <f t="shared" si="58"/>
        <v>0</v>
      </c>
      <c r="P289" s="238">
        <f t="shared" si="59"/>
        <v>0</v>
      </c>
      <c r="Q289" s="240">
        <f t="shared" si="60"/>
        <v>-9828215.8686152119</v>
      </c>
      <c r="R289" s="154"/>
    </row>
    <row r="290" spans="1:18" ht="12.75" customHeight="1">
      <c r="A290" s="168">
        <v>48213</v>
      </c>
      <c r="B290" s="242">
        <f t="shared" si="39"/>
        <v>0</v>
      </c>
      <c r="C290" s="164"/>
      <c r="D290" s="159"/>
      <c r="E290" s="236"/>
      <c r="F290" s="237"/>
      <c r="G290" s="238"/>
      <c r="H290" s="236"/>
      <c r="I290" s="237"/>
      <c r="J290" s="238"/>
      <c r="K290" s="236"/>
      <c r="L290" s="237"/>
      <c r="M290" s="238"/>
      <c r="N290" s="236"/>
      <c r="O290" s="237">
        <f t="shared" si="58"/>
        <v>0</v>
      </c>
      <c r="P290" s="238">
        <f t="shared" si="59"/>
        <v>0</v>
      </c>
      <c r="Q290" s="240">
        <f t="shared" si="60"/>
        <v>-8896871.3838626556</v>
      </c>
      <c r="R290" s="154"/>
    </row>
    <row r="291" spans="1:18" ht="12.75" customHeight="1">
      <c r="A291" s="168">
        <v>48244</v>
      </c>
      <c r="B291" s="242">
        <f t="shared" si="39"/>
        <v>0</v>
      </c>
      <c r="C291" s="164"/>
      <c r="D291" s="159"/>
      <c r="E291" s="236"/>
      <c r="F291" s="237"/>
      <c r="G291" s="238"/>
      <c r="H291" s="236"/>
      <c r="I291" s="237"/>
      <c r="J291" s="238"/>
      <c r="K291" s="236"/>
      <c r="L291" s="237"/>
      <c r="M291" s="238"/>
      <c r="N291" s="236">
        <f>'LSR Prepaid BPA interest'!G289</f>
        <v>0</v>
      </c>
      <c r="O291" s="237">
        <f t="shared" si="58"/>
        <v>0</v>
      </c>
      <c r="P291" s="238">
        <f t="shared" si="59"/>
        <v>0</v>
      </c>
      <c r="Q291" s="240">
        <f t="shared" si="60"/>
        <v>-7905627.5760787232</v>
      </c>
      <c r="R291" s="154"/>
    </row>
    <row r="292" spans="1:18" ht="12.75" customHeight="1">
      <c r="A292" s="168">
        <v>48272</v>
      </c>
      <c r="B292" s="242">
        <f t="shared" si="39"/>
        <v>0</v>
      </c>
      <c r="C292" s="164"/>
      <c r="D292" s="159"/>
      <c r="E292" s="236"/>
      <c r="F292" s="237"/>
      <c r="G292" s="238"/>
      <c r="H292" s="236"/>
      <c r="I292" s="237"/>
      <c r="J292" s="238"/>
      <c r="K292" s="236"/>
      <c r="L292" s="237"/>
      <c r="M292" s="238"/>
      <c r="N292" s="236">
        <f>'LSR Prepaid BPA interest'!G290</f>
        <v>0</v>
      </c>
      <c r="O292" s="237">
        <f t="shared" si="58"/>
        <v>0</v>
      </c>
      <c r="P292" s="238">
        <f t="shared" si="59"/>
        <v>0</v>
      </c>
      <c r="Q292" s="240">
        <f t="shared" si="60"/>
        <v>-6854442.8758521946</v>
      </c>
      <c r="R292" s="154"/>
    </row>
    <row r="293" spans="1:18" ht="12.75" customHeight="1">
      <c r="A293" s="168">
        <v>48304</v>
      </c>
      <c r="B293" s="242">
        <f t="shared" si="39"/>
        <v>0</v>
      </c>
      <c r="C293" s="164"/>
      <c r="D293" s="159"/>
      <c r="E293" s="236"/>
      <c r="F293" s="237"/>
      <c r="G293" s="238"/>
      <c r="H293" s="236"/>
      <c r="I293" s="237"/>
      <c r="J293" s="238"/>
      <c r="K293" s="236"/>
      <c r="L293" s="237"/>
      <c r="M293" s="238"/>
      <c r="N293" s="236">
        <f>'LSR Prepaid BPA interest'!G291</f>
        <v>0</v>
      </c>
      <c r="O293" s="237">
        <f t="shared" si="58"/>
        <v>0</v>
      </c>
      <c r="P293" s="238">
        <f t="shared" si="59"/>
        <v>0</v>
      </c>
      <c r="Q293" s="240">
        <f t="shared" si="60"/>
        <v>-5743143.9628163241</v>
      </c>
      <c r="R293" s="154"/>
    </row>
    <row r="294" spans="1:18" ht="12.75" customHeight="1">
      <c r="A294" s="168">
        <v>48334</v>
      </c>
      <c r="B294" s="242">
        <f t="shared" si="39"/>
        <v>0</v>
      </c>
      <c r="C294" s="164"/>
      <c r="D294" s="159"/>
      <c r="E294" s="236"/>
      <c r="F294" s="237"/>
      <c r="G294" s="238"/>
      <c r="H294" s="236"/>
      <c r="I294" s="237"/>
      <c r="J294" s="238"/>
      <c r="K294" s="236"/>
      <c r="L294" s="237"/>
      <c r="M294" s="238"/>
      <c r="N294" s="236">
        <f>'LSR Prepaid BPA interest'!G292</f>
        <v>0</v>
      </c>
      <c r="O294" s="237">
        <f t="shared" si="58"/>
        <v>0</v>
      </c>
      <c r="P294" s="238">
        <f t="shared" si="59"/>
        <v>0</v>
      </c>
      <c r="Q294" s="240">
        <f t="shared" si="60"/>
        <v>-4571455.5331637524</v>
      </c>
      <c r="R294" s="154"/>
    </row>
    <row r="295" spans="1:18" ht="12.75" customHeight="1">
      <c r="A295" s="168">
        <v>48365</v>
      </c>
      <c r="B295" s="242">
        <f t="shared" si="39"/>
        <v>0</v>
      </c>
      <c r="C295" s="164"/>
      <c r="D295" s="159"/>
      <c r="E295" s="236"/>
      <c r="F295" s="237"/>
      <c r="G295" s="238"/>
      <c r="H295" s="236"/>
      <c r="I295" s="237"/>
      <c r="J295" s="238"/>
      <c r="K295" s="236"/>
      <c r="L295" s="237"/>
      <c r="M295" s="238"/>
      <c r="N295" s="236">
        <f>'LSR Prepaid BPA interest'!G293</f>
        <v>0</v>
      </c>
      <c r="O295" s="237">
        <f t="shared" si="58"/>
        <v>0</v>
      </c>
      <c r="P295" s="238">
        <f t="shared" si="59"/>
        <v>0</v>
      </c>
      <c r="Q295" s="240">
        <f t="shared" si="60"/>
        <v>-3339191.3130724244</v>
      </c>
      <c r="R295" s="154"/>
    </row>
    <row r="296" spans="1:18" ht="12.75" customHeight="1">
      <c r="A296" s="168">
        <v>48395</v>
      </c>
      <c r="B296" s="242">
        <f t="shared" si="39"/>
        <v>0</v>
      </c>
      <c r="C296" s="164"/>
      <c r="D296" s="159"/>
      <c r="E296" s="236"/>
      <c r="F296" s="237"/>
      <c r="G296" s="238"/>
      <c r="H296" s="236"/>
      <c r="I296" s="237"/>
      <c r="J296" s="238"/>
      <c r="K296" s="236"/>
      <c r="L296" s="237"/>
      <c r="M296" s="238"/>
      <c r="N296" s="236"/>
      <c r="O296" s="237"/>
      <c r="P296" s="238"/>
      <c r="Q296" s="240">
        <f t="shared" si="60"/>
        <v>-2046183.5731551638</v>
      </c>
      <c r="R296" s="154"/>
    </row>
    <row r="297" spans="1:18" ht="12.75" customHeight="1">
      <c r="A297" s="168">
        <v>48426</v>
      </c>
      <c r="B297" s="242">
        <f t="shared" si="39"/>
        <v>0</v>
      </c>
      <c r="C297" s="164"/>
      <c r="D297" s="159"/>
      <c r="E297" s="236"/>
      <c r="F297" s="237"/>
      <c r="G297" s="238"/>
      <c r="H297" s="236"/>
      <c r="I297" s="237"/>
      <c r="J297" s="238"/>
      <c r="K297" s="236"/>
      <c r="L297" s="237"/>
      <c r="M297" s="238"/>
      <c r="N297" s="236"/>
      <c r="O297" s="237"/>
      <c r="P297" s="238"/>
      <c r="Q297" s="240">
        <f t="shared" si="60"/>
        <v>-692243.46899981285</v>
      </c>
      <c r="R297" s="154"/>
    </row>
    <row r="298" spans="1:18" ht="12.75" customHeight="1">
      <c r="A298" s="289">
        <v>48457</v>
      </c>
      <c r="B298" s="244">
        <f t="shared" si="39"/>
        <v>0</v>
      </c>
      <c r="C298" s="290"/>
      <c r="D298" s="167"/>
      <c r="E298" s="247"/>
      <c r="F298" s="245"/>
      <c r="G298" s="246"/>
      <c r="H298" s="247"/>
      <c r="I298" s="245"/>
      <c r="J298" s="246"/>
      <c r="K298" s="247"/>
      <c r="L298" s="245"/>
      <c r="M298" s="246"/>
      <c r="N298" s="247"/>
      <c r="O298" s="245"/>
      <c r="P298" s="246"/>
      <c r="Q298" s="248">
        <f t="shared" si="60"/>
        <v>0</v>
      </c>
      <c r="R298" s="154"/>
    </row>
    <row r="299" spans="1:18" ht="12.75" customHeight="1">
      <c r="C299" s="249">
        <f>SUM(C8:C298)</f>
        <v>38939395.161770344</v>
      </c>
      <c r="D299" s="249">
        <f>SUM(D8:D298)</f>
        <v>-132740949.07053868</v>
      </c>
      <c r="E299" s="249">
        <f>SUM(E8:E298)</f>
        <v>1171319.3303789822</v>
      </c>
      <c r="F299" s="249">
        <f>SUM(F8:F298)</f>
        <v>-1171319.3303789822</v>
      </c>
      <c r="G299" s="243"/>
      <c r="H299" s="249">
        <f>SUM(H8:H298)</f>
        <v>33105185.660094779</v>
      </c>
      <c r="I299" s="249">
        <f>SUM(I8:I298)</f>
        <v>-33105185.660094779</v>
      </c>
      <c r="J299" s="243"/>
      <c r="K299" s="249">
        <f>SUM(K8:K298)</f>
        <v>4662890.171296522</v>
      </c>
      <c r="L299" s="249">
        <f>SUM(L8:L298)</f>
        <v>-4662890.1712965267</v>
      </c>
      <c r="M299" s="243"/>
      <c r="N299" s="249">
        <f>SUM(N8:N298)</f>
        <v>77273856.370000005</v>
      </c>
      <c r="O299" s="249">
        <f>SUM(O8:O298)</f>
        <v>-77273856.37000002</v>
      </c>
      <c r="P299" s="243"/>
      <c r="Q299" s="243"/>
      <c r="R299" s="243"/>
    </row>
    <row r="300" spans="1:18">
      <c r="C300" s="243"/>
      <c r="D300" s="243"/>
      <c r="E300" s="243"/>
      <c r="F300" s="243"/>
      <c r="G300" s="243"/>
      <c r="H300" s="243"/>
      <c r="I300" s="243"/>
      <c r="J300" s="243"/>
      <c r="K300" s="243"/>
      <c r="L300" s="243"/>
      <c r="M300" s="243"/>
      <c r="N300" s="243"/>
      <c r="O300" s="243"/>
      <c r="P300" s="243"/>
      <c r="Q300" s="243"/>
      <c r="R300" s="243"/>
    </row>
    <row r="301" spans="1:18">
      <c r="C301" s="243"/>
      <c r="D301" s="243"/>
      <c r="E301" s="243"/>
      <c r="F301" s="243"/>
      <c r="G301" s="243"/>
      <c r="H301" s="243"/>
      <c r="I301" s="243"/>
      <c r="J301" s="243"/>
      <c r="K301" s="243"/>
      <c r="L301" s="243"/>
      <c r="M301" s="243"/>
      <c r="N301" s="243"/>
      <c r="O301" s="243"/>
      <c r="P301" s="243"/>
      <c r="Q301" s="243"/>
      <c r="R301" s="243"/>
    </row>
    <row r="302" spans="1:18">
      <c r="C302" s="243"/>
      <c r="D302" s="243"/>
      <c r="E302" s="243"/>
      <c r="F302" s="243"/>
      <c r="G302" s="243"/>
      <c r="H302" s="243"/>
      <c r="I302" s="243"/>
      <c r="J302" s="243"/>
      <c r="K302" s="243"/>
      <c r="L302" s="243"/>
      <c r="M302" s="243"/>
      <c r="N302" s="243"/>
      <c r="O302" s="243"/>
      <c r="P302" s="243"/>
      <c r="Q302" s="243"/>
      <c r="R302" s="243"/>
    </row>
    <row r="303" spans="1:18">
      <c r="C303" s="243"/>
      <c r="D303" s="243"/>
      <c r="E303" s="243"/>
      <c r="F303" s="243"/>
      <c r="G303" s="243"/>
      <c r="H303" s="243"/>
      <c r="I303" s="243"/>
      <c r="J303" s="243"/>
      <c r="K303" s="243"/>
      <c r="L303" s="243"/>
      <c r="M303" s="243"/>
      <c r="N303" s="243"/>
      <c r="O303" s="243"/>
      <c r="P303" s="243"/>
      <c r="Q303" s="243"/>
      <c r="R303" s="243"/>
    </row>
    <row r="304" spans="1:18">
      <c r="C304" s="243"/>
      <c r="D304" s="243"/>
      <c r="E304" s="243"/>
      <c r="F304" s="243"/>
      <c r="G304" s="243"/>
      <c r="H304" s="243"/>
      <c r="I304" s="243"/>
      <c r="J304" s="243"/>
      <c r="K304" s="243"/>
      <c r="L304" s="243"/>
      <c r="M304" s="243"/>
      <c r="N304" s="243"/>
      <c r="O304" s="243"/>
      <c r="P304" s="243"/>
      <c r="Q304" s="243"/>
      <c r="R304" s="243"/>
    </row>
    <row r="305" spans="3:18">
      <c r="C305" s="243"/>
      <c r="D305" s="243"/>
      <c r="E305" s="243"/>
      <c r="F305" s="243"/>
      <c r="G305" s="243"/>
      <c r="H305" s="243"/>
      <c r="I305" s="243"/>
      <c r="J305" s="243"/>
      <c r="K305" s="243"/>
      <c r="L305" s="243"/>
      <c r="M305" s="243"/>
      <c r="N305" s="243"/>
      <c r="O305" s="243"/>
      <c r="P305" s="243"/>
      <c r="Q305" s="243"/>
      <c r="R305" s="243"/>
    </row>
    <row r="306" spans="3:18">
      <c r="C306" s="243"/>
      <c r="D306" s="243"/>
      <c r="E306" s="243"/>
      <c r="F306" s="243"/>
      <c r="G306" s="243"/>
      <c r="H306" s="243"/>
      <c r="I306" s="243"/>
      <c r="J306" s="243"/>
      <c r="K306" s="243"/>
      <c r="L306" s="243"/>
      <c r="M306" s="243"/>
      <c r="N306" s="243"/>
      <c r="O306" s="243"/>
      <c r="P306" s="243"/>
      <c r="Q306" s="243"/>
      <c r="R306" s="243"/>
    </row>
    <row r="307" spans="3:18">
      <c r="C307" s="243"/>
      <c r="D307" s="243"/>
      <c r="E307" s="243"/>
      <c r="F307" s="243"/>
      <c r="G307" s="243"/>
      <c r="H307" s="243"/>
      <c r="I307" s="243"/>
      <c r="J307" s="243"/>
      <c r="K307" s="243"/>
      <c r="L307" s="243"/>
      <c r="M307" s="243"/>
      <c r="N307" s="243"/>
      <c r="O307" s="243"/>
      <c r="P307" s="243"/>
      <c r="Q307" s="243"/>
      <c r="R307" s="243"/>
    </row>
    <row r="308" spans="3:18">
      <c r="C308" s="243"/>
      <c r="D308" s="243"/>
      <c r="E308" s="243"/>
      <c r="F308" s="243"/>
      <c r="G308" s="243"/>
      <c r="H308" s="243"/>
      <c r="I308" s="243"/>
      <c r="J308" s="243"/>
      <c r="K308" s="243"/>
      <c r="L308" s="243"/>
      <c r="M308" s="243"/>
      <c r="N308" s="243"/>
      <c r="O308" s="243"/>
      <c r="P308" s="243"/>
      <c r="Q308" s="243"/>
      <c r="R308" s="243"/>
    </row>
    <row r="309" spans="3:18">
      <c r="C309" s="243"/>
      <c r="D309" s="243"/>
      <c r="E309" s="243"/>
      <c r="F309" s="243"/>
      <c r="G309" s="243"/>
      <c r="H309" s="243"/>
      <c r="I309" s="243"/>
      <c r="J309" s="243"/>
      <c r="K309" s="243"/>
      <c r="L309" s="243"/>
      <c r="M309" s="243"/>
      <c r="N309" s="243"/>
      <c r="O309" s="243"/>
      <c r="P309" s="243"/>
      <c r="Q309" s="243"/>
      <c r="R309" s="243"/>
    </row>
    <row r="310" spans="3:18">
      <c r="C310" s="243"/>
      <c r="D310" s="243"/>
      <c r="E310" s="243"/>
      <c r="F310" s="243"/>
      <c r="G310" s="243"/>
      <c r="H310" s="243"/>
      <c r="I310" s="243"/>
      <c r="J310" s="243"/>
      <c r="K310" s="243"/>
      <c r="L310" s="243"/>
      <c r="M310" s="243"/>
      <c r="N310" s="243"/>
      <c r="O310" s="243"/>
      <c r="P310" s="243"/>
      <c r="Q310" s="243"/>
      <c r="R310" s="243"/>
    </row>
    <row r="311" spans="3:18">
      <c r="C311" s="243"/>
      <c r="D311" s="243"/>
      <c r="E311" s="243"/>
      <c r="F311" s="243"/>
      <c r="G311" s="243"/>
      <c r="H311" s="243"/>
      <c r="I311" s="243"/>
      <c r="J311" s="243"/>
      <c r="K311" s="243"/>
      <c r="L311" s="243"/>
      <c r="M311" s="243"/>
      <c r="N311" s="243"/>
      <c r="O311" s="243"/>
      <c r="P311" s="243"/>
      <c r="Q311" s="243"/>
      <c r="R311" s="243"/>
    </row>
    <row r="312" spans="3:18">
      <c r="C312" s="243"/>
      <c r="D312" s="243"/>
      <c r="E312" s="243"/>
      <c r="F312" s="243"/>
      <c r="G312" s="243"/>
      <c r="H312" s="243"/>
      <c r="I312" s="243"/>
      <c r="J312" s="243"/>
      <c r="K312" s="243"/>
      <c r="L312" s="243"/>
      <c r="M312" s="243"/>
      <c r="N312" s="243"/>
      <c r="O312" s="243"/>
      <c r="P312" s="243"/>
      <c r="Q312" s="243"/>
      <c r="R312" s="243"/>
    </row>
    <row r="313" spans="3:18">
      <c r="C313" s="243"/>
      <c r="D313" s="243"/>
      <c r="E313" s="243"/>
      <c r="F313" s="243"/>
      <c r="G313" s="243"/>
      <c r="H313" s="243"/>
      <c r="I313" s="243"/>
      <c r="J313" s="243"/>
      <c r="K313" s="243"/>
      <c r="L313" s="243"/>
      <c r="M313" s="243"/>
      <c r="N313" s="243"/>
      <c r="O313" s="243"/>
      <c r="P313" s="243"/>
      <c r="Q313" s="243"/>
      <c r="R313" s="243"/>
    </row>
    <row r="314" spans="3:18">
      <c r="C314" s="243"/>
      <c r="D314" s="243"/>
      <c r="E314" s="243"/>
      <c r="F314" s="243"/>
      <c r="G314" s="243"/>
      <c r="H314" s="243"/>
      <c r="I314" s="243"/>
      <c r="J314" s="243"/>
      <c r="K314" s="243"/>
      <c r="L314" s="243"/>
      <c r="M314" s="243"/>
      <c r="N314" s="243"/>
      <c r="O314" s="243"/>
      <c r="P314" s="243"/>
      <c r="Q314" s="243"/>
      <c r="R314" s="243"/>
    </row>
    <row r="315" spans="3:18">
      <c r="C315" s="243"/>
      <c r="D315" s="243"/>
      <c r="E315" s="243"/>
      <c r="F315" s="243"/>
      <c r="G315" s="243"/>
      <c r="H315" s="243"/>
      <c r="I315" s="243"/>
      <c r="J315" s="243"/>
      <c r="K315" s="243"/>
      <c r="L315" s="243"/>
      <c r="M315" s="243"/>
      <c r="N315" s="243"/>
      <c r="O315" s="243"/>
      <c r="P315" s="243"/>
      <c r="Q315" s="243"/>
      <c r="R315" s="243"/>
    </row>
    <row r="316" spans="3:18">
      <c r="C316" s="243"/>
      <c r="D316" s="243"/>
      <c r="E316" s="243"/>
      <c r="F316" s="243"/>
      <c r="G316" s="243"/>
      <c r="H316" s="243"/>
      <c r="I316" s="243"/>
      <c r="J316" s="243"/>
      <c r="K316" s="243"/>
      <c r="L316" s="243"/>
      <c r="M316" s="243"/>
      <c r="N316" s="243"/>
      <c r="O316" s="243"/>
      <c r="P316" s="243"/>
      <c r="Q316" s="243"/>
      <c r="R316" s="243"/>
    </row>
    <row r="317" spans="3:18">
      <c r="C317" s="243"/>
      <c r="D317" s="243"/>
      <c r="E317" s="243"/>
      <c r="F317" s="243"/>
      <c r="G317" s="243"/>
      <c r="H317" s="243"/>
      <c r="I317" s="243"/>
      <c r="J317" s="243"/>
      <c r="K317" s="243"/>
      <c r="L317" s="243"/>
      <c r="M317" s="243"/>
      <c r="N317" s="243"/>
      <c r="O317" s="243"/>
      <c r="P317" s="243"/>
      <c r="Q317" s="243"/>
      <c r="R317" s="243"/>
    </row>
    <row r="318" spans="3:18">
      <c r="C318" s="243"/>
      <c r="D318" s="243"/>
      <c r="E318" s="243"/>
      <c r="F318" s="243"/>
      <c r="G318" s="243"/>
      <c r="H318" s="243"/>
      <c r="I318" s="243"/>
      <c r="J318" s="243"/>
      <c r="K318" s="243"/>
      <c r="L318" s="243"/>
      <c r="M318" s="243"/>
      <c r="N318" s="243"/>
      <c r="O318" s="243"/>
      <c r="P318" s="243"/>
      <c r="Q318" s="243"/>
      <c r="R318" s="243"/>
    </row>
    <row r="319" spans="3:18">
      <c r="C319" s="243"/>
      <c r="D319" s="243"/>
      <c r="E319" s="243"/>
      <c r="F319" s="243"/>
      <c r="G319" s="243"/>
      <c r="H319" s="243"/>
      <c r="I319" s="243"/>
      <c r="J319" s="243"/>
      <c r="K319" s="243"/>
      <c r="L319" s="243"/>
      <c r="M319" s="243"/>
      <c r="N319" s="243"/>
      <c r="O319" s="243"/>
      <c r="P319" s="243"/>
      <c r="Q319" s="243"/>
      <c r="R319" s="243"/>
    </row>
    <row r="320" spans="3:18">
      <c r="C320" s="243"/>
      <c r="D320" s="243"/>
      <c r="E320" s="243"/>
      <c r="F320" s="243"/>
      <c r="G320" s="243"/>
      <c r="H320" s="243"/>
      <c r="I320" s="243"/>
      <c r="J320" s="243"/>
      <c r="K320" s="243"/>
      <c r="L320" s="243"/>
      <c r="M320" s="243"/>
      <c r="N320" s="243"/>
      <c r="O320" s="243"/>
      <c r="P320" s="243"/>
      <c r="Q320" s="243"/>
      <c r="R320" s="243"/>
    </row>
    <row r="321" spans="3:18">
      <c r="C321" s="243"/>
      <c r="D321" s="243"/>
      <c r="E321" s="243"/>
      <c r="F321" s="243"/>
      <c r="G321" s="243"/>
      <c r="H321" s="243"/>
      <c r="I321" s="243"/>
      <c r="J321" s="243"/>
      <c r="K321" s="243"/>
      <c r="L321" s="243"/>
      <c r="M321" s="243"/>
      <c r="N321" s="243"/>
      <c r="O321" s="243"/>
      <c r="P321" s="243"/>
      <c r="Q321" s="243"/>
      <c r="R321" s="243"/>
    </row>
    <row r="322" spans="3:18">
      <c r="C322" s="243"/>
      <c r="D322" s="243"/>
      <c r="E322" s="243"/>
      <c r="F322" s="243"/>
      <c r="G322" s="243"/>
      <c r="H322" s="243"/>
      <c r="I322" s="243"/>
      <c r="J322" s="243"/>
      <c r="K322" s="243"/>
      <c r="L322" s="243"/>
      <c r="M322" s="243"/>
      <c r="N322" s="243"/>
      <c r="O322" s="243"/>
      <c r="P322" s="243"/>
      <c r="Q322" s="243"/>
      <c r="R322" s="243"/>
    </row>
    <row r="323" spans="3:18">
      <c r="C323" s="243"/>
      <c r="D323" s="243"/>
      <c r="E323" s="243"/>
      <c r="F323" s="243"/>
      <c r="G323" s="243"/>
      <c r="H323" s="243"/>
      <c r="I323" s="243"/>
      <c r="J323" s="243"/>
      <c r="K323" s="243"/>
      <c r="L323" s="243"/>
      <c r="M323" s="243"/>
      <c r="N323" s="243"/>
      <c r="O323" s="243"/>
      <c r="P323" s="243"/>
      <c r="Q323" s="243"/>
      <c r="R323" s="243"/>
    </row>
    <row r="324" spans="3:18">
      <c r="C324" s="243"/>
      <c r="D324" s="243"/>
      <c r="E324" s="243"/>
      <c r="F324" s="243"/>
      <c r="G324" s="243"/>
      <c r="H324" s="243"/>
      <c r="I324" s="243"/>
      <c r="J324" s="243"/>
      <c r="K324" s="243"/>
      <c r="L324" s="243"/>
      <c r="M324" s="243"/>
      <c r="N324" s="243"/>
      <c r="O324" s="243"/>
      <c r="P324" s="243"/>
      <c r="Q324" s="243"/>
      <c r="R324" s="243"/>
    </row>
    <row r="325" spans="3:18">
      <c r="C325" s="243"/>
      <c r="D325" s="243"/>
      <c r="E325" s="243"/>
      <c r="F325" s="243"/>
      <c r="G325" s="243"/>
      <c r="H325" s="243"/>
      <c r="I325" s="243"/>
      <c r="J325" s="243"/>
      <c r="K325" s="243"/>
      <c r="L325" s="243"/>
      <c r="M325" s="243"/>
      <c r="N325" s="243"/>
      <c r="O325" s="243"/>
      <c r="P325" s="243"/>
      <c r="Q325" s="243"/>
      <c r="R325" s="243"/>
    </row>
    <row r="326" spans="3:18">
      <c r="C326" s="243"/>
      <c r="D326" s="243"/>
      <c r="E326" s="243"/>
      <c r="F326" s="243"/>
      <c r="G326" s="243"/>
      <c r="H326" s="243"/>
      <c r="I326" s="243"/>
      <c r="J326" s="243"/>
      <c r="K326" s="243"/>
      <c r="L326" s="243"/>
      <c r="M326" s="243"/>
      <c r="N326" s="243"/>
      <c r="O326" s="243"/>
      <c r="P326" s="243"/>
      <c r="Q326" s="243"/>
      <c r="R326" s="243"/>
    </row>
    <row r="327" spans="3:18">
      <c r="C327" s="243"/>
      <c r="D327" s="243"/>
      <c r="E327" s="243"/>
      <c r="F327" s="243"/>
      <c r="G327" s="243"/>
      <c r="H327" s="243"/>
      <c r="I327" s="243"/>
      <c r="J327" s="243"/>
      <c r="K327" s="243"/>
      <c r="L327" s="243"/>
      <c r="M327" s="243"/>
      <c r="N327" s="243"/>
      <c r="O327" s="243"/>
      <c r="P327" s="243"/>
      <c r="Q327" s="243"/>
      <c r="R327" s="243"/>
    </row>
    <row r="328" spans="3:18">
      <c r="C328" s="243"/>
      <c r="D328" s="243"/>
      <c r="E328" s="243"/>
      <c r="F328" s="243"/>
      <c r="G328" s="243"/>
      <c r="H328" s="243"/>
      <c r="I328" s="243"/>
      <c r="J328" s="243"/>
      <c r="K328" s="243"/>
      <c r="L328" s="243"/>
      <c r="M328" s="243"/>
      <c r="N328" s="243"/>
      <c r="O328" s="243"/>
      <c r="P328" s="243"/>
      <c r="Q328" s="243"/>
      <c r="R328" s="243"/>
    </row>
    <row r="329" spans="3:18">
      <c r="C329" s="243"/>
      <c r="D329" s="243"/>
      <c r="E329" s="243"/>
      <c r="F329" s="243"/>
      <c r="G329" s="243"/>
      <c r="H329" s="243"/>
      <c r="I329" s="243"/>
      <c r="J329" s="243"/>
      <c r="K329" s="243"/>
      <c r="L329" s="243"/>
      <c r="M329" s="243"/>
      <c r="N329" s="243"/>
      <c r="O329" s="243"/>
      <c r="P329" s="243"/>
      <c r="Q329" s="243"/>
      <c r="R329" s="243"/>
    </row>
    <row r="330" spans="3:18">
      <c r="C330" s="243"/>
      <c r="D330" s="243"/>
      <c r="E330" s="243"/>
      <c r="F330" s="243"/>
      <c r="G330" s="243"/>
      <c r="H330" s="243"/>
      <c r="I330" s="243"/>
      <c r="J330" s="243"/>
      <c r="K330" s="243"/>
      <c r="L330" s="243"/>
      <c r="M330" s="243"/>
      <c r="N330" s="243"/>
      <c r="O330" s="243"/>
      <c r="P330" s="243"/>
      <c r="Q330" s="243"/>
      <c r="R330" s="243"/>
    </row>
    <row r="331" spans="3:18">
      <c r="C331" s="243"/>
      <c r="D331" s="243"/>
      <c r="E331" s="243"/>
      <c r="F331" s="243"/>
      <c r="G331" s="243"/>
      <c r="H331" s="243"/>
      <c r="I331" s="243"/>
      <c r="J331" s="243"/>
      <c r="K331" s="243"/>
      <c r="L331" s="243"/>
      <c r="M331" s="243"/>
      <c r="N331" s="243"/>
      <c r="O331" s="243"/>
      <c r="P331" s="243"/>
      <c r="Q331" s="243"/>
      <c r="R331" s="243"/>
    </row>
    <row r="332" spans="3:18">
      <c r="C332" s="243"/>
      <c r="D332" s="243"/>
      <c r="E332" s="243"/>
      <c r="F332" s="243"/>
      <c r="G332" s="243"/>
      <c r="H332" s="243"/>
      <c r="I332" s="243"/>
      <c r="J332" s="243"/>
      <c r="K332" s="243"/>
      <c r="L332" s="243"/>
      <c r="M332" s="243"/>
      <c r="N332" s="243"/>
      <c r="O332" s="243"/>
      <c r="P332" s="243"/>
      <c r="Q332" s="243"/>
      <c r="R332" s="243"/>
    </row>
    <row r="333" spans="3:18">
      <c r="C333" s="243"/>
      <c r="D333" s="243"/>
      <c r="E333" s="243"/>
      <c r="F333" s="243"/>
      <c r="G333" s="243"/>
      <c r="H333" s="243"/>
      <c r="I333" s="243"/>
      <c r="J333" s="243"/>
      <c r="K333" s="243"/>
      <c r="L333" s="243"/>
      <c r="M333" s="243"/>
      <c r="N333" s="243"/>
      <c r="O333" s="243"/>
      <c r="P333" s="243"/>
      <c r="Q333" s="243"/>
      <c r="R333" s="243"/>
    </row>
    <row r="334" spans="3:18">
      <c r="C334" s="243"/>
      <c r="D334" s="243"/>
      <c r="E334" s="243"/>
      <c r="F334" s="243"/>
      <c r="G334" s="243"/>
      <c r="H334" s="243"/>
      <c r="I334" s="243"/>
      <c r="J334" s="243"/>
      <c r="K334" s="243"/>
      <c r="L334" s="243"/>
      <c r="M334" s="243"/>
      <c r="N334" s="243"/>
      <c r="O334" s="243"/>
      <c r="P334" s="243"/>
      <c r="Q334" s="243"/>
      <c r="R334" s="243"/>
    </row>
    <row r="335" spans="3:18">
      <c r="C335" s="243"/>
      <c r="D335" s="243"/>
      <c r="E335" s="243"/>
      <c r="F335" s="243"/>
      <c r="G335" s="243"/>
      <c r="H335" s="243"/>
      <c r="I335" s="243"/>
      <c r="J335" s="243"/>
      <c r="K335" s="243"/>
      <c r="L335" s="243"/>
      <c r="M335" s="243"/>
      <c r="N335" s="243"/>
      <c r="O335" s="243"/>
      <c r="P335" s="243"/>
      <c r="Q335" s="243"/>
      <c r="R335" s="243"/>
    </row>
    <row r="336" spans="3:18">
      <c r="C336" s="243"/>
      <c r="D336" s="243"/>
      <c r="E336" s="243"/>
      <c r="F336" s="243"/>
      <c r="G336" s="243"/>
      <c r="H336" s="243"/>
      <c r="I336" s="243"/>
      <c r="J336" s="243"/>
      <c r="K336" s="243"/>
      <c r="L336" s="243"/>
      <c r="M336" s="243"/>
      <c r="N336" s="243"/>
      <c r="O336" s="243"/>
      <c r="P336" s="243"/>
      <c r="Q336" s="243"/>
      <c r="R336" s="243"/>
    </row>
    <row r="337" spans="3:18">
      <c r="C337" s="243"/>
      <c r="D337" s="243"/>
      <c r="E337" s="243"/>
      <c r="F337" s="243"/>
      <c r="G337" s="243"/>
      <c r="H337" s="243"/>
      <c r="I337" s="243"/>
      <c r="J337" s="243"/>
      <c r="K337" s="243"/>
      <c r="L337" s="243"/>
      <c r="M337" s="243"/>
      <c r="N337" s="243"/>
      <c r="O337" s="243"/>
      <c r="P337" s="243"/>
      <c r="Q337" s="243"/>
      <c r="R337" s="243"/>
    </row>
    <row r="338" spans="3:18">
      <c r="C338" s="243"/>
      <c r="D338" s="243"/>
      <c r="E338" s="243"/>
      <c r="F338" s="243"/>
      <c r="G338" s="243"/>
      <c r="H338" s="243"/>
      <c r="I338" s="243"/>
      <c r="J338" s="243"/>
      <c r="K338" s="243"/>
      <c r="L338" s="243"/>
      <c r="M338" s="243"/>
      <c r="N338" s="243"/>
      <c r="O338" s="243"/>
      <c r="P338" s="243"/>
      <c r="Q338" s="243"/>
      <c r="R338" s="243"/>
    </row>
    <row r="339" spans="3:18">
      <c r="C339" s="243"/>
      <c r="D339" s="243"/>
      <c r="E339" s="243"/>
      <c r="F339" s="243"/>
      <c r="G339" s="243"/>
      <c r="H339" s="243"/>
      <c r="I339" s="243"/>
      <c r="J339" s="243"/>
      <c r="K339" s="243"/>
      <c r="L339" s="243"/>
      <c r="M339" s="243"/>
      <c r="N339" s="243"/>
      <c r="O339" s="243"/>
      <c r="P339" s="243"/>
      <c r="Q339" s="243"/>
      <c r="R339" s="243"/>
    </row>
    <row r="340" spans="3:18">
      <c r="C340" s="243"/>
      <c r="D340" s="243"/>
      <c r="E340" s="243"/>
      <c r="F340" s="243"/>
      <c r="G340" s="243"/>
      <c r="H340" s="243"/>
      <c r="I340" s="243"/>
      <c r="J340" s="243"/>
      <c r="K340" s="243"/>
      <c r="L340" s="243"/>
      <c r="M340" s="243"/>
      <c r="N340" s="243"/>
      <c r="O340" s="243"/>
      <c r="P340" s="243"/>
      <c r="Q340" s="243"/>
      <c r="R340" s="243"/>
    </row>
    <row r="341" spans="3:18">
      <c r="C341" s="243"/>
      <c r="D341" s="243"/>
      <c r="E341" s="243"/>
      <c r="F341" s="243"/>
      <c r="G341" s="243"/>
      <c r="H341" s="243"/>
      <c r="I341" s="243"/>
      <c r="J341" s="243"/>
      <c r="K341" s="243"/>
      <c r="L341" s="243"/>
      <c r="M341" s="243"/>
      <c r="N341" s="243"/>
      <c r="O341" s="243"/>
      <c r="P341" s="243"/>
      <c r="Q341" s="243"/>
      <c r="R341" s="243"/>
    </row>
    <row r="342" spans="3:18">
      <c r="C342" s="243"/>
      <c r="D342" s="243"/>
      <c r="E342" s="243"/>
      <c r="F342" s="243"/>
      <c r="G342" s="243"/>
      <c r="H342" s="243"/>
      <c r="I342" s="243"/>
      <c r="J342" s="243"/>
      <c r="K342" s="243"/>
      <c r="L342" s="243"/>
      <c r="M342" s="243"/>
      <c r="N342" s="243"/>
      <c r="O342" s="243"/>
      <c r="P342" s="243"/>
      <c r="Q342" s="243"/>
      <c r="R342" s="243"/>
    </row>
    <row r="343" spans="3:18">
      <c r="C343" s="243"/>
      <c r="D343" s="243"/>
      <c r="E343" s="243"/>
      <c r="F343" s="243"/>
      <c r="G343" s="243"/>
      <c r="H343" s="243"/>
      <c r="I343" s="243"/>
      <c r="J343" s="243"/>
      <c r="K343" s="243"/>
      <c r="L343" s="243"/>
      <c r="M343" s="243"/>
      <c r="N343" s="243"/>
      <c r="O343" s="243"/>
      <c r="P343" s="243"/>
      <c r="Q343" s="243"/>
      <c r="R343" s="243"/>
    </row>
  </sheetData>
  <mergeCells count="2">
    <mergeCell ref="E3:G3"/>
    <mergeCell ref="K3:M3"/>
  </mergeCells>
  <printOptions horizontalCentered="1"/>
  <pageMargins left="0.2" right="0.2" top="0.5" bottom="0.5" header="0.3" footer="0"/>
  <pageSetup scale="72" fitToHeight="0" orientation="landscape" r:id="rId1"/>
  <headerFooter>
    <oddFooter>&amp;RPage &amp;P of &amp;N</oddFooter>
  </headerFooter>
  <rowBreaks count="1" manualBreakCount="1">
    <brk id="13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P308"/>
  <sheetViews>
    <sheetView zoomScale="85" zoomScaleNormal="85" workbookViewId="0">
      <pane ySplit="12" topLeftCell="A222" activePane="bottomLeft" state="frozen"/>
      <selection activeCell="J290" sqref="J290"/>
      <selection pane="bottomLeft" activeCell="A245" sqref="A245"/>
    </sheetView>
  </sheetViews>
  <sheetFormatPr defaultColWidth="9.33203125" defaultRowHeight="15"/>
  <cols>
    <col min="1" max="1" width="12.83203125" style="153" bestFit="1" customWidth="1"/>
    <col min="2" max="2" width="11.83203125" style="153" bestFit="1" customWidth="1"/>
    <col min="3" max="3" width="12.83203125" style="153" bestFit="1" customWidth="1"/>
    <col min="4" max="5" width="11.1640625" style="153" bestFit="1" customWidth="1"/>
    <col min="6" max="7" width="11.1640625" style="153" customWidth="1"/>
    <col min="8" max="11" width="10.83203125" style="153" customWidth="1"/>
    <col min="12" max="12" width="17.5" style="153" bestFit="1" customWidth="1"/>
    <col min="13" max="13" width="2" style="137" customWidth="1"/>
    <col min="14" max="14" width="14.83203125" style="153" customWidth="1"/>
    <col min="15" max="15" width="13.5" style="153" customWidth="1"/>
    <col min="16" max="17" width="15.5" style="153" bestFit="1" customWidth="1"/>
    <col min="18" max="18" width="13.5" style="137" bestFit="1" customWidth="1"/>
    <col min="19" max="21" width="9.33203125" style="137"/>
    <col min="22" max="22" width="15.5" style="138" bestFit="1" customWidth="1"/>
    <col min="23" max="23" width="12.5" style="137" bestFit="1" customWidth="1"/>
    <col min="24" max="24" width="9.33203125" style="137"/>
    <col min="25" max="25" width="12.33203125" style="137" bestFit="1" customWidth="1"/>
    <col min="26" max="16384" width="9.33203125" style="137"/>
  </cols>
  <sheetData>
    <row r="1" spans="1:23">
      <c r="A1" s="153" t="s">
        <v>517</v>
      </c>
      <c r="N1" s="956"/>
    </row>
    <row r="2" spans="1:23">
      <c r="A2" s="932" t="s">
        <v>732</v>
      </c>
      <c r="N2" s="956"/>
    </row>
    <row r="3" spans="1:23">
      <c r="A3" s="932"/>
    </row>
    <row r="4" spans="1:23">
      <c r="A4" s="153" t="s">
        <v>518</v>
      </c>
    </row>
    <row r="5" spans="1:23">
      <c r="A5" s="932" t="s">
        <v>519</v>
      </c>
    </row>
    <row r="6" spans="1:23">
      <c r="A6" s="932" t="s">
        <v>520</v>
      </c>
      <c r="N6" s="957" t="s">
        <v>521</v>
      </c>
      <c r="O6" s="206" t="s">
        <v>522</v>
      </c>
    </row>
    <row r="7" spans="1:23">
      <c r="A7" s="932"/>
      <c r="N7" s="958" t="s">
        <v>523</v>
      </c>
      <c r="O7" s="959" t="s">
        <v>1</v>
      </c>
    </row>
    <row r="8" spans="1:23">
      <c r="B8" s="933" t="s">
        <v>524</v>
      </c>
      <c r="C8" s="933"/>
      <c r="D8" s="933"/>
      <c r="E8" s="933"/>
      <c r="F8" s="933"/>
      <c r="G8" s="933"/>
      <c r="H8" s="933"/>
      <c r="I8" s="933"/>
      <c r="J8" s="933"/>
      <c r="K8" s="933"/>
      <c r="L8" s="933"/>
      <c r="M8" s="139"/>
      <c r="N8" s="958"/>
      <c r="O8" s="960"/>
    </row>
    <row r="9" spans="1:23">
      <c r="A9" s="234"/>
      <c r="B9" s="670" t="s">
        <v>525</v>
      </c>
      <c r="C9" s="671"/>
      <c r="D9" s="985" t="s">
        <v>526</v>
      </c>
      <c r="E9" s="986"/>
      <c r="F9" s="989" t="s">
        <v>610</v>
      </c>
      <c r="G9" s="990"/>
      <c r="H9" s="987" t="s">
        <v>527</v>
      </c>
      <c r="I9" s="988"/>
      <c r="J9" s="985" t="s">
        <v>528</v>
      </c>
      <c r="K9" s="986"/>
      <c r="L9" s="143" t="s">
        <v>529</v>
      </c>
      <c r="M9" s="292"/>
      <c r="N9" s="668" t="s">
        <v>530</v>
      </c>
      <c r="O9" s="143" t="s">
        <v>531</v>
      </c>
    </row>
    <row r="10" spans="1:23">
      <c r="A10" s="142" t="s">
        <v>15</v>
      </c>
      <c r="B10" s="141" t="s">
        <v>532</v>
      </c>
      <c r="C10" s="141" t="s">
        <v>4</v>
      </c>
      <c r="D10" s="141" t="s">
        <v>532</v>
      </c>
      <c r="E10" s="141" t="s">
        <v>4</v>
      </c>
      <c r="F10" s="934" t="s">
        <v>532</v>
      </c>
      <c r="G10" s="934" t="s">
        <v>4</v>
      </c>
      <c r="H10" s="141" t="s">
        <v>532</v>
      </c>
      <c r="I10" s="141" t="s">
        <v>4</v>
      </c>
      <c r="J10" s="141" t="s">
        <v>532</v>
      </c>
      <c r="K10" s="141" t="s">
        <v>4</v>
      </c>
      <c r="L10" s="142" t="s">
        <v>533</v>
      </c>
      <c r="M10" s="292"/>
      <c r="N10" s="669" t="s">
        <v>534</v>
      </c>
      <c r="O10" s="961"/>
    </row>
    <row r="11" spans="1:23">
      <c r="A11" s="143" t="s">
        <v>535</v>
      </c>
      <c r="B11" s="143" t="s">
        <v>536</v>
      </c>
      <c r="C11" s="143" t="s">
        <v>537</v>
      </c>
      <c r="D11" s="143" t="s">
        <v>538</v>
      </c>
      <c r="E11" s="143" t="s">
        <v>539</v>
      </c>
      <c r="F11" s="935"/>
      <c r="G11" s="935"/>
      <c r="H11" s="143" t="s">
        <v>540</v>
      </c>
      <c r="I11" s="143" t="s">
        <v>541</v>
      </c>
      <c r="J11" s="143" t="s">
        <v>542</v>
      </c>
      <c r="K11" s="143" t="s">
        <v>543</v>
      </c>
      <c r="L11" s="143" t="s">
        <v>544</v>
      </c>
      <c r="M11" s="292"/>
      <c r="N11" s="144"/>
      <c r="O11" s="962"/>
    </row>
    <row r="12" spans="1:23" ht="17.25">
      <c r="A12" s="142"/>
      <c r="B12" s="145" t="s">
        <v>28</v>
      </c>
      <c r="C12" s="142" t="s">
        <v>545</v>
      </c>
      <c r="D12" s="142"/>
      <c r="E12" s="142" t="s">
        <v>546</v>
      </c>
      <c r="F12" s="936"/>
      <c r="G12" s="936"/>
      <c r="H12" s="142"/>
      <c r="I12" s="142" t="s">
        <v>547</v>
      </c>
      <c r="J12" s="146" t="s">
        <v>548</v>
      </c>
      <c r="K12" s="147"/>
      <c r="L12" s="142" t="s">
        <v>549</v>
      </c>
      <c r="M12" s="293"/>
      <c r="N12" s="963"/>
      <c r="O12" s="962"/>
    </row>
    <row r="13" spans="1:23">
      <c r="A13" s="143"/>
      <c r="B13" s="271"/>
      <c r="C13" s="150"/>
      <c r="D13" s="271"/>
      <c r="E13" s="150"/>
      <c r="F13" s="937"/>
      <c r="G13" s="937"/>
      <c r="H13" s="271"/>
      <c r="I13" s="148"/>
      <c r="J13" s="149"/>
      <c r="K13" s="150"/>
      <c r="L13" s="143"/>
      <c r="M13" s="293"/>
      <c r="N13" s="962"/>
      <c r="O13" s="962"/>
    </row>
    <row r="14" spans="1:23">
      <c r="A14" s="938">
        <v>40908</v>
      </c>
      <c r="B14" s="157" t="s">
        <v>550</v>
      </c>
      <c r="C14" s="160">
        <v>1298</v>
      </c>
      <c r="D14" s="157" t="s">
        <v>550</v>
      </c>
      <c r="E14" s="159">
        <v>200</v>
      </c>
      <c r="F14" s="265"/>
      <c r="G14" s="265"/>
      <c r="H14" s="157" t="s">
        <v>550</v>
      </c>
      <c r="I14" s="160">
        <f t="shared" ref="I14:I22" si="0">5*60+(DAY(A14)-5)*46</f>
        <v>1496</v>
      </c>
      <c r="J14" s="161" t="s">
        <v>550</v>
      </c>
      <c r="K14" s="939">
        <v>0</v>
      </c>
      <c r="L14" s="162">
        <f>(E14*C14)+(I14*K14)</f>
        <v>259600</v>
      </c>
      <c r="M14" s="294"/>
      <c r="N14" s="162">
        <v>0</v>
      </c>
      <c r="O14" s="162">
        <f t="shared" ref="O14:O25" si="1">L14-N14</f>
        <v>259600</v>
      </c>
      <c r="R14" s="137" t="s">
        <v>551</v>
      </c>
      <c r="W14" s="151"/>
    </row>
    <row r="15" spans="1:23">
      <c r="A15" s="938">
        <v>40939</v>
      </c>
      <c r="B15" s="157" t="s">
        <v>550</v>
      </c>
      <c r="C15" s="158">
        <f>IF(B15="--",C14,C14*B15)</f>
        <v>1298</v>
      </c>
      <c r="D15" s="157" t="s">
        <v>550</v>
      </c>
      <c r="E15" s="159">
        <f>IF(D15="--",E14,E14+D15)</f>
        <v>200</v>
      </c>
      <c r="F15" s="265"/>
      <c r="G15" s="265"/>
      <c r="H15" s="157" t="s">
        <v>550</v>
      </c>
      <c r="I15" s="160">
        <f t="shared" si="0"/>
        <v>1496</v>
      </c>
      <c r="J15" s="161" t="s">
        <v>550</v>
      </c>
      <c r="K15" s="159">
        <v>140</v>
      </c>
      <c r="L15" s="162">
        <f>(E15*C15)+(I15*K15)</f>
        <v>469040</v>
      </c>
      <c r="M15" s="294"/>
      <c r="N15" s="162"/>
      <c r="O15" s="162">
        <f t="shared" si="1"/>
        <v>469040</v>
      </c>
      <c r="W15" s="151"/>
    </row>
    <row r="16" spans="1:23" s="153" customFormat="1">
      <c r="A16" s="938">
        <v>40968</v>
      </c>
      <c r="B16" s="157" t="s">
        <v>550</v>
      </c>
      <c r="C16" s="158">
        <f>IF(B16="--",C15,C15*B16)</f>
        <v>1298</v>
      </c>
      <c r="D16" s="157" t="s">
        <v>550</v>
      </c>
      <c r="E16" s="159">
        <f>IF(D16="--",E15,E15+D16)</f>
        <v>200</v>
      </c>
      <c r="F16" s="265"/>
      <c r="G16" s="265"/>
      <c r="H16" s="157" t="s">
        <v>550</v>
      </c>
      <c r="I16" s="160">
        <f t="shared" si="0"/>
        <v>1404</v>
      </c>
      <c r="J16" s="161" t="s">
        <v>550</v>
      </c>
      <c r="K16" s="159">
        <v>0</v>
      </c>
      <c r="L16" s="162">
        <f>(E16*C16)+(I16*K16)</f>
        <v>259600</v>
      </c>
      <c r="M16" s="294"/>
      <c r="N16" s="162"/>
      <c r="O16" s="162">
        <f t="shared" si="1"/>
        <v>259600</v>
      </c>
      <c r="P16" s="152"/>
      <c r="V16" s="154"/>
      <c r="W16" s="151"/>
    </row>
    <row r="17" spans="1:23" s="153" customFormat="1">
      <c r="A17" s="938">
        <v>40999</v>
      </c>
      <c r="B17" s="157" t="s">
        <v>550</v>
      </c>
      <c r="C17" s="158">
        <f>IF(B17="--",C16,C16*B17)</f>
        <v>1298</v>
      </c>
      <c r="D17" s="157" t="s">
        <v>550</v>
      </c>
      <c r="E17" s="159">
        <f>IF(D17="--",E16,E16+D17)</f>
        <v>200</v>
      </c>
      <c r="F17" s="265"/>
      <c r="G17" s="265">
        <v>117</v>
      </c>
      <c r="H17" s="157" t="s">
        <v>550</v>
      </c>
      <c r="I17" s="160">
        <f t="shared" si="0"/>
        <v>1496</v>
      </c>
      <c r="J17" s="161" t="s">
        <v>550</v>
      </c>
      <c r="K17" s="159">
        <v>0</v>
      </c>
      <c r="L17" s="940">
        <f t="shared" ref="L17:L24" si="2">(E17*C17)+(I17*K17)+C17*G17</f>
        <v>411466</v>
      </c>
      <c r="M17" s="291"/>
      <c r="N17" s="162">
        <v>259600</v>
      </c>
      <c r="O17" s="162">
        <f t="shared" si="1"/>
        <v>151866</v>
      </c>
      <c r="P17" s="156"/>
      <c r="Q17" s="156"/>
      <c r="R17" s="156"/>
      <c r="V17" s="154"/>
      <c r="W17" s="151"/>
    </row>
    <row r="18" spans="1:23">
      <c r="A18" s="938">
        <v>41029</v>
      </c>
      <c r="B18" s="157" t="s">
        <v>550</v>
      </c>
      <c r="C18" s="158">
        <f t="shared" ref="C18:C81" si="3">IF(B18="--",C17,C17*B18)</f>
        <v>1298</v>
      </c>
      <c r="D18" s="157" t="s">
        <v>550</v>
      </c>
      <c r="E18" s="159">
        <f>IF(D18="--",E17,E17+D18)</f>
        <v>200</v>
      </c>
      <c r="F18" s="265"/>
      <c r="G18" s="265">
        <v>117</v>
      </c>
      <c r="H18" s="157" t="s">
        <v>550</v>
      </c>
      <c r="I18" s="160">
        <f t="shared" si="0"/>
        <v>1450</v>
      </c>
      <c r="J18" s="161" t="s">
        <v>550</v>
      </c>
      <c r="K18" s="159">
        <v>0</v>
      </c>
      <c r="L18" s="940">
        <f t="shared" si="2"/>
        <v>411466</v>
      </c>
      <c r="M18" s="291"/>
      <c r="N18" s="964">
        <v>434632</v>
      </c>
      <c r="O18" s="162">
        <f t="shared" si="1"/>
        <v>-23166</v>
      </c>
      <c r="P18" s="235"/>
      <c r="W18" s="151"/>
    </row>
    <row r="19" spans="1:23">
      <c r="A19" s="938">
        <v>41060</v>
      </c>
      <c r="B19" s="157" t="s">
        <v>550</v>
      </c>
      <c r="C19" s="158">
        <f>IF(B19="--",C18,C18*B19)</f>
        <v>1298</v>
      </c>
      <c r="D19" s="157" t="s">
        <v>550</v>
      </c>
      <c r="E19" s="159">
        <f>IF(D19="--",E18,E18+D19)</f>
        <v>200</v>
      </c>
      <c r="F19" s="265"/>
      <c r="G19" s="265">
        <v>117</v>
      </c>
      <c r="H19" s="157" t="s">
        <v>550</v>
      </c>
      <c r="I19" s="160">
        <f t="shared" si="0"/>
        <v>1496</v>
      </c>
      <c r="J19" s="161" t="s">
        <v>550</v>
      </c>
      <c r="K19" s="159">
        <v>0</v>
      </c>
      <c r="L19" s="940">
        <f t="shared" si="2"/>
        <v>411466</v>
      </c>
      <c r="M19" s="291"/>
      <c r="N19" s="965">
        <v>421127</v>
      </c>
      <c r="O19" s="162">
        <f t="shared" si="1"/>
        <v>-9661</v>
      </c>
      <c r="P19" s="235"/>
      <c r="W19" s="151"/>
    </row>
    <row r="20" spans="1:23">
      <c r="A20" s="938">
        <v>41090</v>
      </c>
      <c r="B20" s="157" t="s">
        <v>550</v>
      </c>
      <c r="C20" s="158">
        <f t="shared" si="3"/>
        <v>1298</v>
      </c>
      <c r="D20" s="941">
        <v>50</v>
      </c>
      <c r="E20" s="159">
        <f t="shared" ref="E20:E59" si="4">IF(D20="--",E19,E19+D20)</f>
        <v>250</v>
      </c>
      <c r="F20" s="265"/>
      <c r="G20" s="265">
        <v>94</v>
      </c>
      <c r="H20" s="157" t="s">
        <v>550</v>
      </c>
      <c r="I20" s="160">
        <f t="shared" si="0"/>
        <v>1450</v>
      </c>
      <c r="J20" s="161" t="s">
        <v>550</v>
      </c>
      <c r="K20" s="159">
        <v>0</v>
      </c>
      <c r="L20" s="940">
        <f t="shared" si="2"/>
        <v>446512</v>
      </c>
      <c r="M20" s="291"/>
      <c r="N20" s="965">
        <v>426723</v>
      </c>
      <c r="O20" s="162">
        <f t="shared" si="1"/>
        <v>19789</v>
      </c>
      <c r="P20" s="235"/>
      <c r="W20" s="151"/>
    </row>
    <row r="21" spans="1:23">
      <c r="A21" s="938">
        <v>41121</v>
      </c>
      <c r="B21" s="157" t="s">
        <v>550</v>
      </c>
      <c r="C21" s="158">
        <f>IF(B21="--",C20,C20*B21)</f>
        <v>1298</v>
      </c>
      <c r="D21" s="157" t="s">
        <v>550</v>
      </c>
      <c r="E21" s="159">
        <f t="shared" si="4"/>
        <v>250</v>
      </c>
      <c r="F21" s="265"/>
      <c r="G21" s="265">
        <v>94</v>
      </c>
      <c r="H21" s="157" t="s">
        <v>550</v>
      </c>
      <c r="I21" s="160">
        <f t="shared" si="0"/>
        <v>1496</v>
      </c>
      <c r="J21" s="161" t="s">
        <v>550</v>
      </c>
      <c r="K21" s="159">
        <v>0</v>
      </c>
      <c r="L21" s="940">
        <f t="shared" si="2"/>
        <v>446512</v>
      </c>
      <c r="M21" s="291"/>
      <c r="N21" s="965">
        <v>462527</v>
      </c>
      <c r="O21" s="162">
        <f t="shared" si="1"/>
        <v>-16015</v>
      </c>
      <c r="P21" s="235"/>
      <c r="W21" s="151"/>
    </row>
    <row r="22" spans="1:23">
      <c r="A22" s="938">
        <v>41152</v>
      </c>
      <c r="B22" s="157" t="s">
        <v>550</v>
      </c>
      <c r="C22" s="158">
        <f t="shared" si="3"/>
        <v>1298</v>
      </c>
      <c r="D22" s="157" t="s">
        <v>550</v>
      </c>
      <c r="E22" s="159">
        <f t="shared" si="4"/>
        <v>250</v>
      </c>
      <c r="F22" s="265"/>
      <c r="G22" s="265">
        <v>94</v>
      </c>
      <c r="H22" s="157" t="s">
        <v>550</v>
      </c>
      <c r="I22" s="160">
        <f t="shared" si="0"/>
        <v>1496</v>
      </c>
      <c r="J22" s="161" t="s">
        <v>550</v>
      </c>
      <c r="K22" s="159">
        <v>0</v>
      </c>
      <c r="L22" s="940">
        <f t="shared" si="2"/>
        <v>446512</v>
      </c>
      <c r="M22" s="291"/>
      <c r="N22" s="966">
        <v>457118</v>
      </c>
      <c r="O22" s="162">
        <f t="shared" si="1"/>
        <v>-10606</v>
      </c>
      <c r="P22" s="156"/>
      <c r="Q22" s="967"/>
      <c r="W22" s="151"/>
    </row>
    <row r="23" spans="1:23">
      <c r="A23" s="938">
        <v>41182</v>
      </c>
      <c r="B23" s="157" t="s">
        <v>550</v>
      </c>
      <c r="C23" s="158">
        <f t="shared" si="3"/>
        <v>1298</v>
      </c>
      <c r="D23" s="157" t="s">
        <v>550</v>
      </c>
      <c r="E23" s="159">
        <f t="shared" si="4"/>
        <v>250</v>
      </c>
      <c r="F23" s="265"/>
      <c r="G23" s="265">
        <v>94</v>
      </c>
      <c r="H23" s="157" t="s">
        <v>550</v>
      </c>
      <c r="I23" s="942">
        <f t="shared" ref="I23:I86" si="5">5*60+(DAY(A23)-5)*46</f>
        <v>1450</v>
      </c>
      <c r="J23" s="161" t="s">
        <v>550</v>
      </c>
      <c r="K23" s="510">
        <v>0</v>
      </c>
      <c r="L23" s="940">
        <f t="shared" si="2"/>
        <v>446512</v>
      </c>
      <c r="M23" s="291"/>
      <c r="N23" s="966">
        <v>457118</v>
      </c>
      <c r="O23" s="162">
        <f t="shared" si="1"/>
        <v>-10606</v>
      </c>
      <c r="P23" s="156"/>
      <c r="W23" s="151"/>
    </row>
    <row r="24" spans="1:23">
      <c r="A24" s="938">
        <v>41213</v>
      </c>
      <c r="B24" s="157" t="s">
        <v>550</v>
      </c>
      <c r="C24" s="158">
        <f t="shared" si="3"/>
        <v>1298</v>
      </c>
      <c r="D24" s="157" t="s">
        <v>550</v>
      </c>
      <c r="E24" s="159">
        <f t="shared" si="4"/>
        <v>250</v>
      </c>
      <c r="F24" s="265"/>
      <c r="G24" s="265">
        <v>94</v>
      </c>
      <c r="H24" s="157" t="s">
        <v>550</v>
      </c>
      <c r="I24" s="160">
        <f t="shared" si="5"/>
        <v>1496</v>
      </c>
      <c r="J24" s="161" t="s">
        <v>550</v>
      </c>
      <c r="K24" s="510">
        <v>0</v>
      </c>
      <c r="L24" s="940">
        <f t="shared" si="2"/>
        <v>446512</v>
      </c>
      <c r="M24" s="291"/>
      <c r="N24" s="968">
        <v>452840</v>
      </c>
      <c r="O24" s="162">
        <f t="shared" si="1"/>
        <v>-6328</v>
      </c>
      <c r="P24" s="156"/>
      <c r="W24" s="151"/>
    </row>
    <row r="25" spans="1:23">
      <c r="A25" s="938">
        <v>41243</v>
      </c>
      <c r="B25" s="157" t="s">
        <v>550</v>
      </c>
      <c r="C25" s="158">
        <f t="shared" si="3"/>
        <v>1298</v>
      </c>
      <c r="D25" s="943">
        <v>93</v>
      </c>
      <c r="E25" s="159">
        <v>250</v>
      </c>
      <c r="F25" s="265"/>
      <c r="G25" s="265"/>
      <c r="H25" s="157" t="s">
        <v>550</v>
      </c>
      <c r="I25" s="160">
        <f t="shared" si="5"/>
        <v>1450</v>
      </c>
      <c r="J25" s="161" t="s">
        <v>550</v>
      </c>
      <c r="K25" s="159">
        <v>0</v>
      </c>
      <c r="L25" s="162">
        <f>(E25*C25)+(I25*K25)</f>
        <v>324500</v>
      </c>
      <c r="M25" s="291"/>
      <c r="N25" s="968">
        <v>457866</v>
      </c>
      <c r="O25" s="162">
        <f t="shared" si="1"/>
        <v>-133366</v>
      </c>
      <c r="P25" s="156"/>
      <c r="W25" s="151"/>
    </row>
    <row r="26" spans="1:23">
      <c r="A26" s="938">
        <v>41274</v>
      </c>
      <c r="B26" s="157" t="s">
        <v>550</v>
      </c>
      <c r="C26" s="158">
        <f t="shared" si="3"/>
        <v>1298</v>
      </c>
      <c r="D26" s="943">
        <v>90</v>
      </c>
      <c r="E26" s="159">
        <f t="shared" si="4"/>
        <v>340</v>
      </c>
      <c r="F26" s="265"/>
      <c r="G26" s="265"/>
      <c r="H26" s="157" t="s">
        <v>550</v>
      </c>
      <c r="I26" s="160">
        <f t="shared" si="5"/>
        <v>1496</v>
      </c>
      <c r="J26" s="161" t="s">
        <v>550</v>
      </c>
      <c r="K26" s="159">
        <v>0</v>
      </c>
      <c r="L26" s="162">
        <f>(E26*C26)+(I26*K26)</f>
        <v>441320</v>
      </c>
      <c r="M26" s="291"/>
      <c r="N26" s="968">
        <v>416358</v>
      </c>
      <c r="O26" s="162">
        <f t="shared" ref="O26:O39" si="6">L26-N26</f>
        <v>24962</v>
      </c>
      <c r="P26" s="156"/>
      <c r="W26" s="151"/>
    </row>
    <row r="27" spans="1:23">
      <c r="A27" s="938">
        <v>41305</v>
      </c>
      <c r="B27" s="157" t="s">
        <v>550</v>
      </c>
      <c r="C27" s="158">
        <f t="shared" si="3"/>
        <v>1298</v>
      </c>
      <c r="D27" s="157" t="s">
        <v>550</v>
      </c>
      <c r="E27" s="159">
        <f t="shared" si="4"/>
        <v>340</v>
      </c>
      <c r="F27" s="265"/>
      <c r="G27" s="265"/>
      <c r="H27" s="157" t="s">
        <v>550</v>
      </c>
      <c r="I27" s="160">
        <f t="shared" si="5"/>
        <v>1496</v>
      </c>
      <c r="J27" s="161" t="s">
        <v>550</v>
      </c>
      <c r="K27" s="159">
        <v>0</v>
      </c>
      <c r="L27" s="162">
        <f>(E27*C27)+(I27*K27)</f>
        <v>441320</v>
      </c>
      <c r="M27" s="291"/>
      <c r="N27" s="968">
        <v>458060</v>
      </c>
      <c r="O27" s="162">
        <f t="shared" si="6"/>
        <v>-16740</v>
      </c>
      <c r="P27" s="156"/>
      <c r="Q27" s="156"/>
      <c r="W27" s="151"/>
    </row>
    <row r="28" spans="1:23">
      <c r="A28" s="938">
        <v>41333</v>
      </c>
      <c r="B28" s="157" t="s">
        <v>550</v>
      </c>
      <c r="C28" s="158">
        <f t="shared" si="3"/>
        <v>1298</v>
      </c>
      <c r="D28" s="157" t="s">
        <v>550</v>
      </c>
      <c r="E28" s="159">
        <f t="shared" si="4"/>
        <v>340</v>
      </c>
      <c r="F28" s="265"/>
      <c r="G28" s="265"/>
      <c r="H28" s="157" t="s">
        <v>550</v>
      </c>
      <c r="I28" s="160">
        <f t="shared" si="5"/>
        <v>1358</v>
      </c>
      <c r="J28" s="161" t="s">
        <v>550</v>
      </c>
      <c r="K28" s="159">
        <v>0</v>
      </c>
      <c r="L28" s="162">
        <f t="shared" ref="L28:L86" si="7">E28*C28</f>
        <v>441320</v>
      </c>
      <c r="M28" s="291"/>
      <c r="N28" s="968">
        <v>441320</v>
      </c>
      <c r="O28" s="162">
        <f t="shared" si="6"/>
        <v>0</v>
      </c>
      <c r="P28" s="156"/>
      <c r="Q28" s="156"/>
      <c r="W28" s="151"/>
    </row>
    <row r="29" spans="1:23">
      <c r="A29" s="938">
        <v>41364</v>
      </c>
      <c r="B29" s="157" t="s">
        <v>550</v>
      </c>
      <c r="C29" s="158">
        <f t="shared" si="3"/>
        <v>1298</v>
      </c>
      <c r="D29" s="157" t="s">
        <v>550</v>
      </c>
      <c r="E29" s="159">
        <f t="shared" si="4"/>
        <v>340</v>
      </c>
      <c r="F29" s="265"/>
      <c r="G29" s="265"/>
      <c r="H29" s="157" t="s">
        <v>550</v>
      </c>
      <c r="I29" s="160">
        <f t="shared" si="5"/>
        <v>1496</v>
      </c>
      <c r="J29" s="161" t="s">
        <v>550</v>
      </c>
      <c r="K29" s="159">
        <v>0</v>
      </c>
      <c r="L29" s="162">
        <f t="shared" si="7"/>
        <v>441320</v>
      </c>
      <c r="M29" s="291"/>
      <c r="N29" s="968">
        <v>441320</v>
      </c>
      <c r="O29" s="162">
        <f t="shared" si="6"/>
        <v>0</v>
      </c>
      <c r="P29" s="156"/>
      <c r="Q29" s="156"/>
      <c r="W29" s="151"/>
    </row>
    <row r="30" spans="1:23">
      <c r="A30" s="938">
        <v>41394</v>
      </c>
      <c r="B30" s="157" t="s">
        <v>550</v>
      </c>
      <c r="C30" s="158">
        <f t="shared" si="3"/>
        <v>1298</v>
      </c>
      <c r="D30" s="157" t="s">
        <v>550</v>
      </c>
      <c r="E30" s="159">
        <f t="shared" si="4"/>
        <v>340</v>
      </c>
      <c r="F30" s="265"/>
      <c r="G30" s="265"/>
      <c r="H30" s="157" t="s">
        <v>550</v>
      </c>
      <c r="I30" s="160">
        <f t="shared" si="5"/>
        <v>1450</v>
      </c>
      <c r="J30" s="161" t="s">
        <v>550</v>
      </c>
      <c r="K30" s="159">
        <v>0</v>
      </c>
      <c r="L30" s="162">
        <f t="shared" si="7"/>
        <v>441320</v>
      </c>
      <c r="M30" s="291"/>
      <c r="N30" s="968">
        <v>441320</v>
      </c>
      <c r="O30" s="162">
        <f t="shared" si="6"/>
        <v>0</v>
      </c>
      <c r="P30" s="235"/>
      <c r="Q30" s="156"/>
      <c r="W30" s="151"/>
    </row>
    <row r="31" spans="1:23">
      <c r="A31" s="938">
        <v>41425</v>
      </c>
      <c r="B31" s="157" t="s">
        <v>550</v>
      </c>
      <c r="C31" s="158">
        <f t="shared" si="3"/>
        <v>1298</v>
      </c>
      <c r="D31" s="157" t="s">
        <v>550</v>
      </c>
      <c r="E31" s="159">
        <f t="shared" si="4"/>
        <v>340</v>
      </c>
      <c r="F31" s="265"/>
      <c r="G31" s="265"/>
      <c r="H31" s="157" t="s">
        <v>550</v>
      </c>
      <c r="I31" s="160">
        <f t="shared" si="5"/>
        <v>1496</v>
      </c>
      <c r="J31" s="161" t="s">
        <v>550</v>
      </c>
      <c r="K31" s="159">
        <v>0</v>
      </c>
      <c r="L31" s="162">
        <f t="shared" si="7"/>
        <v>441320</v>
      </c>
      <c r="M31" s="291"/>
      <c r="N31" s="968">
        <v>441380</v>
      </c>
      <c r="O31" s="162">
        <f t="shared" si="6"/>
        <v>-60</v>
      </c>
      <c r="P31" s="235"/>
      <c r="Q31" s="156"/>
      <c r="W31" s="151"/>
    </row>
    <row r="32" spans="1:23">
      <c r="A32" s="938">
        <v>41455</v>
      </c>
      <c r="B32" s="157" t="s">
        <v>550</v>
      </c>
      <c r="C32" s="158">
        <f t="shared" si="3"/>
        <v>1298</v>
      </c>
      <c r="D32" s="157" t="s">
        <v>550</v>
      </c>
      <c r="E32" s="159">
        <f t="shared" si="4"/>
        <v>340</v>
      </c>
      <c r="F32" s="265"/>
      <c r="G32" s="265"/>
      <c r="H32" s="157" t="s">
        <v>550</v>
      </c>
      <c r="I32" s="160">
        <f t="shared" si="5"/>
        <v>1450</v>
      </c>
      <c r="J32" s="161" t="s">
        <v>550</v>
      </c>
      <c r="K32" s="159">
        <v>0</v>
      </c>
      <c r="L32" s="162">
        <f t="shared" si="7"/>
        <v>441320</v>
      </c>
      <c r="M32" s="155"/>
      <c r="N32" s="968">
        <v>441320</v>
      </c>
      <c r="O32" s="162">
        <f t="shared" si="6"/>
        <v>0</v>
      </c>
      <c r="P32" s="235"/>
      <c r="Q32" s="156"/>
      <c r="W32" s="151"/>
    </row>
    <row r="33" spans="1:42">
      <c r="A33" s="938">
        <v>41486</v>
      </c>
      <c r="B33" s="157" t="s">
        <v>550</v>
      </c>
      <c r="C33" s="158">
        <f t="shared" si="3"/>
        <v>1298</v>
      </c>
      <c r="D33" s="157" t="s">
        <v>550</v>
      </c>
      <c r="E33" s="159">
        <f t="shared" si="4"/>
        <v>340</v>
      </c>
      <c r="F33" s="265"/>
      <c r="G33" s="265"/>
      <c r="H33" s="157" t="s">
        <v>550</v>
      </c>
      <c r="I33" s="160">
        <f t="shared" si="5"/>
        <v>1496</v>
      </c>
      <c r="J33" s="161" t="s">
        <v>550</v>
      </c>
      <c r="K33" s="159">
        <v>0</v>
      </c>
      <c r="L33" s="162">
        <f t="shared" si="7"/>
        <v>441320</v>
      </c>
      <c r="M33" s="155"/>
      <c r="N33" s="968">
        <v>441320</v>
      </c>
      <c r="O33" s="162">
        <f t="shared" si="6"/>
        <v>0</v>
      </c>
      <c r="P33" s="235"/>
      <c r="Q33" s="156"/>
      <c r="W33" s="151"/>
      <c r="AP33"/>
    </row>
    <row r="34" spans="1:42">
      <c r="A34" s="938">
        <v>41517</v>
      </c>
      <c r="B34" s="157" t="s">
        <v>550</v>
      </c>
      <c r="C34" s="158">
        <f t="shared" si="3"/>
        <v>1298</v>
      </c>
      <c r="D34" s="157" t="s">
        <v>550</v>
      </c>
      <c r="E34" s="159">
        <f t="shared" si="4"/>
        <v>340</v>
      </c>
      <c r="F34" s="265"/>
      <c r="G34" s="265"/>
      <c r="H34" s="157" t="s">
        <v>550</v>
      </c>
      <c r="I34" s="160">
        <f t="shared" si="5"/>
        <v>1496</v>
      </c>
      <c r="J34" s="161" t="s">
        <v>550</v>
      </c>
      <c r="K34" s="159">
        <v>0</v>
      </c>
      <c r="L34" s="162">
        <f t="shared" si="7"/>
        <v>441320</v>
      </c>
      <c r="M34" s="155"/>
      <c r="N34" s="968">
        <v>441320</v>
      </c>
      <c r="O34" s="162">
        <f t="shared" si="6"/>
        <v>0</v>
      </c>
      <c r="P34" s="235"/>
      <c r="Q34" s="156"/>
      <c r="W34" s="151"/>
      <c r="AP34"/>
    </row>
    <row r="35" spans="1:42">
      <c r="A35" s="938">
        <v>41547</v>
      </c>
      <c r="B35" s="157" t="s">
        <v>550</v>
      </c>
      <c r="C35" s="158">
        <f>IF(B35="--",C34,C34*B35)</f>
        <v>1298</v>
      </c>
      <c r="D35" s="157" t="s">
        <v>550</v>
      </c>
      <c r="E35" s="159">
        <f t="shared" si="4"/>
        <v>340</v>
      </c>
      <c r="F35" s="265"/>
      <c r="G35" s="265"/>
      <c r="H35" s="157" t="s">
        <v>550</v>
      </c>
      <c r="I35" s="160">
        <f t="shared" si="5"/>
        <v>1450</v>
      </c>
      <c r="J35" s="161" t="s">
        <v>550</v>
      </c>
      <c r="K35" s="159">
        <v>0</v>
      </c>
      <c r="L35" s="162">
        <f t="shared" si="7"/>
        <v>441320</v>
      </c>
      <c r="M35" s="155"/>
      <c r="N35" s="968">
        <v>441320</v>
      </c>
      <c r="O35" s="162">
        <f t="shared" si="6"/>
        <v>0</v>
      </c>
      <c r="P35" s="235"/>
      <c r="Q35" s="156"/>
      <c r="W35" s="151"/>
      <c r="AP35"/>
    </row>
    <row r="36" spans="1:42">
      <c r="A36" s="938">
        <v>41578</v>
      </c>
      <c r="B36" s="157" t="s">
        <v>550</v>
      </c>
      <c r="C36" s="158">
        <f>IF(B36="--",C35,C35*B36)</f>
        <v>1298</v>
      </c>
      <c r="D36" s="157" t="s">
        <v>550</v>
      </c>
      <c r="E36" s="159">
        <f t="shared" si="4"/>
        <v>340</v>
      </c>
      <c r="F36" s="265"/>
      <c r="G36" s="265"/>
      <c r="H36" s="157" t="s">
        <v>550</v>
      </c>
      <c r="I36" s="160">
        <f t="shared" si="5"/>
        <v>1496</v>
      </c>
      <c r="J36" s="161" t="s">
        <v>550</v>
      </c>
      <c r="K36" s="159">
        <v>0</v>
      </c>
      <c r="L36" s="162">
        <f>(E36*C36)+(I36*K36)</f>
        <v>441320</v>
      </c>
      <c r="M36" s="291"/>
      <c r="N36" s="968">
        <v>441320</v>
      </c>
      <c r="O36" s="162">
        <f t="shared" si="6"/>
        <v>0</v>
      </c>
      <c r="P36" s="969"/>
      <c r="Q36" s="156"/>
      <c r="W36" s="151"/>
      <c r="AP36"/>
    </row>
    <row r="37" spans="1:42">
      <c r="A37" s="938">
        <v>41608</v>
      </c>
      <c r="B37" s="157" t="s">
        <v>550</v>
      </c>
      <c r="C37" s="944">
        <v>1479</v>
      </c>
      <c r="D37" s="157" t="s">
        <v>550</v>
      </c>
      <c r="E37" s="159">
        <f t="shared" si="4"/>
        <v>340</v>
      </c>
      <c r="F37" s="265"/>
      <c r="G37" s="265"/>
      <c r="H37" s="157" t="s">
        <v>550</v>
      </c>
      <c r="I37" s="160">
        <f t="shared" si="5"/>
        <v>1450</v>
      </c>
      <c r="J37" s="161" t="s">
        <v>550</v>
      </c>
      <c r="K37" s="159">
        <v>0</v>
      </c>
      <c r="L37" s="162">
        <f>(E37*C37)+(I37*K37)</f>
        <v>502860</v>
      </c>
      <c r="M37" s="291"/>
      <c r="N37" s="965">
        <v>502860</v>
      </c>
      <c r="O37" s="162">
        <f t="shared" si="6"/>
        <v>0</v>
      </c>
      <c r="P37" s="81"/>
      <c r="Q37" s="81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>
      <c r="A38" s="938">
        <v>41639</v>
      </c>
      <c r="B38" s="157" t="s">
        <v>550</v>
      </c>
      <c r="C38" s="158">
        <f t="shared" si="3"/>
        <v>1479</v>
      </c>
      <c r="D38" s="157" t="s">
        <v>550</v>
      </c>
      <c r="E38" s="159">
        <f t="shared" si="4"/>
        <v>340</v>
      </c>
      <c r="F38" s="265"/>
      <c r="G38" s="265"/>
      <c r="H38" s="157" t="s">
        <v>550</v>
      </c>
      <c r="I38" s="160">
        <f t="shared" si="5"/>
        <v>1496</v>
      </c>
      <c r="J38" s="161" t="s">
        <v>550</v>
      </c>
      <c r="K38" s="159">
        <v>0</v>
      </c>
      <c r="L38" s="162">
        <f>(E38*C38)+(I38*K38)</f>
        <v>502860</v>
      </c>
      <c r="M38" s="155"/>
      <c r="N38" s="965">
        <v>502860</v>
      </c>
      <c r="O38" s="162">
        <f t="shared" si="6"/>
        <v>0</v>
      </c>
      <c r="P38" s="81"/>
      <c r="Q38" s="81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>
      <c r="A39" s="938">
        <v>41670</v>
      </c>
      <c r="B39" s="157" t="s">
        <v>550</v>
      </c>
      <c r="C39" s="158">
        <f t="shared" si="3"/>
        <v>1479</v>
      </c>
      <c r="D39" s="157" t="s">
        <v>550</v>
      </c>
      <c r="E39" s="159">
        <f t="shared" si="4"/>
        <v>340</v>
      </c>
      <c r="F39" s="265"/>
      <c r="G39" s="265"/>
      <c r="H39" s="157" t="s">
        <v>550</v>
      </c>
      <c r="I39" s="160">
        <f t="shared" si="5"/>
        <v>1496</v>
      </c>
      <c r="J39" s="161" t="s">
        <v>550</v>
      </c>
      <c r="K39" s="159">
        <v>0</v>
      </c>
      <c r="L39" s="162">
        <f>(E39*C39)+(I39*K39)</f>
        <v>502860</v>
      </c>
      <c r="M39" s="291"/>
      <c r="N39" s="968">
        <v>502860</v>
      </c>
      <c r="O39" s="162">
        <f t="shared" si="6"/>
        <v>0</v>
      </c>
      <c r="P39" s="81"/>
      <c r="Q39" s="81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>
      <c r="A40" s="938">
        <v>41698</v>
      </c>
      <c r="B40" s="157" t="s">
        <v>550</v>
      </c>
      <c r="C40" s="158">
        <f t="shared" si="3"/>
        <v>1479</v>
      </c>
      <c r="D40" s="157" t="s">
        <v>550</v>
      </c>
      <c r="E40" s="159">
        <f t="shared" si="4"/>
        <v>340</v>
      </c>
      <c r="F40" s="265"/>
      <c r="G40" s="265"/>
      <c r="H40" s="157" t="s">
        <v>550</v>
      </c>
      <c r="I40" s="160">
        <f t="shared" si="5"/>
        <v>1358</v>
      </c>
      <c r="J40" s="161" t="s">
        <v>550</v>
      </c>
      <c r="K40" s="159">
        <v>0</v>
      </c>
      <c r="L40" s="162">
        <f t="shared" si="7"/>
        <v>502860</v>
      </c>
      <c r="M40" s="155"/>
      <c r="N40" s="968">
        <v>502860</v>
      </c>
      <c r="O40" s="162">
        <f t="shared" ref="O40:O63" si="8">L40-N40</f>
        <v>0</v>
      </c>
      <c r="P40" s="81"/>
      <c r="Q40" s="81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>
      <c r="A41" s="938">
        <v>41729</v>
      </c>
      <c r="B41" s="157" t="s">
        <v>550</v>
      </c>
      <c r="C41" s="158">
        <f t="shared" si="3"/>
        <v>1479</v>
      </c>
      <c r="D41" s="157" t="s">
        <v>550</v>
      </c>
      <c r="E41" s="159">
        <f t="shared" si="4"/>
        <v>340</v>
      </c>
      <c r="F41" s="265"/>
      <c r="G41" s="265"/>
      <c r="H41" s="157" t="s">
        <v>550</v>
      </c>
      <c r="I41" s="160">
        <f t="shared" si="5"/>
        <v>1496</v>
      </c>
      <c r="J41" s="161" t="s">
        <v>550</v>
      </c>
      <c r="K41" s="159">
        <v>0</v>
      </c>
      <c r="L41" s="162">
        <f t="shared" si="7"/>
        <v>502860</v>
      </c>
      <c r="M41" s="155"/>
      <c r="N41" s="968">
        <v>502860</v>
      </c>
      <c r="O41" s="162">
        <f t="shared" si="8"/>
        <v>0</v>
      </c>
      <c r="P41" s="81"/>
      <c r="Q41" s="8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>
      <c r="A42" s="938">
        <v>41759</v>
      </c>
      <c r="B42" s="157" t="s">
        <v>550</v>
      </c>
      <c r="C42" s="158">
        <f t="shared" si="3"/>
        <v>1479</v>
      </c>
      <c r="D42" s="157" t="s">
        <v>550</v>
      </c>
      <c r="E42" s="159">
        <f t="shared" si="4"/>
        <v>340</v>
      </c>
      <c r="F42" s="265"/>
      <c r="G42" s="265"/>
      <c r="H42" s="157" t="s">
        <v>550</v>
      </c>
      <c r="I42" s="160">
        <f t="shared" si="5"/>
        <v>1450</v>
      </c>
      <c r="J42" s="161" t="s">
        <v>550</v>
      </c>
      <c r="K42" s="159">
        <v>0</v>
      </c>
      <c r="L42" s="162">
        <f t="shared" si="7"/>
        <v>502860</v>
      </c>
      <c r="M42" s="155"/>
      <c r="N42" s="968">
        <v>502860</v>
      </c>
      <c r="O42" s="162">
        <f t="shared" si="8"/>
        <v>0</v>
      </c>
      <c r="P42" s="81"/>
      <c r="Q42" s="81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>
      <c r="A43" s="938">
        <v>41790</v>
      </c>
      <c r="B43" s="157" t="s">
        <v>550</v>
      </c>
      <c r="C43" s="158">
        <f t="shared" si="3"/>
        <v>1479</v>
      </c>
      <c r="D43" s="157" t="s">
        <v>550</v>
      </c>
      <c r="E43" s="159">
        <f t="shared" si="4"/>
        <v>340</v>
      </c>
      <c r="F43" s="265"/>
      <c r="G43" s="265"/>
      <c r="H43" s="157" t="s">
        <v>550</v>
      </c>
      <c r="I43" s="160">
        <f t="shared" si="5"/>
        <v>1496</v>
      </c>
      <c r="J43" s="161" t="s">
        <v>550</v>
      </c>
      <c r="K43" s="159">
        <v>0</v>
      </c>
      <c r="L43" s="162">
        <f t="shared" si="7"/>
        <v>502860</v>
      </c>
      <c r="M43" s="155"/>
      <c r="N43" s="968">
        <v>502860</v>
      </c>
      <c r="O43" s="162">
        <f t="shared" si="8"/>
        <v>0</v>
      </c>
      <c r="P43" s="81"/>
      <c r="Q43" s="81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>
      <c r="A44" s="938">
        <v>41820</v>
      </c>
      <c r="B44" s="157" t="s">
        <v>550</v>
      </c>
      <c r="C44" s="158">
        <f t="shared" si="3"/>
        <v>1479</v>
      </c>
      <c r="D44" s="157" t="s">
        <v>550</v>
      </c>
      <c r="E44" s="159">
        <f t="shared" si="4"/>
        <v>340</v>
      </c>
      <c r="F44" s="265"/>
      <c r="G44" s="265"/>
      <c r="H44" s="157" t="s">
        <v>550</v>
      </c>
      <c r="I44" s="160">
        <f t="shared" si="5"/>
        <v>1450</v>
      </c>
      <c r="J44" s="161" t="s">
        <v>550</v>
      </c>
      <c r="K44" s="159">
        <v>0</v>
      </c>
      <c r="L44" s="162">
        <f t="shared" si="7"/>
        <v>502860</v>
      </c>
      <c r="M44" s="155"/>
      <c r="N44" s="968">
        <v>502860</v>
      </c>
      <c r="O44" s="162">
        <f t="shared" si="8"/>
        <v>0</v>
      </c>
      <c r="P44" s="81"/>
      <c r="Q44" s="81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>
      <c r="A45" s="938">
        <v>41851</v>
      </c>
      <c r="B45" s="157" t="s">
        <v>550</v>
      </c>
      <c r="C45" s="158">
        <f t="shared" si="3"/>
        <v>1479</v>
      </c>
      <c r="D45" s="157" t="s">
        <v>550</v>
      </c>
      <c r="E45" s="159">
        <f t="shared" si="4"/>
        <v>340</v>
      </c>
      <c r="F45" s="265"/>
      <c r="G45" s="265"/>
      <c r="H45" s="157" t="s">
        <v>550</v>
      </c>
      <c r="I45" s="160">
        <f t="shared" si="5"/>
        <v>1496</v>
      </c>
      <c r="J45" s="161" t="s">
        <v>550</v>
      </c>
      <c r="K45" s="159">
        <v>0</v>
      </c>
      <c r="L45" s="162">
        <f t="shared" si="7"/>
        <v>502860</v>
      </c>
      <c r="M45" s="155"/>
      <c r="N45" s="968">
        <v>502860</v>
      </c>
      <c r="O45" s="162">
        <f t="shared" si="8"/>
        <v>0</v>
      </c>
      <c r="P45" s="81"/>
      <c r="Q45" s="81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>
      <c r="A46" s="938">
        <v>41882</v>
      </c>
      <c r="B46" s="157" t="s">
        <v>550</v>
      </c>
      <c r="C46" s="158">
        <f t="shared" si="3"/>
        <v>1479</v>
      </c>
      <c r="D46" s="157" t="s">
        <v>550</v>
      </c>
      <c r="E46" s="159">
        <f t="shared" si="4"/>
        <v>340</v>
      </c>
      <c r="F46" s="265"/>
      <c r="G46" s="265"/>
      <c r="H46" s="157" t="s">
        <v>550</v>
      </c>
      <c r="I46" s="160">
        <f t="shared" si="5"/>
        <v>1496</v>
      </c>
      <c r="J46" s="161" t="s">
        <v>550</v>
      </c>
      <c r="K46" s="159">
        <v>0</v>
      </c>
      <c r="L46" s="162">
        <f t="shared" si="7"/>
        <v>502860</v>
      </c>
      <c r="M46" s="155"/>
      <c r="N46" s="968">
        <v>502860</v>
      </c>
      <c r="O46" s="162">
        <f t="shared" si="8"/>
        <v>0</v>
      </c>
      <c r="P46" s="81"/>
      <c r="Q46" s="81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>
      <c r="A47" s="938">
        <v>41912</v>
      </c>
      <c r="B47" s="157" t="s">
        <v>550</v>
      </c>
      <c r="C47" s="158">
        <f t="shared" si="3"/>
        <v>1479</v>
      </c>
      <c r="D47" s="157" t="s">
        <v>550</v>
      </c>
      <c r="E47" s="159">
        <f t="shared" si="4"/>
        <v>340</v>
      </c>
      <c r="F47" s="265"/>
      <c r="G47" s="265"/>
      <c r="H47" s="157" t="s">
        <v>550</v>
      </c>
      <c r="I47" s="160">
        <f t="shared" si="5"/>
        <v>1450</v>
      </c>
      <c r="J47" s="161" t="s">
        <v>550</v>
      </c>
      <c r="K47" s="159">
        <v>0</v>
      </c>
      <c r="L47" s="162">
        <f t="shared" si="7"/>
        <v>502860</v>
      </c>
      <c r="M47" s="155"/>
      <c r="N47" s="968">
        <v>502860</v>
      </c>
      <c r="O47" s="162">
        <f t="shared" si="8"/>
        <v>0</v>
      </c>
      <c r="P47" s="81"/>
      <c r="Q47" s="81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>
      <c r="A48" s="938">
        <v>41943</v>
      </c>
      <c r="B48" s="157" t="s">
        <v>550</v>
      </c>
      <c r="C48" s="158">
        <f t="shared" si="3"/>
        <v>1479</v>
      </c>
      <c r="D48" s="157" t="s">
        <v>550</v>
      </c>
      <c r="E48" s="159">
        <f t="shared" si="4"/>
        <v>340</v>
      </c>
      <c r="F48" s="265"/>
      <c r="G48" s="265"/>
      <c r="H48" s="157" t="s">
        <v>550</v>
      </c>
      <c r="I48" s="160">
        <f>5*60+(DAY(A48)-5)*46</f>
        <v>1496</v>
      </c>
      <c r="J48" s="161" t="s">
        <v>550</v>
      </c>
      <c r="K48" s="159">
        <v>0</v>
      </c>
      <c r="L48" s="162">
        <f>(E48*C48)+(I48*K48)</f>
        <v>502860</v>
      </c>
      <c r="M48" s="155"/>
      <c r="N48" s="968">
        <v>502860</v>
      </c>
      <c r="O48" s="162">
        <f t="shared" si="8"/>
        <v>0</v>
      </c>
      <c r="P48" s="81"/>
      <c r="Q48" s="81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P48"/>
    </row>
    <row r="49" spans="1:42">
      <c r="A49" s="945">
        <v>41973</v>
      </c>
      <c r="B49" s="157" t="s">
        <v>550</v>
      </c>
      <c r="C49" s="158">
        <f t="shared" si="3"/>
        <v>1479</v>
      </c>
      <c r="D49" s="161" t="s">
        <v>550</v>
      </c>
      <c r="E49" s="265">
        <f t="shared" si="4"/>
        <v>340</v>
      </c>
      <c r="F49" s="164"/>
      <c r="G49" s="159"/>
      <c r="H49" s="161" t="s">
        <v>550</v>
      </c>
      <c r="I49" s="578">
        <f t="shared" si="5"/>
        <v>1450</v>
      </c>
      <c r="J49" s="157" t="s">
        <v>550</v>
      </c>
      <c r="K49" s="159">
        <v>0</v>
      </c>
      <c r="L49" s="256">
        <f>(E49*C49)+(I49*K49)</f>
        <v>502860</v>
      </c>
      <c r="M49" s="569"/>
      <c r="N49" s="968">
        <v>502860</v>
      </c>
      <c r="O49" s="162">
        <f t="shared" si="8"/>
        <v>0</v>
      </c>
      <c r="P49" s="81"/>
      <c r="Q49" s="81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P49"/>
    </row>
    <row r="50" spans="1:42">
      <c r="A50" s="938">
        <v>42004</v>
      </c>
      <c r="B50" s="157" t="s">
        <v>550</v>
      </c>
      <c r="C50" s="158">
        <f t="shared" si="3"/>
        <v>1479</v>
      </c>
      <c r="D50" s="157" t="s">
        <v>550</v>
      </c>
      <c r="E50" s="159">
        <f t="shared" si="4"/>
        <v>340</v>
      </c>
      <c r="F50" s="265"/>
      <c r="G50" s="265"/>
      <c r="H50" s="157" t="s">
        <v>550</v>
      </c>
      <c r="I50" s="160">
        <f t="shared" si="5"/>
        <v>1496</v>
      </c>
      <c r="J50" s="161" t="s">
        <v>550</v>
      </c>
      <c r="K50" s="159">
        <v>0</v>
      </c>
      <c r="L50" s="162">
        <f>(E50*C50)+(I50*K50)</f>
        <v>502860</v>
      </c>
      <c r="M50" s="155"/>
      <c r="N50" s="968">
        <v>502860</v>
      </c>
      <c r="O50" s="162">
        <f t="shared" si="8"/>
        <v>0</v>
      </c>
      <c r="P50" s="81"/>
      <c r="Q50" s="81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P50"/>
    </row>
    <row r="51" spans="1:42">
      <c r="A51" s="938">
        <v>42035</v>
      </c>
      <c r="B51" s="157" t="s">
        <v>550</v>
      </c>
      <c r="C51" s="158">
        <f t="shared" si="3"/>
        <v>1479</v>
      </c>
      <c r="D51" s="157" t="s">
        <v>550</v>
      </c>
      <c r="E51" s="159">
        <f t="shared" si="4"/>
        <v>340</v>
      </c>
      <c r="F51" s="265"/>
      <c r="G51" s="265"/>
      <c r="H51" s="157" t="s">
        <v>550</v>
      </c>
      <c r="I51" s="160">
        <f t="shared" si="5"/>
        <v>1496</v>
      </c>
      <c r="J51" s="161" t="s">
        <v>550</v>
      </c>
      <c r="K51" s="159">
        <v>0</v>
      </c>
      <c r="L51" s="162">
        <f>(E51*C51)+(I51*K51)</f>
        <v>502860</v>
      </c>
      <c r="M51" s="155"/>
      <c r="N51" s="968">
        <v>502860</v>
      </c>
      <c r="O51" s="162">
        <f t="shared" si="8"/>
        <v>0</v>
      </c>
      <c r="P51" s="81"/>
      <c r="Q51" s="8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P51"/>
    </row>
    <row r="52" spans="1:42">
      <c r="A52" s="938">
        <v>42063</v>
      </c>
      <c r="B52" s="157" t="s">
        <v>550</v>
      </c>
      <c r="C52" s="158">
        <f t="shared" si="3"/>
        <v>1479</v>
      </c>
      <c r="D52" s="157" t="s">
        <v>550</v>
      </c>
      <c r="E52" s="159">
        <f t="shared" si="4"/>
        <v>340</v>
      </c>
      <c r="F52" s="265"/>
      <c r="G52" s="265"/>
      <c r="H52" s="157" t="s">
        <v>550</v>
      </c>
      <c r="I52" s="160">
        <f t="shared" si="5"/>
        <v>1358</v>
      </c>
      <c r="J52" s="161" t="s">
        <v>550</v>
      </c>
      <c r="K52" s="159">
        <v>0</v>
      </c>
      <c r="L52" s="162">
        <f t="shared" si="7"/>
        <v>502860</v>
      </c>
      <c r="M52" s="155"/>
      <c r="N52" s="968">
        <v>502860</v>
      </c>
      <c r="O52" s="162">
        <f t="shared" si="8"/>
        <v>0</v>
      </c>
      <c r="P52" s="81"/>
      <c r="Q52" s="81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2">
      <c r="A53" s="938">
        <v>42094</v>
      </c>
      <c r="B53" s="157" t="s">
        <v>550</v>
      </c>
      <c r="C53" s="158">
        <f t="shared" si="3"/>
        <v>1479</v>
      </c>
      <c r="D53" s="157" t="s">
        <v>550</v>
      </c>
      <c r="E53" s="159">
        <f t="shared" si="4"/>
        <v>340</v>
      </c>
      <c r="F53" s="265"/>
      <c r="G53" s="265"/>
      <c r="H53" s="157" t="s">
        <v>550</v>
      </c>
      <c r="I53" s="160">
        <f t="shared" si="5"/>
        <v>1496</v>
      </c>
      <c r="J53" s="161" t="s">
        <v>550</v>
      </c>
      <c r="K53" s="159">
        <v>0</v>
      </c>
      <c r="L53" s="162">
        <f t="shared" si="7"/>
        <v>502860</v>
      </c>
      <c r="M53" s="165"/>
      <c r="N53" s="968">
        <v>502860</v>
      </c>
      <c r="O53" s="162">
        <f t="shared" si="8"/>
        <v>0</v>
      </c>
      <c r="P53" s="81"/>
      <c r="Q53" s="81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2">
      <c r="A54" s="938">
        <v>42124</v>
      </c>
      <c r="B54" s="157" t="s">
        <v>550</v>
      </c>
      <c r="C54" s="158">
        <f t="shared" si="3"/>
        <v>1479</v>
      </c>
      <c r="D54" s="157" t="s">
        <v>550</v>
      </c>
      <c r="E54" s="159">
        <f t="shared" si="4"/>
        <v>340</v>
      </c>
      <c r="F54" s="265"/>
      <c r="G54" s="265"/>
      <c r="H54" s="157" t="s">
        <v>550</v>
      </c>
      <c r="I54" s="160">
        <f t="shared" si="5"/>
        <v>1450</v>
      </c>
      <c r="J54" s="161" t="s">
        <v>550</v>
      </c>
      <c r="K54" s="159">
        <v>0</v>
      </c>
      <c r="L54" s="162">
        <f>E54*C54</f>
        <v>502860</v>
      </c>
      <c r="M54" s="165"/>
      <c r="N54" s="968">
        <v>502860</v>
      </c>
      <c r="O54" s="162">
        <f t="shared" si="8"/>
        <v>0</v>
      </c>
      <c r="P54" s="81"/>
      <c r="Q54" s="81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2">
      <c r="A55" s="938">
        <v>42155</v>
      </c>
      <c r="B55" s="157" t="s">
        <v>550</v>
      </c>
      <c r="C55" s="158">
        <f t="shared" si="3"/>
        <v>1479</v>
      </c>
      <c r="D55" s="157" t="s">
        <v>550</v>
      </c>
      <c r="E55" s="159">
        <f t="shared" si="4"/>
        <v>340</v>
      </c>
      <c r="F55" s="265"/>
      <c r="G55" s="265"/>
      <c r="H55" s="157" t="s">
        <v>550</v>
      </c>
      <c r="I55" s="160">
        <f t="shared" si="5"/>
        <v>1496</v>
      </c>
      <c r="J55" s="161" t="s">
        <v>550</v>
      </c>
      <c r="K55" s="159">
        <v>0</v>
      </c>
      <c r="L55" s="162">
        <f t="shared" si="7"/>
        <v>502860</v>
      </c>
      <c r="M55" s="576"/>
      <c r="N55" s="968">
        <v>502860</v>
      </c>
      <c r="O55" s="162">
        <f t="shared" si="8"/>
        <v>0</v>
      </c>
      <c r="P55" s="81"/>
      <c r="Q55" s="81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2">
      <c r="A56" s="938">
        <v>42185</v>
      </c>
      <c r="B56" s="157" t="s">
        <v>550</v>
      </c>
      <c r="C56" s="158">
        <f t="shared" si="3"/>
        <v>1479</v>
      </c>
      <c r="D56" s="157" t="s">
        <v>550</v>
      </c>
      <c r="E56" s="159">
        <f t="shared" si="4"/>
        <v>340</v>
      </c>
      <c r="F56" s="265"/>
      <c r="G56" s="265"/>
      <c r="H56" s="157" t="s">
        <v>550</v>
      </c>
      <c r="I56" s="160">
        <f t="shared" si="5"/>
        <v>1450</v>
      </c>
      <c r="J56" s="161" t="s">
        <v>550</v>
      </c>
      <c r="K56" s="159">
        <v>0</v>
      </c>
      <c r="L56" s="162">
        <f t="shared" si="7"/>
        <v>502860</v>
      </c>
      <c r="M56" s="576"/>
      <c r="N56" s="968">
        <v>502860</v>
      </c>
      <c r="O56" s="162">
        <f t="shared" si="8"/>
        <v>0</v>
      </c>
      <c r="P56" s="81"/>
      <c r="Q56" s="81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2">
      <c r="A57" s="938">
        <v>42216</v>
      </c>
      <c r="B57" s="157" t="s">
        <v>550</v>
      </c>
      <c r="C57" s="158">
        <f t="shared" si="3"/>
        <v>1479</v>
      </c>
      <c r="D57" s="157" t="s">
        <v>550</v>
      </c>
      <c r="E57" s="159">
        <f t="shared" si="4"/>
        <v>340</v>
      </c>
      <c r="F57" s="265"/>
      <c r="G57" s="265"/>
      <c r="H57" s="157" t="s">
        <v>550</v>
      </c>
      <c r="I57" s="160">
        <f t="shared" si="5"/>
        <v>1496</v>
      </c>
      <c r="J57" s="161" t="s">
        <v>550</v>
      </c>
      <c r="K57" s="159">
        <v>0</v>
      </c>
      <c r="L57" s="162">
        <f t="shared" si="7"/>
        <v>502860</v>
      </c>
      <c r="M57" s="165"/>
      <c r="N57" s="968">
        <v>502860</v>
      </c>
      <c r="O57" s="162">
        <f t="shared" si="8"/>
        <v>0</v>
      </c>
      <c r="P57" s="81"/>
      <c r="Q57" s="81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2">
      <c r="A58" s="946">
        <v>42247</v>
      </c>
      <c r="B58" s="157" t="s">
        <v>550</v>
      </c>
      <c r="C58" s="158">
        <f t="shared" si="3"/>
        <v>1479</v>
      </c>
      <c r="D58" s="161" t="s">
        <v>550</v>
      </c>
      <c r="E58" s="159">
        <f t="shared" si="4"/>
        <v>340</v>
      </c>
      <c r="F58" s="265"/>
      <c r="G58" s="265"/>
      <c r="H58" s="157" t="s">
        <v>550</v>
      </c>
      <c r="I58" s="160">
        <f t="shared" si="5"/>
        <v>1496</v>
      </c>
      <c r="J58" s="161" t="s">
        <v>550</v>
      </c>
      <c r="K58" s="159">
        <v>0</v>
      </c>
      <c r="L58" s="162">
        <f t="shared" si="7"/>
        <v>502860</v>
      </c>
      <c r="M58" s="165"/>
      <c r="N58" s="968">
        <v>502860</v>
      </c>
      <c r="O58" s="162">
        <f t="shared" si="8"/>
        <v>0</v>
      </c>
      <c r="P58" s="81"/>
      <c r="Q58" s="81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2">
      <c r="A59" s="946">
        <v>42277</v>
      </c>
      <c r="B59" s="157" t="s">
        <v>550</v>
      </c>
      <c r="C59" s="158">
        <f>IF(B59="--",C58,C58*B59)</f>
        <v>1479</v>
      </c>
      <c r="D59" s="161" t="s">
        <v>550</v>
      </c>
      <c r="E59" s="159">
        <f t="shared" si="4"/>
        <v>340</v>
      </c>
      <c r="F59" s="265"/>
      <c r="G59" s="265"/>
      <c r="H59" s="157" t="s">
        <v>550</v>
      </c>
      <c r="I59" s="160">
        <f t="shared" si="5"/>
        <v>1450</v>
      </c>
      <c r="J59" s="161" t="s">
        <v>550</v>
      </c>
      <c r="K59" s="159">
        <v>0</v>
      </c>
      <c r="L59" s="162">
        <f t="shared" si="7"/>
        <v>502860</v>
      </c>
      <c r="M59" s="165"/>
      <c r="N59" s="968">
        <v>502860</v>
      </c>
      <c r="O59" s="162">
        <f t="shared" si="8"/>
        <v>0</v>
      </c>
      <c r="P59" s="81"/>
      <c r="Q59" s="81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2">
      <c r="A60" s="947">
        <v>42308</v>
      </c>
      <c r="B60" s="948"/>
      <c r="C60" s="158">
        <v>1479</v>
      </c>
      <c r="D60" s="949" t="s">
        <v>550</v>
      </c>
      <c r="E60" s="193">
        <f>IF(D60="--",E59,E59+D60)</f>
        <v>340</v>
      </c>
      <c r="F60" s="509"/>
      <c r="G60" s="510"/>
      <c r="H60" s="949" t="s">
        <v>550</v>
      </c>
      <c r="I60" s="950">
        <f>5*60+(DAY(A60)-5)*46</f>
        <v>1496</v>
      </c>
      <c r="J60" s="951" t="s">
        <v>550</v>
      </c>
      <c r="K60" s="510">
        <v>0</v>
      </c>
      <c r="L60" s="952">
        <f>(E60*C60)+(I60*K60)</f>
        <v>502860</v>
      </c>
      <c r="M60" s="165"/>
      <c r="N60" s="968">
        <v>502860</v>
      </c>
      <c r="O60" s="162">
        <f t="shared" si="8"/>
        <v>0</v>
      </c>
      <c r="P60" s="81"/>
      <c r="Q60" s="81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2">
      <c r="A61" s="945">
        <v>42338</v>
      </c>
      <c r="B61" s="157" t="s">
        <v>550</v>
      </c>
      <c r="C61" s="158">
        <v>1489</v>
      </c>
      <c r="D61" s="161" t="s">
        <v>550</v>
      </c>
      <c r="E61" s="265">
        <f>IF(D61="--",E60,E60+D61)</f>
        <v>340</v>
      </c>
      <c r="F61" s="164"/>
      <c r="G61" s="159"/>
      <c r="H61" s="161" t="s">
        <v>550</v>
      </c>
      <c r="I61" s="578">
        <f t="shared" si="5"/>
        <v>1450</v>
      </c>
      <c r="J61" s="157" t="s">
        <v>550</v>
      </c>
      <c r="K61" s="159">
        <v>0</v>
      </c>
      <c r="L61" s="256">
        <f>(E61*C61)+(I61*K61)</f>
        <v>506260</v>
      </c>
      <c r="M61" s="165"/>
      <c r="N61" s="970">
        <v>506260</v>
      </c>
      <c r="O61" s="162">
        <f t="shared" si="8"/>
        <v>0</v>
      </c>
      <c r="P61" s="81"/>
      <c r="Q61" s="8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2">
      <c r="A62" s="938">
        <v>42369</v>
      </c>
      <c r="B62" s="157" t="s">
        <v>550</v>
      </c>
      <c r="C62" s="158">
        <f t="shared" si="3"/>
        <v>1489</v>
      </c>
      <c r="D62" s="157" t="s">
        <v>550</v>
      </c>
      <c r="E62" s="159">
        <f>IF(D62="--",E61,E61+D62)</f>
        <v>340</v>
      </c>
      <c r="F62" s="265"/>
      <c r="G62" s="265"/>
      <c r="H62" s="157" t="s">
        <v>550</v>
      </c>
      <c r="I62" s="160">
        <f t="shared" si="5"/>
        <v>1496</v>
      </c>
      <c r="J62" s="161" t="s">
        <v>550</v>
      </c>
      <c r="K62" s="159">
        <v>0</v>
      </c>
      <c r="L62" s="162">
        <f>(E62*C62)+(I62*K62)</f>
        <v>506260</v>
      </c>
      <c r="M62" s="165"/>
      <c r="N62" s="970">
        <v>506260</v>
      </c>
      <c r="O62" s="162">
        <f t="shared" si="8"/>
        <v>0</v>
      </c>
      <c r="P62" s="81"/>
      <c r="Q62" s="81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2">
      <c r="A63" s="938">
        <v>42400</v>
      </c>
      <c r="B63" s="157" t="s">
        <v>550</v>
      </c>
      <c r="C63" s="158">
        <f t="shared" si="3"/>
        <v>1489</v>
      </c>
      <c r="D63" s="157" t="s">
        <v>550</v>
      </c>
      <c r="E63" s="159">
        <f>IF(D63="--",E62,E62+D63)</f>
        <v>340</v>
      </c>
      <c r="F63" s="265"/>
      <c r="G63" s="265"/>
      <c r="H63" s="157" t="s">
        <v>550</v>
      </c>
      <c r="I63" s="160">
        <f t="shared" si="5"/>
        <v>1496</v>
      </c>
      <c r="J63" s="161" t="s">
        <v>550</v>
      </c>
      <c r="K63" s="159">
        <v>0</v>
      </c>
      <c r="L63" s="162">
        <f>(E63*C63)+(I63*K63)</f>
        <v>506260</v>
      </c>
      <c r="M63" s="165"/>
      <c r="N63" s="970">
        <v>506260</v>
      </c>
      <c r="O63" s="162">
        <f t="shared" si="8"/>
        <v>0</v>
      </c>
      <c r="P63" s="81"/>
      <c r="Q63" s="81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2">
      <c r="A64" s="938">
        <v>42429</v>
      </c>
      <c r="B64" s="157" t="s">
        <v>550</v>
      </c>
      <c r="C64" s="158">
        <f t="shared" si="3"/>
        <v>1489</v>
      </c>
      <c r="D64" s="157" t="s">
        <v>550</v>
      </c>
      <c r="E64" s="159">
        <f t="shared" ref="E64:E83" si="9">IF(D64="--",E63,E63+D64)</f>
        <v>340</v>
      </c>
      <c r="F64" s="265"/>
      <c r="G64" s="265"/>
      <c r="H64" s="157" t="s">
        <v>550</v>
      </c>
      <c r="I64" s="160">
        <f t="shared" si="5"/>
        <v>1404</v>
      </c>
      <c r="J64" s="161" t="s">
        <v>550</v>
      </c>
      <c r="K64" s="159">
        <v>0</v>
      </c>
      <c r="L64" s="162">
        <f t="shared" si="7"/>
        <v>506260</v>
      </c>
      <c r="M64" s="165"/>
      <c r="N64" s="970">
        <v>506260</v>
      </c>
      <c r="O64" s="162">
        <f t="shared" ref="O64:O71" si="10">L64-N64</f>
        <v>0</v>
      </c>
      <c r="P64" s="81"/>
      <c r="Q64" s="81"/>
      <c r="R64"/>
      <c r="S64"/>
      <c r="T64"/>
      <c r="U64"/>
      <c r="V64"/>
      <c r="W64"/>
    </row>
    <row r="65" spans="1:23">
      <c r="A65" s="938">
        <v>42460</v>
      </c>
      <c r="B65" s="157" t="s">
        <v>550</v>
      </c>
      <c r="C65" s="158">
        <f t="shared" si="3"/>
        <v>1489</v>
      </c>
      <c r="D65" s="157" t="s">
        <v>550</v>
      </c>
      <c r="E65" s="159">
        <f t="shared" si="9"/>
        <v>340</v>
      </c>
      <c r="F65" s="265"/>
      <c r="G65" s="265"/>
      <c r="H65" s="157" t="s">
        <v>550</v>
      </c>
      <c r="I65" s="160">
        <f t="shared" si="5"/>
        <v>1496</v>
      </c>
      <c r="J65" s="161" t="s">
        <v>550</v>
      </c>
      <c r="K65" s="159">
        <v>0</v>
      </c>
      <c r="L65" s="162">
        <f t="shared" si="7"/>
        <v>506260</v>
      </c>
      <c r="M65" s="165"/>
      <c r="N65" s="970">
        <v>506260</v>
      </c>
      <c r="O65" s="162">
        <f t="shared" si="10"/>
        <v>0</v>
      </c>
      <c r="P65" s="81"/>
      <c r="Q65" s="81"/>
      <c r="R65"/>
      <c r="S65"/>
      <c r="T65"/>
      <c r="U65"/>
      <c r="V65"/>
      <c r="W65"/>
    </row>
    <row r="66" spans="1:23">
      <c r="A66" s="938">
        <v>42490</v>
      </c>
      <c r="B66" s="157" t="s">
        <v>550</v>
      </c>
      <c r="C66" s="158">
        <f t="shared" si="3"/>
        <v>1489</v>
      </c>
      <c r="D66" s="157" t="s">
        <v>550</v>
      </c>
      <c r="E66" s="159">
        <f t="shared" si="9"/>
        <v>340</v>
      </c>
      <c r="F66" s="265"/>
      <c r="G66" s="265"/>
      <c r="H66" s="157" t="s">
        <v>550</v>
      </c>
      <c r="I66" s="160">
        <f t="shared" si="5"/>
        <v>1450</v>
      </c>
      <c r="J66" s="161" t="s">
        <v>550</v>
      </c>
      <c r="K66" s="159">
        <v>0</v>
      </c>
      <c r="L66" s="162">
        <f t="shared" si="7"/>
        <v>506260</v>
      </c>
      <c r="M66" s="165"/>
      <c r="N66" s="970">
        <v>506260</v>
      </c>
      <c r="O66" s="162">
        <f t="shared" si="10"/>
        <v>0</v>
      </c>
    </row>
    <row r="67" spans="1:23">
      <c r="A67" s="938">
        <v>42521</v>
      </c>
      <c r="B67" s="157" t="s">
        <v>550</v>
      </c>
      <c r="C67" s="158">
        <f t="shared" si="3"/>
        <v>1489</v>
      </c>
      <c r="D67" s="157" t="s">
        <v>550</v>
      </c>
      <c r="E67" s="159">
        <f t="shared" si="9"/>
        <v>340</v>
      </c>
      <c r="F67" s="265"/>
      <c r="G67" s="265"/>
      <c r="H67" s="157" t="s">
        <v>550</v>
      </c>
      <c r="I67" s="160">
        <f t="shared" si="5"/>
        <v>1496</v>
      </c>
      <c r="J67" s="161" t="s">
        <v>550</v>
      </c>
      <c r="K67" s="159">
        <v>0</v>
      </c>
      <c r="L67" s="162">
        <f t="shared" si="7"/>
        <v>506260</v>
      </c>
      <c r="M67" s="165"/>
      <c r="N67" s="970">
        <v>506260</v>
      </c>
      <c r="O67" s="162">
        <f t="shared" si="10"/>
        <v>0</v>
      </c>
    </row>
    <row r="68" spans="1:23">
      <c r="A68" s="938">
        <v>42551</v>
      </c>
      <c r="B68" s="157" t="s">
        <v>550</v>
      </c>
      <c r="C68" s="158">
        <f t="shared" si="3"/>
        <v>1489</v>
      </c>
      <c r="D68" s="157" t="s">
        <v>550</v>
      </c>
      <c r="E68" s="159">
        <f t="shared" si="9"/>
        <v>340</v>
      </c>
      <c r="F68" s="265"/>
      <c r="G68" s="265"/>
      <c r="H68" s="157" t="s">
        <v>550</v>
      </c>
      <c r="I68" s="160">
        <f t="shared" si="5"/>
        <v>1450</v>
      </c>
      <c r="J68" s="161" t="s">
        <v>550</v>
      </c>
      <c r="K68" s="159">
        <v>0</v>
      </c>
      <c r="L68" s="162">
        <f t="shared" si="7"/>
        <v>506260</v>
      </c>
      <c r="M68" s="165"/>
      <c r="N68" s="970">
        <v>506260</v>
      </c>
      <c r="O68" s="162">
        <f t="shared" si="10"/>
        <v>0</v>
      </c>
    </row>
    <row r="69" spans="1:23">
      <c r="A69" s="938">
        <v>42582</v>
      </c>
      <c r="B69" s="157" t="s">
        <v>550</v>
      </c>
      <c r="C69" s="158">
        <f t="shared" si="3"/>
        <v>1489</v>
      </c>
      <c r="D69" s="157" t="s">
        <v>550</v>
      </c>
      <c r="E69" s="159">
        <f t="shared" si="9"/>
        <v>340</v>
      </c>
      <c r="F69" s="265"/>
      <c r="G69" s="265"/>
      <c r="H69" s="157" t="s">
        <v>550</v>
      </c>
      <c r="I69" s="160">
        <f t="shared" si="5"/>
        <v>1496</v>
      </c>
      <c r="J69" s="161" t="s">
        <v>550</v>
      </c>
      <c r="K69" s="159">
        <v>0</v>
      </c>
      <c r="L69" s="162">
        <f t="shared" si="7"/>
        <v>506260</v>
      </c>
      <c r="M69" s="165"/>
      <c r="N69" s="970">
        <v>506260</v>
      </c>
      <c r="O69" s="162">
        <f t="shared" si="10"/>
        <v>0</v>
      </c>
    </row>
    <row r="70" spans="1:23">
      <c r="A70" s="938">
        <v>42613</v>
      </c>
      <c r="B70" s="157" t="s">
        <v>550</v>
      </c>
      <c r="C70" s="158">
        <f t="shared" si="3"/>
        <v>1489</v>
      </c>
      <c r="D70" s="157" t="s">
        <v>550</v>
      </c>
      <c r="E70" s="159">
        <f t="shared" si="9"/>
        <v>340</v>
      </c>
      <c r="F70" s="265"/>
      <c r="G70" s="265"/>
      <c r="H70" s="157" t="s">
        <v>550</v>
      </c>
      <c r="I70" s="160">
        <f t="shared" si="5"/>
        <v>1496</v>
      </c>
      <c r="J70" s="161" t="s">
        <v>550</v>
      </c>
      <c r="K70" s="159">
        <v>0</v>
      </c>
      <c r="L70" s="162">
        <f t="shared" si="7"/>
        <v>506260</v>
      </c>
      <c r="M70" s="165"/>
      <c r="N70" s="970">
        <v>506260</v>
      </c>
      <c r="O70" s="162">
        <f t="shared" si="10"/>
        <v>0</v>
      </c>
    </row>
    <row r="71" spans="1:23">
      <c r="A71" s="938">
        <v>42643</v>
      </c>
      <c r="B71" s="157" t="s">
        <v>550</v>
      </c>
      <c r="C71" s="158">
        <f t="shared" si="3"/>
        <v>1489</v>
      </c>
      <c r="D71" s="157" t="s">
        <v>550</v>
      </c>
      <c r="E71" s="159">
        <f t="shared" si="9"/>
        <v>340</v>
      </c>
      <c r="F71" s="265"/>
      <c r="G71" s="265"/>
      <c r="H71" s="157" t="s">
        <v>550</v>
      </c>
      <c r="I71" s="160">
        <f t="shared" si="5"/>
        <v>1450</v>
      </c>
      <c r="J71" s="161" t="s">
        <v>550</v>
      </c>
      <c r="K71" s="159">
        <v>0</v>
      </c>
      <c r="L71" s="162">
        <f t="shared" si="7"/>
        <v>506260</v>
      </c>
      <c r="M71" s="165"/>
      <c r="N71" s="970">
        <v>506260</v>
      </c>
      <c r="O71" s="162">
        <f t="shared" si="10"/>
        <v>0</v>
      </c>
    </row>
    <row r="72" spans="1:23">
      <c r="A72" s="938">
        <v>42674</v>
      </c>
      <c r="B72" s="157" t="s">
        <v>550</v>
      </c>
      <c r="C72" s="158">
        <f t="shared" si="3"/>
        <v>1489</v>
      </c>
      <c r="D72" s="157" t="s">
        <v>550</v>
      </c>
      <c r="E72" s="159">
        <f t="shared" si="9"/>
        <v>340</v>
      </c>
      <c r="F72" s="265"/>
      <c r="G72" s="265"/>
      <c r="H72" s="157" t="s">
        <v>550</v>
      </c>
      <c r="I72" s="160">
        <f t="shared" si="5"/>
        <v>1496</v>
      </c>
      <c r="J72" s="161" t="s">
        <v>550</v>
      </c>
      <c r="K72" s="159">
        <v>0</v>
      </c>
      <c r="L72" s="162">
        <f>(E72*C72)+(I72*K72)</f>
        <v>506260</v>
      </c>
      <c r="M72" s="165"/>
      <c r="N72" s="962"/>
      <c r="O72" s="971"/>
    </row>
    <row r="73" spans="1:23">
      <c r="A73" s="938">
        <v>42704</v>
      </c>
      <c r="B73" s="157" t="s">
        <v>550</v>
      </c>
      <c r="C73" s="158">
        <f t="shared" si="3"/>
        <v>1489</v>
      </c>
      <c r="D73" s="157" t="s">
        <v>550</v>
      </c>
      <c r="E73" s="159">
        <f t="shared" si="9"/>
        <v>340</v>
      </c>
      <c r="F73" s="265"/>
      <c r="G73" s="265"/>
      <c r="H73" s="157" t="s">
        <v>550</v>
      </c>
      <c r="I73" s="160">
        <f t="shared" si="5"/>
        <v>1450</v>
      </c>
      <c r="J73" s="161" t="s">
        <v>550</v>
      </c>
      <c r="K73" s="159">
        <v>0</v>
      </c>
      <c r="L73" s="162">
        <f>(E73*C73)+(I73*K73)</f>
        <v>506260</v>
      </c>
      <c r="M73" s="165"/>
      <c r="N73" s="962"/>
      <c r="O73" s="971"/>
    </row>
    <row r="74" spans="1:23">
      <c r="A74" s="938">
        <v>42735</v>
      </c>
      <c r="B74" s="157" t="s">
        <v>550</v>
      </c>
      <c r="C74" s="158">
        <f t="shared" si="3"/>
        <v>1489</v>
      </c>
      <c r="D74" s="157" t="s">
        <v>550</v>
      </c>
      <c r="E74" s="159">
        <f t="shared" si="9"/>
        <v>340</v>
      </c>
      <c r="F74" s="265"/>
      <c r="G74" s="265"/>
      <c r="H74" s="157" t="s">
        <v>550</v>
      </c>
      <c r="I74" s="160">
        <f t="shared" si="5"/>
        <v>1496</v>
      </c>
      <c r="J74" s="161" t="s">
        <v>550</v>
      </c>
      <c r="K74" s="159">
        <v>0</v>
      </c>
      <c r="L74" s="162">
        <f>(E74*C74)+(I74*K74)</f>
        <v>506260</v>
      </c>
      <c r="M74" s="165"/>
      <c r="N74" s="962"/>
      <c r="O74" s="971"/>
    </row>
    <row r="75" spans="1:23">
      <c r="A75" s="938">
        <v>42766</v>
      </c>
      <c r="B75" s="157" t="s">
        <v>550</v>
      </c>
      <c r="C75" s="158">
        <f t="shared" si="3"/>
        <v>1489</v>
      </c>
      <c r="D75" s="157" t="s">
        <v>550</v>
      </c>
      <c r="E75" s="159">
        <f t="shared" si="9"/>
        <v>340</v>
      </c>
      <c r="F75" s="265"/>
      <c r="G75" s="265"/>
      <c r="H75" s="157" t="s">
        <v>550</v>
      </c>
      <c r="I75" s="160">
        <f t="shared" si="5"/>
        <v>1496</v>
      </c>
      <c r="J75" s="161" t="s">
        <v>550</v>
      </c>
      <c r="K75" s="159">
        <v>0</v>
      </c>
      <c r="L75" s="162">
        <f>(E75*C75)+(I75*K75)</f>
        <v>506260</v>
      </c>
      <c r="M75" s="165"/>
      <c r="N75" s="962"/>
      <c r="O75" s="971"/>
    </row>
    <row r="76" spans="1:23">
      <c r="A76" s="938">
        <v>42794</v>
      </c>
      <c r="B76" s="157" t="s">
        <v>550</v>
      </c>
      <c r="C76" s="158">
        <f t="shared" si="3"/>
        <v>1489</v>
      </c>
      <c r="D76" s="157" t="s">
        <v>550</v>
      </c>
      <c r="E76" s="159">
        <f t="shared" si="9"/>
        <v>340</v>
      </c>
      <c r="F76" s="265"/>
      <c r="G76" s="265"/>
      <c r="H76" s="157" t="s">
        <v>550</v>
      </c>
      <c r="I76" s="160">
        <f t="shared" si="5"/>
        <v>1358</v>
      </c>
      <c r="J76" s="161" t="s">
        <v>550</v>
      </c>
      <c r="K76" s="159">
        <v>0</v>
      </c>
      <c r="L76" s="162">
        <f t="shared" si="7"/>
        <v>506260</v>
      </c>
      <c r="M76" s="165"/>
      <c r="N76" s="962"/>
      <c r="O76" s="971"/>
      <c r="P76" s="235"/>
      <c r="Q76" s="156"/>
      <c r="W76" s="151"/>
    </row>
    <row r="77" spans="1:23">
      <c r="A77" s="938">
        <v>42825</v>
      </c>
      <c r="B77" s="157" t="s">
        <v>550</v>
      </c>
      <c r="C77" s="158">
        <f t="shared" si="3"/>
        <v>1489</v>
      </c>
      <c r="D77" s="157" t="s">
        <v>550</v>
      </c>
      <c r="E77" s="159">
        <f t="shared" si="9"/>
        <v>340</v>
      </c>
      <c r="F77" s="265"/>
      <c r="G77" s="265"/>
      <c r="H77" s="157" t="s">
        <v>550</v>
      </c>
      <c r="I77" s="160">
        <f t="shared" si="5"/>
        <v>1496</v>
      </c>
      <c r="J77" s="161" t="s">
        <v>550</v>
      </c>
      <c r="K77" s="159">
        <v>0</v>
      </c>
      <c r="L77" s="162">
        <f t="shared" si="7"/>
        <v>506260</v>
      </c>
      <c r="M77" s="165"/>
      <c r="N77" s="962"/>
      <c r="O77" s="971"/>
      <c r="P77" s="235"/>
      <c r="Q77" s="156"/>
      <c r="W77" s="151"/>
    </row>
    <row r="78" spans="1:23">
      <c r="A78" s="938">
        <v>42855</v>
      </c>
      <c r="B78" s="157" t="s">
        <v>550</v>
      </c>
      <c r="C78" s="158">
        <f t="shared" si="3"/>
        <v>1489</v>
      </c>
      <c r="D78" s="157" t="s">
        <v>550</v>
      </c>
      <c r="E78" s="159">
        <f t="shared" si="9"/>
        <v>340</v>
      </c>
      <c r="F78" s="265"/>
      <c r="G78" s="265"/>
      <c r="H78" s="157" t="s">
        <v>550</v>
      </c>
      <c r="I78" s="160">
        <f t="shared" si="5"/>
        <v>1450</v>
      </c>
      <c r="J78" s="161" t="s">
        <v>550</v>
      </c>
      <c r="K78" s="159">
        <v>0</v>
      </c>
      <c r="L78" s="162">
        <f t="shared" si="7"/>
        <v>506260</v>
      </c>
      <c r="M78" s="165"/>
      <c r="N78" s="962"/>
      <c r="O78" s="971"/>
      <c r="P78" s="235"/>
      <c r="Q78" s="156"/>
      <c r="W78" s="151"/>
    </row>
    <row r="79" spans="1:23">
      <c r="A79" s="938">
        <v>42886</v>
      </c>
      <c r="B79" s="157" t="s">
        <v>550</v>
      </c>
      <c r="C79" s="158">
        <f t="shared" si="3"/>
        <v>1489</v>
      </c>
      <c r="D79" s="157" t="s">
        <v>550</v>
      </c>
      <c r="E79" s="159">
        <f t="shared" si="9"/>
        <v>340</v>
      </c>
      <c r="F79" s="265"/>
      <c r="G79" s="265"/>
      <c r="H79" s="157" t="s">
        <v>550</v>
      </c>
      <c r="I79" s="160">
        <f t="shared" si="5"/>
        <v>1496</v>
      </c>
      <c r="J79" s="161" t="s">
        <v>550</v>
      </c>
      <c r="K79" s="159">
        <v>0</v>
      </c>
      <c r="L79" s="162">
        <f t="shared" si="7"/>
        <v>506260</v>
      </c>
      <c r="M79" s="165"/>
      <c r="N79" s="962"/>
      <c r="O79" s="971"/>
      <c r="P79" s="235"/>
      <c r="Q79" s="156"/>
      <c r="W79" s="151"/>
    </row>
    <row r="80" spans="1:23">
      <c r="A80" s="938">
        <v>42916</v>
      </c>
      <c r="B80" s="157" t="s">
        <v>550</v>
      </c>
      <c r="C80" s="158">
        <f t="shared" si="3"/>
        <v>1489</v>
      </c>
      <c r="D80" s="157" t="s">
        <v>550</v>
      </c>
      <c r="E80" s="159">
        <f t="shared" si="9"/>
        <v>340</v>
      </c>
      <c r="F80" s="265"/>
      <c r="G80" s="265"/>
      <c r="H80" s="157" t="s">
        <v>550</v>
      </c>
      <c r="I80" s="160">
        <f t="shared" si="5"/>
        <v>1450</v>
      </c>
      <c r="J80" s="161" t="s">
        <v>550</v>
      </c>
      <c r="K80" s="159">
        <v>0</v>
      </c>
      <c r="L80" s="162">
        <f t="shared" si="7"/>
        <v>506260</v>
      </c>
      <c r="M80" s="165"/>
      <c r="N80" s="962"/>
      <c r="O80" s="971"/>
      <c r="P80" s="235"/>
      <c r="Q80" s="156"/>
      <c r="W80" s="151"/>
    </row>
    <row r="81" spans="1:28">
      <c r="A81" s="938">
        <v>42947</v>
      </c>
      <c r="B81" s="157" t="s">
        <v>550</v>
      </c>
      <c r="C81" s="158">
        <f t="shared" si="3"/>
        <v>1489</v>
      </c>
      <c r="D81" s="157" t="s">
        <v>550</v>
      </c>
      <c r="E81" s="159">
        <f t="shared" si="9"/>
        <v>340</v>
      </c>
      <c r="F81" s="265"/>
      <c r="G81" s="265"/>
      <c r="H81" s="157" t="s">
        <v>550</v>
      </c>
      <c r="I81" s="160">
        <f t="shared" si="5"/>
        <v>1496</v>
      </c>
      <c r="J81" s="161" t="s">
        <v>550</v>
      </c>
      <c r="K81" s="159">
        <v>0</v>
      </c>
      <c r="L81" s="162">
        <f t="shared" si="7"/>
        <v>506260</v>
      </c>
      <c r="M81" s="165"/>
      <c r="N81" s="962"/>
      <c r="O81" s="971"/>
      <c r="P81" s="235"/>
      <c r="Q81" s="156"/>
      <c r="W81" s="151"/>
    </row>
    <row r="82" spans="1:28">
      <c r="A82" s="938">
        <v>42978</v>
      </c>
      <c r="B82" s="157" t="s">
        <v>550</v>
      </c>
      <c r="C82" s="158">
        <f t="shared" ref="C82:C145" si="11">IF(B82="--",C81,C81*B82)</f>
        <v>1489</v>
      </c>
      <c r="D82" s="157" t="s">
        <v>550</v>
      </c>
      <c r="E82" s="159">
        <f t="shared" si="9"/>
        <v>340</v>
      </c>
      <c r="F82" s="265"/>
      <c r="G82" s="265"/>
      <c r="H82" s="157" t="s">
        <v>550</v>
      </c>
      <c r="I82" s="160">
        <f t="shared" si="5"/>
        <v>1496</v>
      </c>
      <c r="J82" s="161" t="s">
        <v>550</v>
      </c>
      <c r="K82" s="159">
        <v>0</v>
      </c>
      <c r="L82" s="162">
        <f t="shared" si="7"/>
        <v>506260</v>
      </c>
      <c r="M82" s="165"/>
      <c r="N82" s="962"/>
      <c r="O82" s="971"/>
      <c r="P82" s="235"/>
      <c r="Q82" s="156"/>
      <c r="W82" s="151"/>
    </row>
    <row r="83" spans="1:28">
      <c r="A83" s="938">
        <v>43008</v>
      </c>
      <c r="B83" s="157" t="s">
        <v>550</v>
      </c>
      <c r="C83" s="158">
        <f t="shared" si="11"/>
        <v>1489</v>
      </c>
      <c r="D83" s="157" t="s">
        <v>550</v>
      </c>
      <c r="E83" s="159">
        <f t="shared" si="9"/>
        <v>340</v>
      </c>
      <c r="F83" s="265"/>
      <c r="G83" s="265"/>
      <c r="H83" s="157" t="s">
        <v>550</v>
      </c>
      <c r="I83" s="160">
        <f t="shared" si="5"/>
        <v>1450</v>
      </c>
      <c r="J83" s="161" t="s">
        <v>550</v>
      </c>
      <c r="K83" s="159">
        <v>0</v>
      </c>
      <c r="L83" s="162">
        <f t="shared" si="7"/>
        <v>506260</v>
      </c>
      <c r="M83" s="165"/>
      <c r="N83" s="962"/>
      <c r="O83" s="971"/>
      <c r="P83" s="235"/>
      <c r="Q83" s="156"/>
      <c r="W83" s="151"/>
    </row>
    <row r="84" spans="1:28" s="153" customFormat="1">
      <c r="A84" s="938">
        <v>43039</v>
      </c>
      <c r="B84" s="157" t="s">
        <v>550</v>
      </c>
      <c r="C84" s="953">
        <v>1471</v>
      </c>
      <c r="D84" s="157" t="s">
        <v>550</v>
      </c>
      <c r="E84" s="159">
        <f>IF(D84="--",E83,E83+D84)</f>
        <v>340</v>
      </c>
      <c r="F84" s="265"/>
      <c r="G84" s="265"/>
      <c r="H84" s="157" t="s">
        <v>550</v>
      </c>
      <c r="I84" s="160">
        <f t="shared" si="5"/>
        <v>1496</v>
      </c>
      <c r="J84" s="161" t="s">
        <v>550</v>
      </c>
      <c r="K84" s="159">
        <v>0</v>
      </c>
      <c r="L84" s="162">
        <f t="shared" si="7"/>
        <v>500140</v>
      </c>
      <c r="M84" s="165"/>
      <c r="N84" s="962"/>
      <c r="O84" s="971"/>
      <c r="P84" s="235"/>
      <c r="Q84" s="156"/>
      <c r="V84" s="312"/>
      <c r="W84" s="156"/>
    </row>
    <row r="85" spans="1:28">
      <c r="A85" s="938">
        <v>43069</v>
      </c>
      <c r="B85" s="157" t="s">
        <v>550</v>
      </c>
      <c r="C85" s="158">
        <f t="shared" si="11"/>
        <v>1471</v>
      </c>
      <c r="D85" s="157" t="s">
        <v>550</v>
      </c>
      <c r="E85" s="159">
        <f>IF(D85="--",E84,E84+D85)</f>
        <v>340</v>
      </c>
      <c r="F85" s="265"/>
      <c r="G85" s="265"/>
      <c r="H85" s="157" t="s">
        <v>550</v>
      </c>
      <c r="I85" s="160">
        <f t="shared" si="5"/>
        <v>1450</v>
      </c>
      <c r="J85" s="161" t="s">
        <v>550</v>
      </c>
      <c r="K85" s="159">
        <v>0</v>
      </c>
      <c r="L85" s="162">
        <f t="shared" si="7"/>
        <v>500140</v>
      </c>
      <c r="M85" s="165"/>
      <c r="N85" s="962"/>
      <c r="O85" s="971"/>
      <c r="P85" s="577"/>
      <c r="Q85" s="161"/>
      <c r="R85" s="264"/>
      <c r="S85" s="264"/>
      <c r="T85" s="264"/>
      <c r="U85" s="161"/>
      <c r="V85" s="578"/>
      <c r="W85" s="161"/>
      <c r="X85" s="265"/>
      <c r="Y85" s="579"/>
      <c r="Z85" s="169"/>
      <c r="AA85" s="169"/>
      <c r="AB85" s="169"/>
    </row>
    <row r="86" spans="1:28">
      <c r="A86" s="938">
        <v>43100</v>
      </c>
      <c r="B86" s="157" t="s">
        <v>550</v>
      </c>
      <c r="C86" s="158">
        <f t="shared" si="11"/>
        <v>1471</v>
      </c>
      <c r="D86" s="157" t="s">
        <v>550</v>
      </c>
      <c r="E86" s="159">
        <f>IF(D86="--",E85,E85+D86)</f>
        <v>340</v>
      </c>
      <c r="F86" s="265"/>
      <c r="G86" s="265"/>
      <c r="H86" s="157" t="s">
        <v>550</v>
      </c>
      <c r="I86" s="160">
        <f t="shared" si="5"/>
        <v>1496</v>
      </c>
      <c r="J86" s="161" t="s">
        <v>550</v>
      </c>
      <c r="K86" s="159">
        <v>0</v>
      </c>
      <c r="L86" s="162">
        <f t="shared" si="7"/>
        <v>500140</v>
      </c>
      <c r="M86" s="165"/>
      <c r="N86" s="962"/>
      <c r="O86" s="971"/>
      <c r="P86" s="235"/>
      <c r="Q86" s="156"/>
      <c r="W86" s="151"/>
    </row>
    <row r="87" spans="1:28">
      <c r="A87" s="938">
        <v>43131</v>
      </c>
      <c r="B87" s="157" t="s">
        <v>550</v>
      </c>
      <c r="C87" s="158">
        <f t="shared" si="11"/>
        <v>1471</v>
      </c>
      <c r="D87" s="157" t="s">
        <v>550</v>
      </c>
      <c r="E87" s="159">
        <f>IF(D87="--",E86,E86+D87)</f>
        <v>340</v>
      </c>
      <c r="F87" s="265"/>
      <c r="G87" s="265"/>
      <c r="H87" s="157" t="s">
        <v>550</v>
      </c>
      <c r="I87" s="160">
        <f t="shared" ref="I87:I150" si="12">5*60+(DAY(A87)-5)*46</f>
        <v>1496</v>
      </c>
      <c r="J87" s="161" t="s">
        <v>550</v>
      </c>
      <c r="K87" s="159">
        <v>0</v>
      </c>
      <c r="L87" s="162">
        <f t="shared" ref="L87:L150" si="13">E87*C87</f>
        <v>500140</v>
      </c>
      <c r="M87" s="165"/>
      <c r="N87" s="962"/>
      <c r="O87" s="971"/>
      <c r="P87" s="235"/>
      <c r="Q87" s="156"/>
      <c r="W87" s="151"/>
    </row>
    <row r="88" spans="1:28">
      <c r="A88" s="938">
        <v>43159</v>
      </c>
      <c r="B88" s="157" t="s">
        <v>550</v>
      </c>
      <c r="C88" s="158">
        <f t="shared" si="11"/>
        <v>1471</v>
      </c>
      <c r="D88" s="157" t="s">
        <v>550</v>
      </c>
      <c r="E88" s="159">
        <f>IF(D88="--",E87,E87+D88)</f>
        <v>340</v>
      </c>
      <c r="F88" s="265"/>
      <c r="G88" s="265"/>
      <c r="H88" s="157" t="s">
        <v>550</v>
      </c>
      <c r="I88" s="160">
        <f t="shared" si="12"/>
        <v>1358</v>
      </c>
      <c r="J88" s="161" t="s">
        <v>550</v>
      </c>
      <c r="K88" s="159">
        <v>0</v>
      </c>
      <c r="L88" s="162">
        <f t="shared" si="13"/>
        <v>500140</v>
      </c>
      <c r="M88" s="165"/>
      <c r="N88" s="962"/>
      <c r="O88" s="971"/>
      <c r="P88" s="235"/>
      <c r="Q88" s="156"/>
      <c r="W88" s="151"/>
    </row>
    <row r="89" spans="1:28">
      <c r="A89" s="938">
        <v>43190</v>
      </c>
      <c r="B89" s="157" t="s">
        <v>550</v>
      </c>
      <c r="C89" s="158">
        <f t="shared" si="11"/>
        <v>1471</v>
      </c>
      <c r="D89" s="157" t="s">
        <v>550</v>
      </c>
      <c r="E89" s="159">
        <f t="shared" ref="E89:E107" si="14">IF(D89="--",E88,E88+D89)</f>
        <v>340</v>
      </c>
      <c r="F89" s="265"/>
      <c r="G89" s="265"/>
      <c r="H89" s="157" t="s">
        <v>550</v>
      </c>
      <c r="I89" s="160">
        <f t="shared" si="12"/>
        <v>1496</v>
      </c>
      <c r="J89" s="161" t="s">
        <v>550</v>
      </c>
      <c r="K89" s="159">
        <v>0</v>
      </c>
      <c r="L89" s="162">
        <f t="shared" si="13"/>
        <v>500140</v>
      </c>
      <c r="M89" s="165"/>
      <c r="N89" s="962"/>
      <c r="O89" s="971"/>
      <c r="P89" s="235"/>
      <c r="Q89" s="156"/>
      <c r="W89" s="151"/>
    </row>
    <row r="90" spans="1:28">
      <c r="A90" s="938">
        <v>43220</v>
      </c>
      <c r="B90" s="157" t="s">
        <v>550</v>
      </c>
      <c r="C90" s="158">
        <f t="shared" si="11"/>
        <v>1471</v>
      </c>
      <c r="D90" s="157" t="s">
        <v>550</v>
      </c>
      <c r="E90" s="159">
        <f t="shared" si="14"/>
        <v>340</v>
      </c>
      <c r="F90" s="265"/>
      <c r="G90" s="265"/>
      <c r="H90" s="157" t="s">
        <v>550</v>
      </c>
      <c r="I90" s="160">
        <f t="shared" si="12"/>
        <v>1450</v>
      </c>
      <c r="J90" s="161" t="s">
        <v>550</v>
      </c>
      <c r="K90" s="159">
        <v>0</v>
      </c>
      <c r="L90" s="162">
        <f t="shared" si="13"/>
        <v>500140</v>
      </c>
      <c r="M90" s="165"/>
      <c r="N90" s="962"/>
      <c r="O90" s="971"/>
      <c r="P90" s="235"/>
      <c r="Q90" s="156"/>
      <c r="W90" s="151"/>
    </row>
    <row r="91" spans="1:28">
      <c r="A91" s="938">
        <v>43251</v>
      </c>
      <c r="B91" s="157" t="s">
        <v>550</v>
      </c>
      <c r="C91" s="158">
        <f t="shared" si="11"/>
        <v>1471</v>
      </c>
      <c r="D91" s="157" t="s">
        <v>550</v>
      </c>
      <c r="E91" s="159">
        <f t="shared" si="14"/>
        <v>340</v>
      </c>
      <c r="F91" s="265"/>
      <c r="G91" s="265"/>
      <c r="H91" s="157" t="s">
        <v>550</v>
      </c>
      <c r="I91" s="160">
        <f t="shared" si="12"/>
        <v>1496</v>
      </c>
      <c r="J91" s="161" t="s">
        <v>550</v>
      </c>
      <c r="K91" s="159">
        <v>0</v>
      </c>
      <c r="L91" s="162">
        <f t="shared" si="13"/>
        <v>500140</v>
      </c>
      <c r="M91" s="165"/>
      <c r="N91" s="962"/>
      <c r="O91" s="971"/>
      <c r="P91" s="235"/>
      <c r="Q91" s="156"/>
      <c r="W91" s="151"/>
    </row>
    <row r="92" spans="1:28" s="153" customFormat="1">
      <c r="A92" s="938">
        <v>43281</v>
      </c>
      <c r="B92" s="157" t="s">
        <v>550</v>
      </c>
      <c r="C92" s="158">
        <f t="shared" si="11"/>
        <v>1471</v>
      </c>
      <c r="D92" s="157" t="s">
        <v>550</v>
      </c>
      <c r="E92" s="159">
        <f t="shared" si="14"/>
        <v>340</v>
      </c>
      <c r="F92" s="265"/>
      <c r="G92" s="265"/>
      <c r="H92" s="157" t="s">
        <v>550</v>
      </c>
      <c r="I92" s="160">
        <f t="shared" si="12"/>
        <v>1450</v>
      </c>
      <c r="J92" s="161" t="s">
        <v>550</v>
      </c>
      <c r="K92" s="159">
        <v>0</v>
      </c>
      <c r="L92" s="162">
        <f t="shared" si="13"/>
        <v>500140</v>
      </c>
      <c r="M92" s="165"/>
      <c r="N92" s="962"/>
      <c r="O92" s="971"/>
      <c r="P92" s="235"/>
      <c r="Q92" s="156"/>
      <c r="V92" s="312"/>
      <c r="W92" s="156"/>
    </row>
    <row r="93" spans="1:28" s="153" customFormat="1">
      <c r="A93" s="938">
        <v>43312</v>
      </c>
      <c r="B93" s="157" t="s">
        <v>550</v>
      </c>
      <c r="C93" s="158">
        <f t="shared" si="11"/>
        <v>1471</v>
      </c>
      <c r="D93" s="157" t="s">
        <v>550</v>
      </c>
      <c r="E93" s="159">
        <f t="shared" si="14"/>
        <v>340</v>
      </c>
      <c r="F93" s="265"/>
      <c r="G93" s="265"/>
      <c r="H93" s="157" t="s">
        <v>550</v>
      </c>
      <c r="I93" s="160">
        <f t="shared" si="12"/>
        <v>1496</v>
      </c>
      <c r="J93" s="161" t="s">
        <v>550</v>
      </c>
      <c r="K93" s="159">
        <v>0</v>
      </c>
      <c r="L93" s="162">
        <f t="shared" si="13"/>
        <v>500140</v>
      </c>
      <c r="M93" s="165"/>
      <c r="N93" s="962"/>
      <c r="O93" s="971"/>
      <c r="P93" s="235"/>
      <c r="Q93" s="156"/>
      <c r="V93" s="312"/>
      <c r="W93" s="156"/>
    </row>
    <row r="94" spans="1:28" s="153" customFormat="1">
      <c r="A94" s="938">
        <v>43343</v>
      </c>
      <c r="B94" s="157" t="s">
        <v>550</v>
      </c>
      <c r="C94" s="158">
        <f t="shared" si="11"/>
        <v>1471</v>
      </c>
      <c r="D94" s="157" t="s">
        <v>550</v>
      </c>
      <c r="E94" s="159">
        <f t="shared" si="14"/>
        <v>340</v>
      </c>
      <c r="F94" s="265"/>
      <c r="G94" s="265"/>
      <c r="H94" s="157" t="s">
        <v>550</v>
      </c>
      <c r="I94" s="160">
        <f t="shared" si="12"/>
        <v>1496</v>
      </c>
      <c r="J94" s="161" t="s">
        <v>550</v>
      </c>
      <c r="K94" s="159">
        <v>0</v>
      </c>
      <c r="L94" s="162">
        <f t="shared" si="13"/>
        <v>500140</v>
      </c>
      <c r="M94" s="165"/>
      <c r="N94" s="962"/>
      <c r="O94" s="971"/>
      <c r="P94" s="235"/>
      <c r="Q94" s="156"/>
      <c r="V94" s="312"/>
      <c r="W94" s="156"/>
    </row>
    <row r="95" spans="1:28" s="153" customFormat="1">
      <c r="A95" s="938">
        <v>43373</v>
      </c>
      <c r="B95" s="157" t="s">
        <v>550</v>
      </c>
      <c r="C95" s="158">
        <f t="shared" si="11"/>
        <v>1471</v>
      </c>
      <c r="D95" s="157" t="s">
        <v>550</v>
      </c>
      <c r="E95" s="159">
        <f t="shared" si="14"/>
        <v>340</v>
      </c>
      <c r="F95" s="265"/>
      <c r="G95" s="265"/>
      <c r="H95" s="157" t="s">
        <v>550</v>
      </c>
      <c r="I95" s="160">
        <f t="shared" si="12"/>
        <v>1450</v>
      </c>
      <c r="J95" s="161" t="s">
        <v>550</v>
      </c>
      <c r="K95" s="159">
        <v>0</v>
      </c>
      <c r="L95" s="162">
        <f t="shared" si="13"/>
        <v>500140</v>
      </c>
      <c r="M95" s="165"/>
      <c r="N95" s="962"/>
      <c r="O95" s="971"/>
      <c r="P95" s="235"/>
      <c r="Q95" s="156"/>
      <c r="V95" s="312"/>
      <c r="W95" s="156"/>
    </row>
    <row r="96" spans="1:28" s="153" customFormat="1">
      <c r="A96" s="938">
        <v>43404</v>
      </c>
      <c r="B96" s="157" t="s">
        <v>550</v>
      </c>
      <c r="C96" s="158">
        <f t="shared" si="11"/>
        <v>1471</v>
      </c>
      <c r="D96" s="157" t="s">
        <v>550</v>
      </c>
      <c r="E96" s="159">
        <f t="shared" si="14"/>
        <v>340</v>
      </c>
      <c r="F96" s="265"/>
      <c r="G96" s="265"/>
      <c r="H96" s="157" t="s">
        <v>550</v>
      </c>
      <c r="I96" s="160">
        <f t="shared" si="12"/>
        <v>1496</v>
      </c>
      <c r="J96" s="161" t="s">
        <v>550</v>
      </c>
      <c r="K96" s="159">
        <v>0</v>
      </c>
      <c r="L96" s="162">
        <f t="shared" si="13"/>
        <v>500140</v>
      </c>
      <c r="M96" s="165"/>
      <c r="N96" s="962"/>
      <c r="O96" s="971"/>
      <c r="P96" s="235"/>
      <c r="Q96" s="156"/>
      <c r="V96" s="312"/>
      <c r="W96" s="156"/>
    </row>
    <row r="97" spans="1:23" s="153" customFormat="1">
      <c r="A97" s="938">
        <v>43434</v>
      </c>
      <c r="B97" s="157" t="s">
        <v>550</v>
      </c>
      <c r="C97" s="158">
        <f t="shared" si="11"/>
        <v>1471</v>
      </c>
      <c r="D97" s="157" t="s">
        <v>550</v>
      </c>
      <c r="E97" s="159">
        <f t="shared" si="14"/>
        <v>340</v>
      </c>
      <c r="F97" s="265"/>
      <c r="G97" s="265"/>
      <c r="H97" s="157" t="s">
        <v>550</v>
      </c>
      <c r="I97" s="160">
        <f t="shared" si="12"/>
        <v>1450</v>
      </c>
      <c r="J97" s="161" t="s">
        <v>550</v>
      </c>
      <c r="K97" s="159">
        <v>0</v>
      </c>
      <c r="L97" s="162">
        <f t="shared" si="13"/>
        <v>500140</v>
      </c>
      <c r="M97" s="165"/>
      <c r="N97" s="962"/>
      <c r="O97" s="971"/>
      <c r="P97" s="235"/>
      <c r="Q97" s="156"/>
      <c r="V97" s="312"/>
      <c r="W97" s="156"/>
    </row>
    <row r="98" spans="1:23" s="153" customFormat="1">
      <c r="A98" s="938">
        <v>43465</v>
      </c>
      <c r="B98" s="157" t="s">
        <v>550</v>
      </c>
      <c r="C98" s="158">
        <f t="shared" si="11"/>
        <v>1471</v>
      </c>
      <c r="D98" s="157" t="s">
        <v>550</v>
      </c>
      <c r="E98" s="159">
        <f t="shared" si="14"/>
        <v>340</v>
      </c>
      <c r="F98" s="265"/>
      <c r="G98" s="265"/>
      <c r="H98" s="157" t="s">
        <v>550</v>
      </c>
      <c r="I98" s="160">
        <f t="shared" si="12"/>
        <v>1496</v>
      </c>
      <c r="J98" s="161" t="s">
        <v>550</v>
      </c>
      <c r="K98" s="159">
        <v>0</v>
      </c>
      <c r="L98" s="162">
        <f t="shared" si="13"/>
        <v>500140</v>
      </c>
      <c r="M98" s="165"/>
      <c r="N98" s="962"/>
      <c r="O98" s="971"/>
      <c r="P98" s="235"/>
      <c r="Q98" s="156"/>
      <c r="V98" s="312"/>
      <c r="W98" s="156"/>
    </row>
    <row r="99" spans="1:23" s="153" customFormat="1">
      <c r="A99" s="938">
        <v>43496</v>
      </c>
      <c r="B99" s="157" t="s">
        <v>550</v>
      </c>
      <c r="C99" s="158">
        <f t="shared" si="11"/>
        <v>1471</v>
      </c>
      <c r="D99" s="157" t="s">
        <v>550</v>
      </c>
      <c r="E99" s="159">
        <f t="shared" si="14"/>
        <v>340</v>
      </c>
      <c r="F99" s="265"/>
      <c r="G99" s="265"/>
      <c r="H99" s="157" t="s">
        <v>550</v>
      </c>
      <c r="I99" s="160">
        <f t="shared" si="12"/>
        <v>1496</v>
      </c>
      <c r="J99" s="161" t="s">
        <v>550</v>
      </c>
      <c r="K99" s="159">
        <v>0</v>
      </c>
      <c r="L99" s="162">
        <f t="shared" si="13"/>
        <v>500140</v>
      </c>
      <c r="M99" s="165"/>
      <c r="N99" s="962"/>
      <c r="O99" s="971"/>
      <c r="P99" s="235"/>
      <c r="Q99" s="156"/>
      <c r="V99" s="312"/>
      <c r="W99" s="156"/>
    </row>
    <row r="100" spans="1:23" s="153" customFormat="1">
      <c r="A100" s="938">
        <v>43524</v>
      </c>
      <c r="B100" s="157" t="s">
        <v>550</v>
      </c>
      <c r="C100" s="158">
        <f t="shared" si="11"/>
        <v>1471</v>
      </c>
      <c r="D100" s="157" t="s">
        <v>550</v>
      </c>
      <c r="E100" s="159">
        <f t="shared" si="14"/>
        <v>340</v>
      </c>
      <c r="F100" s="265"/>
      <c r="G100" s="265"/>
      <c r="H100" s="157" t="s">
        <v>550</v>
      </c>
      <c r="I100" s="160">
        <f t="shared" si="12"/>
        <v>1358</v>
      </c>
      <c r="J100" s="161" t="s">
        <v>550</v>
      </c>
      <c r="K100" s="159">
        <v>0</v>
      </c>
      <c r="L100" s="162">
        <f t="shared" si="13"/>
        <v>500140</v>
      </c>
      <c r="M100" s="165"/>
      <c r="N100" s="962"/>
      <c r="O100" s="971"/>
      <c r="P100" s="235"/>
      <c r="Q100" s="156"/>
      <c r="V100" s="312"/>
      <c r="W100" s="156"/>
    </row>
    <row r="101" spans="1:23">
      <c r="A101" s="938">
        <v>43555</v>
      </c>
      <c r="B101" s="157" t="s">
        <v>550</v>
      </c>
      <c r="C101" s="158">
        <f t="shared" si="11"/>
        <v>1471</v>
      </c>
      <c r="D101" s="157" t="s">
        <v>550</v>
      </c>
      <c r="E101" s="159">
        <f t="shared" si="14"/>
        <v>340</v>
      </c>
      <c r="F101" s="265"/>
      <c r="G101" s="265"/>
      <c r="H101" s="157" t="s">
        <v>550</v>
      </c>
      <c r="I101" s="160">
        <f t="shared" si="12"/>
        <v>1496</v>
      </c>
      <c r="J101" s="161" t="s">
        <v>550</v>
      </c>
      <c r="K101" s="159">
        <v>0</v>
      </c>
      <c r="L101" s="162">
        <f t="shared" si="13"/>
        <v>500140</v>
      </c>
      <c r="M101" s="165"/>
      <c r="N101" s="962"/>
      <c r="O101" s="971"/>
      <c r="P101" s="235"/>
      <c r="Q101" s="156"/>
      <c r="W101" s="151"/>
    </row>
    <row r="102" spans="1:23">
      <c r="A102" s="938">
        <v>43585</v>
      </c>
      <c r="B102" s="157" t="s">
        <v>550</v>
      </c>
      <c r="C102" s="158">
        <f t="shared" si="11"/>
        <v>1471</v>
      </c>
      <c r="D102" s="157" t="s">
        <v>550</v>
      </c>
      <c r="E102" s="159">
        <f t="shared" si="14"/>
        <v>340</v>
      </c>
      <c r="F102" s="265"/>
      <c r="G102" s="265"/>
      <c r="H102" s="157" t="s">
        <v>550</v>
      </c>
      <c r="I102" s="160">
        <f t="shared" si="12"/>
        <v>1450</v>
      </c>
      <c r="J102" s="161" t="s">
        <v>550</v>
      </c>
      <c r="K102" s="159">
        <v>0</v>
      </c>
      <c r="L102" s="162">
        <f t="shared" si="13"/>
        <v>500140</v>
      </c>
      <c r="M102" s="165"/>
      <c r="N102" s="962"/>
      <c r="O102" s="971"/>
      <c r="P102" s="235"/>
      <c r="Q102" s="156"/>
      <c r="W102" s="151"/>
    </row>
    <row r="103" spans="1:23">
      <c r="A103" s="938">
        <v>43616</v>
      </c>
      <c r="B103" s="157" t="s">
        <v>550</v>
      </c>
      <c r="C103" s="158">
        <f t="shared" si="11"/>
        <v>1471</v>
      </c>
      <c r="D103" s="157" t="s">
        <v>550</v>
      </c>
      <c r="E103" s="159">
        <f t="shared" si="14"/>
        <v>340</v>
      </c>
      <c r="F103" s="265"/>
      <c r="G103" s="265"/>
      <c r="H103" s="157" t="s">
        <v>550</v>
      </c>
      <c r="I103" s="160">
        <f t="shared" si="12"/>
        <v>1496</v>
      </c>
      <c r="J103" s="161" t="s">
        <v>550</v>
      </c>
      <c r="K103" s="159">
        <v>0</v>
      </c>
      <c r="L103" s="162">
        <f t="shared" si="13"/>
        <v>500140</v>
      </c>
      <c r="M103" s="165"/>
      <c r="N103" s="962"/>
      <c r="O103" s="971"/>
      <c r="P103" s="235"/>
      <c r="Q103" s="156"/>
      <c r="W103" s="151"/>
    </row>
    <row r="104" spans="1:23">
      <c r="A104" s="938">
        <v>43646</v>
      </c>
      <c r="B104" s="157" t="s">
        <v>550</v>
      </c>
      <c r="C104" s="158">
        <f t="shared" si="11"/>
        <v>1471</v>
      </c>
      <c r="D104" s="157" t="s">
        <v>550</v>
      </c>
      <c r="E104" s="159">
        <f t="shared" si="14"/>
        <v>340</v>
      </c>
      <c r="F104" s="265"/>
      <c r="G104" s="265"/>
      <c r="H104" s="157" t="s">
        <v>550</v>
      </c>
      <c r="I104" s="160">
        <f t="shared" si="12"/>
        <v>1450</v>
      </c>
      <c r="J104" s="161" t="s">
        <v>550</v>
      </c>
      <c r="K104" s="159">
        <v>0</v>
      </c>
      <c r="L104" s="162">
        <f t="shared" si="13"/>
        <v>500140</v>
      </c>
      <c r="M104" s="165"/>
      <c r="N104" s="962"/>
      <c r="O104" s="971"/>
      <c r="P104" s="235"/>
      <c r="Q104" s="156"/>
      <c r="W104" s="151"/>
    </row>
    <row r="105" spans="1:23">
      <c r="A105" s="938">
        <v>43677</v>
      </c>
      <c r="B105" s="157" t="s">
        <v>550</v>
      </c>
      <c r="C105" s="158">
        <f t="shared" si="11"/>
        <v>1471</v>
      </c>
      <c r="D105" s="157" t="s">
        <v>550</v>
      </c>
      <c r="E105" s="159">
        <f t="shared" si="14"/>
        <v>340</v>
      </c>
      <c r="F105" s="265"/>
      <c r="G105" s="265"/>
      <c r="H105" s="157" t="s">
        <v>550</v>
      </c>
      <c r="I105" s="160">
        <f t="shared" si="12"/>
        <v>1496</v>
      </c>
      <c r="J105" s="161" t="s">
        <v>550</v>
      </c>
      <c r="K105" s="159">
        <v>0</v>
      </c>
      <c r="L105" s="162">
        <f t="shared" si="13"/>
        <v>500140</v>
      </c>
      <c r="M105" s="165"/>
      <c r="N105" s="962"/>
      <c r="O105" s="971"/>
      <c r="P105" s="235"/>
      <c r="Q105" s="156"/>
      <c r="W105" s="151"/>
    </row>
    <row r="106" spans="1:23">
      <c r="A106" s="938">
        <v>43708</v>
      </c>
      <c r="B106" s="157" t="s">
        <v>550</v>
      </c>
      <c r="C106" s="158">
        <f t="shared" si="11"/>
        <v>1471</v>
      </c>
      <c r="D106" s="157" t="s">
        <v>550</v>
      </c>
      <c r="E106" s="159">
        <f t="shared" si="14"/>
        <v>340</v>
      </c>
      <c r="F106" s="265"/>
      <c r="G106" s="265"/>
      <c r="H106" s="157" t="s">
        <v>550</v>
      </c>
      <c r="I106" s="160">
        <f t="shared" si="12"/>
        <v>1496</v>
      </c>
      <c r="J106" s="161" t="s">
        <v>550</v>
      </c>
      <c r="K106" s="159">
        <v>0</v>
      </c>
      <c r="L106" s="162">
        <f t="shared" si="13"/>
        <v>500140</v>
      </c>
      <c r="M106" s="165"/>
      <c r="N106" s="962"/>
      <c r="O106" s="971"/>
      <c r="P106" s="235"/>
      <c r="Q106" s="156"/>
      <c r="W106" s="151"/>
    </row>
    <row r="107" spans="1:23">
      <c r="A107" s="938">
        <v>43738</v>
      </c>
      <c r="B107" s="157" t="s">
        <v>550</v>
      </c>
      <c r="C107" s="158">
        <f t="shared" si="11"/>
        <v>1471</v>
      </c>
      <c r="D107" s="157" t="s">
        <v>550</v>
      </c>
      <c r="E107" s="159">
        <f t="shared" si="14"/>
        <v>340</v>
      </c>
      <c r="F107" s="265"/>
      <c r="G107" s="265"/>
      <c r="H107" s="157" t="s">
        <v>550</v>
      </c>
      <c r="I107" s="160">
        <f t="shared" si="12"/>
        <v>1450</v>
      </c>
      <c r="J107" s="161" t="s">
        <v>550</v>
      </c>
      <c r="K107" s="159">
        <v>0</v>
      </c>
      <c r="L107" s="162">
        <f t="shared" si="13"/>
        <v>500140</v>
      </c>
      <c r="M107" s="165"/>
      <c r="N107" s="962"/>
      <c r="O107" s="971"/>
      <c r="P107" s="235"/>
      <c r="Q107" s="156"/>
      <c r="W107" s="151"/>
    </row>
    <row r="108" spans="1:23">
      <c r="A108" s="938">
        <v>43769</v>
      </c>
      <c r="B108" s="954">
        <v>1.0618000000000001</v>
      </c>
      <c r="C108" s="158">
        <f>IF(B108="--",C107,C107*B108)</f>
        <v>1561.9078000000002</v>
      </c>
      <c r="D108" s="157" t="s">
        <v>550</v>
      </c>
      <c r="E108" s="159">
        <f>IF(D108="--",E107,E107+D108)</f>
        <v>340</v>
      </c>
      <c r="F108" s="265"/>
      <c r="G108" s="265"/>
      <c r="H108" s="157" t="s">
        <v>550</v>
      </c>
      <c r="I108" s="160">
        <f t="shared" si="12"/>
        <v>1496</v>
      </c>
      <c r="J108" s="161" t="s">
        <v>550</v>
      </c>
      <c r="K108" s="159">
        <v>0</v>
      </c>
      <c r="L108" s="162">
        <f t="shared" si="13"/>
        <v>531048.65200000012</v>
      </c>
      <c r="M108" s="165"/>
      <c r="N108" s="962"/>
      <c r="O108" s="971"/>
      <c r="P108" s="235"/>
      <c r="Q108" s="156"/>
      <c r="W108" s="151"/>
    </row>
    <row r="109" spans="1:23">
      <c r="A109" s="938">
        <v>43799</v>
      </c>
      <c r="B109" s="157" t="s">
        <v>550</v>
      </c>
      <c r="C109" s="158">
        <f t="shared" si="11"/>
        <v>1561.9078000000002</v>
      </c>
      <c r="D109" s="157" t="s">
        <v>550</v>
      </c>
      <c r="E109" s="159">
        <f>IF(D109="--",E108,E108+D109)</f>
        <v>340</v>
      </c>
      <c r="F109" s="265"/>
      <c r="G109" s="265"/>
      <c r="H109" s="157" t="s">
        <v>550</v>
      </c>
      <c r="I109" s="160">
        <f t="shared" si="12"/>
        <v>1450</v>
      </c>
      <c r="J109" s="161" t="s">
        <v>550</v>
      </c>
      <c r="K109" s="159">
        <v>0</v>
      </c>
      <c r="L109" s="162">
        <f t="shared" si="13"/>
        <v>531048.65200000012</v>
      </c>
      <c r="M109" s="165"/>
      <c r="N109" s="962"/>
      <c r="O109" s="971"/>
      <c r="P109" s="235"/>
      <c r="Q109" s="156"/>
      <c r="W109" s="151"/>
    </row>
    <row r="110" spans="1:23">
      <c r="A110" s="938">
        <v>43830</v>
      </c>
      <c r="B110" s="157" t="s">
        <v>550</v>
      </c>
      <c r="C110" s="158">
        <f t="shared" si="11"/>
        <v>1561.9078000000002</v>
      </c>
      <c r="D110" s="157" t="s">
        <v>550</v>
      </c>
      <c r="E110" s="159">
        <f>IF(D110="--",E109,E109+D110)</f>
        <v>340</v>
      </c>
      <c r="F110" s="265"/>
      <c r="G110" s="265"/>
      <c r="H110" s="157" t="s">
        <v>550</v>
      </c>
      <c r="I110" s="160">
        <f t="shared" si="12"/>
        <v>1496</v>
      </c>
      <c r="J110" s="161" t="s">
        <v>550</v>
      </c>
      <c r="K110" s="159">
        <v>0</v>
      </c>
      <c r="L110" s="162">
        <f>E110*C110</f>
        <v>531048.65200000012</v>
      </c>
      <c r="M110" s="165"/>
      <c r="N110" s="962"/>
      <c r="O110" s="971"/>
      <c r="P110" s="235"/>
      <c r="Q110" s="156"/>
      <c r="W110" s="151"/>
    </row>
    <row r="111" spans="1:23">
      <c r="A111" s="938">
        <v>43861</v>
      </c>
      <c r="B111" s="157" t="s">
        <v>550</v>
      </c>
      <c r="C111" s="158">
        <f t="shared" si="11"/>
        <v>1561.9078000000002</v>
      </c>
      <c r="D111" s="157" t="s">
        <v>550</v>
      </c>
      <c r="E111" s="159">
        <f t="shared" ref="E111:E166" si="15">IF(D111="--",E110,E110+D111)</f>
        <v>340</v>
      </c>
      <c r="F111" s="265"/>
      <c r="G111" s="265"/>
      <c r="H111" s="157" t="s">
        <v>550</v>
      </c>
      <c r="I111" s="160">
        <f t="shared" si="12"/>
        <v>1496</v>
      </c>
      <c r="J111" s="161" t="s">
        <v>550</v>
      </c>
      <c r="K111" s="159">
        <v>0</v>
      </c>
      <c r="L111" s="162">
        <f t="shared" si="13"/>
        <v>531048.65200000012</v>
      </c>
      <c r="M111" s="165"/>
      <c r="N111" s="962"/>
      <c r="O111" s="971"/>
      <c r="P111" s="235"/>
      <c r="Q111" s="156"/>
      <c r="W111" s="151"/>
    </row>
    <row r="112" spans="1:23">
      <c r="A112" s="938">
        <v>43890</v>
      </c>
      <c r="B112" s="157" t="s">
        <v>550</v>
      </c>
      <c r="C112" s="158">
        <f t="shared" si="11"/>
        <v>1561.9078000000002</v>
      </c>
      <c r="D112" s="157" t="s">
        <v>550</v>
      </c>
      <c r="E112" s="159">
        <f t="shared" si="15"/>
        <v>340</v>
      </c>
      <c r="F112" s="265"/>
      <c r="G112" s="265"/>
      <c r="H112" s="157" t="s">
        <v>550</v>
      </c>
      <c r="I112" s="160">
        <f t="shared" si="12"/>
        <v>1404</v>
      </c>
      <c r="J112" s="161" t="s">
        <v>550</v>
      </c>
      <c r="K112" s="159">
        <v>0</v>
      </c>
      <c r="L112" s="162">
        <f t="shared" si="13"/>
        <v>531048.65200000012</v>
      </c>
      <c r="M112" s="165"/>
      <c r="N112" s="962"/>
      <c r="O112" s="971"/>
      <c r="P112" s="235"/>
      <c r="Q112" s="156"/>
      <c r="W112" s="151"/>
    </row>
    <row r="113" spans="1:23">
      <c r="A113" s="938">
        <v>43921</v>
      </c>
      <c r="B113" s="157" t="s">
        <v>550</v>
      </c>
      <c r="C113" s="158">
        <f t="shared" si="11"/>
        <v>1561.9078000000002</v>
      </c>
      <c r="D113" s="157" t="s">
        <v>550</v>
      </c>
      <c r="E113" s="159">
        <f t="shared" si="15"/>
        <v>340</v>
      </c>
      <c r="F113" s="265"/>
      <c r="G113" s="265"/>
      <c r="H113" s="157" t="s">
        <v>550</v>
      </c>
      <c r="I113" s="160">
        <f t="shared" si="12"/>
        <v>1496</v>
      </c>
      <c r="J113" s="161" t="s">
        <v>550</v>
      </c>
      <c r="K113" s="159">
        <v>0</v>
      </c>
      <c r="L113" s="162">
        <f t="shared" si="13"/>
        <v>531048.65200000012</v>
      </c>
      <c r="M113" s="165"/>
      <c r="N113" s="962"/>
      <c r="O113" s="971"/>
      <c r="P113" s="235"/>
      <c r="Q113" s="156"/>
      <c r="W113" s="151"/>
    </row>
    <row r="114" spans="1:23">
      <c r="A114" s="938">
        <v>43951</v>
      </c>
      <c r="B114" s="157" t="s">
        <v>550</v>
      </c>
      <c r="C114" s="158">
        <f t="shared" si="11"/>
        <v>1561.9078000000002</v>
      </c>
      <c r="D114" s="157" t="s">
        <v>550</v>
      </c>
      <c r="E114" s="159">
        <f t="shared" si="15"/>
        <v>340</v>
      </c>
      <c r="F114" s="265"/>
      <c r="G114" s="265"/>
      <c r="H114" s="157" t="s">
        <v>550</v>
      </c>
      <c r="I114" s="160">
        <f t="shared" si="12"/>
        <v>1450</v>
      </c>
      <c r="J114" s="161" t="s">
        <v>550</v>
      </c>
      <c r="K114" s="159">
        <v>0</v>
      </c>
      <c r="L114" s="162">
        <f t="shared" si="13"/>
        <v>531048.65200000012</v>
      </c>
      <c r="M114" s="165"/>
      <c r="N114" s="962"/>
      <c r="O114" s="971"/>
      <c r="P114" s="235"/>
      <c r="Q114" s="156"/>
      <c r="W114" s="151"/>
    </row>
    <row r="115" spans="1:23">
      <c r="A115" s="938">
        <v>43982</v>
      </c>
      <c r="B115" s="157" t="s">
        <v>550</v>
      </c>
      <c r="C115" s="158">
        <f t="shared" si="11"/>
        <v>1561.9078000000002</v>
      </c>
      <c r="D115" s="157" t="s">
        <v>550</v>
      </c>
      <c r="E115" s="159">
        <f t="shared" si="15"/>
        <v>340</v>
      </c>
      <c r="F115" s="265"/>
      <c r="G115" s="265"/>
      <c r="H115" s="157" t="s">
        <v>550</v>
      </c>
      <c r="I115" s="160">
        <f t="shared" si="12"/>
        <v>1496</v>
      </c>
      <c r="J115" s="161" t="s">
        <v>550</v>
      </c>
      <c r="K115" s="159">
        <v>0</v>
      </c>
      <c r="L115" s="162">
        <f t="shared" si="13"/>
        <v>531048.65200000012</v>
      </c>
      <c r="M115" s="165"/>
      <c r="N115" s="962"/>
      <c r="O115" s="971"/>
      <c r="P115" s="235"/>
      <c r="Q115" s="156"/>
      <c r="W115" s="151"/>
    </row>
    <row r="116" spans="1:23">
      <c r="A116" s="938">
        <v>44012</v>
      </c>
      <c r="B116" s="157" t="s">
        <v>550</v>
      </c>
      <c r="C116" s="158">
        <f t="shared" si="11"/>
        <v>1561.9078000000002</v>
      </c>
      <c r="D116" s="157" t="s">
        <v>550</v>
      </c>
      <c r="E116" s="159">
        <f t="shared" si="15"/>
        <v>340</v>
      </c>
      <c r="F116" s="265"/>
      <c r="G116" s="265"/>
      <c r="H116" s="157" t="s">
        <v>550</v>
      </c>
      <c r="I116" s="160">
        <f t="shared" si="12"/>
        <v>1450</v>
      </c>
      <c r="J116" s="161" t="s">
        <v>550</v>
      </c>
      <c r="K116" s="159">
        <v>0</v>
      </c>
      <c r="L116" s="162">
        <f t="shared" si="13"/>
        <v>531048.65200000012</v>
      </c>
      <c r="M116" s="165"/>
      <c r="N116" s="962"/>
      <c r="O116" s="971"/>
      <c r="P116" s="235"/>
      <c r="Q116" s="156"/>
      <c r="W116" s="151"/>
    </row>
    <row r="117" spans="1:23">
      <c r="A117" s="938">
        <v>44043</v>
      </c>
      <c r="B117" s="157" t="s">
        <v>550</v>
      </c>
      <c r="C117" s="158">
        <f t="shared" si="11"/>
        <v>1561.9078000000002</v>
      </c>
      <c r="D117" s="157" t="s">
        <v>550</v>
      </c>
      <c r="E117" s="159">
        <f t="shared" si="15"/>
        <v>340</v>
      </c>
      <c r="F117" s="265"/>
      <c r="G117" s="265"/>
      <c r="H117" s="157" t="s">
        <v>550</v>
      </c>
      <c r="I117" s="160">
        <f t="shared" si="12"/>
        <v>1496</v>
      </c>
      <c r="J117" s="161" t="s">
        <v>550</v>
      </c>
      <c r="K117" s="159">
        <v>0</v>
      </c>
      <c r="L117" s="162">
        <f t="shared" si="13"/>
        <v>531048.65200000012</v>
      </c>
      <c r="M117" s="165"/>
      <c r="N117" s="962"/>
      <c r="O117" s="971"/>
      <c r="P117" s="235"/>
      <c r="Q117" s="156"/>
      <c r="W117" s="151"/>
    </row>
    <row r="118" spans="1:23">
      <c r="A118" s="938">
        <v>44074</v>
      </c>
      <c r="B118" s="157" t="s">
        <v>550</v>
      </c>
      <c r="C118" s="158">
        <f t="shared" si="11"/>
        <v>1561.9078000000002</v>
      </c>
      <c r="D118" s="157" t="s">
        <v>550</v>
      </c>
      <c r="E118" s="159">
        <f t="shared" si="15"/>
        <v>340</v>
      </c>
      <c r="F118" s="265"/>
      <c r="G118" s="265"/>
      <c r="H118" s="157" t="s">
        <v>550</v>
      </c>
      <c r="I118" s="160">
        <f t="shared" si="12"/>
        <v>1496</v>
      </c>
      <c r="J118" s="161" t="s">
        <v>550</v>
      </c>
      <c r="K118" s="159">
        <v>0</v>
      </c>
      <c r="L118" s="162">
        <f t="shared" si="13"/>
        <v>531048.65200000012</v>
      </c>
      <c r="M118" s="165"/>
      <c r="N118" s="962"/>
      <c r="O118" s="971"/>
      <c r="P118" s="235"/>
      <c r="Q118" s="156"/>
      <c r="W118" s="151"/>
    </row>
    <row r="119" spans="1:23">
      <c r="A119" s="938">
        <v>44104</v>
      </c>
      <c r="B119" s="157" t="s">
        <v>550</v>
      </c>
      <c r="C119" s="158">
        <f t="shared" si="11"/>
        <v>1561.9078000000002</v>
      </c>
      <c r="D119" s="157" t="s">
        <v>550</v>
      </c>
      <c r="E119" s="159">
        <f t="shared" si="15"/>
        <v>340</v>
      </c>
      <c r="F119" s="265"/>
      <c r="G119" s="265"/>
      <c r="H119" s="157" t="s">
        <v>550</v>
      </c>
      <c r="I119" s="160">
        <f t="shared" si="12"/>
        <v>1450</v>
      </c>
      <c r="J119" s="161" t="s">
        <v>550</v>
      </c>
      <c r="K119" s="159">
        <v>0</v>
      </c>
      <c r="L119" s="162">
        <f t="shared" si="13"/>
        <v>531048.65200000012</v>
      </c>
      <c r="M119" s="165"/>
      <c r="N119" s="962"/>
      <c r="O119" s="971"/>
      <c r="P119" s="235"/>
      <c r="Q119" s="156"/>
      <c r="W119" s="151"/>
    </row>
    <row r="120" spans="1:23">
      <c r="A120" s="938">
        <v>44135</v>
      </c>
      <c r="B120" s="157" t="s">
        <v>550</v>
      </c>
      <c r="C120" s="158">
        <f t="shared" si="11"/>
        <v>1561.9078000000002</v>
      </c>
      <c r="D120" s="157" t="s">
        <v>550</v>
      </c>
      <c r="E120" s="159">
        <f t="shared" si="15"/>
        <v>340</v>
      </c>
      <c r="F120" s="265"/>
      <c r="G120" s="265"/>
      <c r="H120" s="157" t="s">
        <v>550</v>
      </c>
      <c r="I120" s="160">
        <f t="shared" si="12"/>
        <v>1496</v>
      </c>
      <c r="J120" s="161" t="s">
        <v>550</v>
      </c>
      <c r="K120" s="159">
        <v>0</v>
      </c>
      <c r="L120" s="162">
        <f t="shared" si="13"/>
        <v>531048.65200000012</v>
      </c>
      <c r="M120" s="165"/>
      <c r="N120" s="962"/>
      <c r="O120" s="971"/>
      <c r="P120" s="235"/>
      <c r="Q120" s="156"/>
      <c r="W120" s="151"/>
    </row>
    <row r="121" spans="1:23">
      <c r="A121" s="938">
        <v>44165</v>
      </c>
      <c r="B121" s="157" t="s">
        <v>550</v>
      </c>
      <c r="C121" s="158">
        <f t="shared" si="11"/>
        <v>1561.9078000000002</v>
      </c>
      <c r="D121" s="157" t="s">
        <v>550</v>
      </c>
      <c r="E121" s="159">
        <f t="shared" si="15"/>
        <v>340</v>
      </c>
      <c r="F121" s="265"/>
      <c r="G121" s="265"/>
      <c r="H121" s="157" t="s">
        <v>550</v>
      </c>
      <c r="I121" s="160">
        <f t="shared" si="12"/>
        <v>1450</v>
      </c>
      <c r="J121" s="161" t="s">
        <v>550</v>
      </c>
      <c r="K121" s="159">
        <v>0</v>
      </c>
      <c r="L121" s="162">
        <f t="shared" si="13"/>
        <v>531048.65200000012</v>
      </c>
      <c r="M121" s="165"/>
      <c r="N121" s="962"/>
      <c r="O121" s="971"/>
      <c r="P121" s="235"/>
      <c r="Q121" s="156"/>
      <c r="W121" s="151"/>
    </row>
    <row r="122" spans="1:23">
      <c r="A122" s="938">
        <v>44196</v>
      </c>
      <c r="B122" s="157" t="s">
        <v>550</v>
      </c>
      <c r="C122" s="158">
        <f t="shared" si="11"/>
        <v>1561.9078000000002</v>
      </c>
      <c r="D122" s="157" t="s">
        <v>550</v>
      </c>
      <c r="E122" s="159">
        <f t="shared" si="15"/>
        <v>340</v>
      </c>
      <c r="F122" s="265"/>
      <c r="G122" s="265"/>
      <c r="H122" s="157" t="s">
        <v>550</v>
      </c>
      <c r="I122" s="160">
        <f t="shared" si="12"/>
        <v>1496</v>
      </c>
      <c r="J122" s="161" t="s">
        <v>550</v>
      </c>
      <c r="K122" s="159">
        <v>0</v>
      </c>
      <c r="L122" s="162">
        <f t="shared" si="13"/>
        <v>531048.65200000012</v>
      </c>
      <c r="M122" s="165"/>
      <c r="N122" s="962"/>
      <c r="O122" s="971"/>
      <c r="P122" s="235"/>
      <c r="Q122" s="156"/>
      <c r="W122" s="151"/>
    </row>
    <row r="123" spans="1:23">
      <c r="A123" s="938">
        <v>44227</v>
      </c>
      <c r="B123" s="157" t="s">
        <v>550</v>
      </c>
      <c r="C123" s="158">
        <f t="shared" si="11"/>
        <v>1561.9078000000002</v>
      </c>
      <c r="D123" s="157" t="s">
        <v>550</v>
      </c>
      <c r="E123" s="159">
        <f t="shared" si="15"/>
        <v>340</v>
      </c>
      <c r="F123" s="265"/>
      <c r="G123" s="265"/>
      <c r="H123" s="157" t="s">
        <v>550</v>
      </c>
      <c r="I123" s="160">
        <f t="shared" si="12"/>
        <v>1496</v>
      </c>
      <c r="J123" s="161" t="s">
        <v>550</v>
      </c>
      <c r="K123" s="159">
        <v>0</v>
      </c>
      <c r="L123" s="162">
        <f t="shared" si="13"/>
        <v>531048.65200000012</v>
      </c>
      <c r="M123" s="165"/>
      <c r="N123" s="962"/>
      <c r="O123" s="971"/>
      <c r="P123" s="235"/>
      <c r="Q123" s="156"/>
      <c r="W123" s="151"/>
    </row>
    <row r="124" spans="1:23">
      <c r="A124" s="938">
        <v>44255</v>
      </c>
      <c r="B124" s="157" t="s">
        <v>550</v>
      </c>
      <c r="C124" s="158">
        <f t="shared" si="11"/>
        <v>1561.9078000000002</v>
      </c>
      <c r="D124" s="157" t="s">
        <v>550</v>
      </c>
      <c r="E124" s="159">
        <f t="shared" si="15"/>
        <v>340</v>
      </c>
      <c r="F124" s="265"/>
      <c r="G124" s="265"/>
      <c r="H124" s="157" t="s">
        <v>550</v>
      </c>
      <c r="I124" s="160">
        <f t="shared" si="12"/>
        <v>1358</v>
      </c>
      <c r="J124" s="161" t="s">
        <v>550</v>
      </c>
      <c r="K124" s="159">
        <v>0</v>
      </c>
      <c r="L124" s="162">
        <f t="shared" si="13"/>
        <v>531048.65200000012</v>
      </c>
      <c r="M124" s="165"/>
      <c r="N124" s="962"/>
      <c r="O124" s="971"/>
      <c r="P124" s="235"/>
      <c r="Q124" s="156"/>
      <c r="W124" s="151"/>
    </row>
    <row r="125" spans="1:23">
      <c r="A125" s="938">
        <v>44286</v>
      </c>
      <c r="B125" s="157" t="s">
        <v>550</v>
      </c>
      <c r="C125" s="158">
        <f t="shared" si="11"/>
        <v>1561.9078000000002</v>
      </c>
      <c r="D125" s="157" t="s">
        <v>550</v>
      </c>
      <c r="E125" s="159">
        <f t="shared" si="15"/>
        <v>340</v>
      </c>
      <c r="F125" s="265"/>
      <c r="G125" s="265"/>
      <c r="H125" s="157" t="s">
        <v>550</v>
      </c>
      <c r="I125" s="160">
        <f t="shared" si="12"/>
        <v>1496</v>
      </c>
      <c r="J125" s="161" t="s">
        <v>550</v>
      </c>
      <c r="K125" s="159">
        <v>0</v>
      </c>
      <c r="L125" s="162">
        <f t="shared" si="13"/>
        <v>531048.65200000012</v>
      </c>
      <c r="M125" s="165"/>
      <c r="N125" s="962"/>
      <c r="O125" s="971"/>
      <c r="P125" s="235"/>
      <c r="Q125" s="156"/>
      <c r="W125" s="151"/>
    </row>
    <row r="126" spans="1:23">
      <c r="A126" s="938">
        <v>44316</v>
      </c>
      <c r="B126" s="157" t="s">
        <v>550</v>
      </c>
      <c r="C126" s="158">
        <f t="shared" si="11"/>
        <v>1561.9078000000002</v>
      </c>
      <c r="D126" s="157" t="s">
        <v>550</v>
      </c>
      <c r="E126" s="159">
        <f t="shared" si="15"/>
        <v>340</v>
      </c>
      <c r="F126" s="265"/>
      <c r="G126" s="265"/>
      <c r="H126" s="157" t="s">
        <v>550</v>
      </c>
      <c r="I126" s="160">
        <f t="shared" si="12"/>
        <v>1450</v>
      </c>
      <c r="J126" s="161" t="s">
        <v>550</v>
      </c>
      <c r="K126" s="159">
        <v>0</v>
      </c>
      <c r="L126" s="162">
        <f t="shared" si="13"/>
        <v>531048.65200000012</v>
      </c>
      <c r="M126" s="165"/>
      <c r="N126" s="962"/>
      <c r="O126" s="971"/>
      <c r="P126" s="235"/>
      <c r="Q126" s="156"/>
      <c r="W126" s="151"/>
    </row>
    <row r="127" spans="1:23">
      <c r="A127" s="938">
        <v>44347</v>
      </c>
      <c r="B127" s="157" t="s">
        <v>550</v>
      </c>
      <c r="C127" s="158">
        <f t="shared" si="11"/>
        <v>1561.9078000000002</v>
      </c>
      <c r="D127" s="157" t="s">
        <v>550</v>
      </c>
      <c r="E127" s="159">
        <f t="shared" si="15"/>
        <v>340</v>
      </c>
      <c r="F127" s="265"/>
      <c r="G127" s="265"/>
      <c r="H127" s="157" t="s">
        <v>550</v>
      </c>
      <c r="I127" s="160">
        <f t="shared" si="12"/>
        <v>1496</v>
      </c>
      <c r="J127" s="161" t="s">
        <v>550</v>
      </c>
      <c r="K127" s="159">
        <v>0</v>
      </c>
      <c r="L127" s="162">
        <f t="shared" si="13"/>
        <v>531048.65200000012</v>
      </c>
      <c r="M127" s="165"/>
      <c r="N127" s="962"/>
      <c r="O127" s="971"/>
      <c r="P127" s="235"/>
      <c r="Q127" s="156"/>
      <c r="W127" s="151"/>
    </row>
    <row r="128" spans="1:23">
      <c r="A128" s="938">
        <v>44377</v>
      </c>
      <c r="B128" s="157" t="s">
        <v>550</v>
      </c>
      <c r="C128" s="158">
        <f t="shared" si="11"/>
        <v>1561.9078000000002</v>
      </c>
      <c r="D128" s="157" t="s">
        <v>550</v>
      </c>
      <c r="E128" s="159">
        <f t="shared" si="15"/>
        <v>340</v>
      </c>
      <c r="F128" s="265"/>
      <c r="G128" s="265"/>
      <c r="H128" s="157" t="s">
        <v>550</v>
      </c>
      <c r="I128" s="160">
        <f t="shared" si="12"/>
        <v>1450</v>
      </c>
      <c r="J128" s="161" t="s">
        <v>550</v>
      </c>
      <c r="K128" s="159">
        <v>0</v>
      </c>
      <c r="L128" s="162">
        <f t="shared" si="13"/>
        <v>531048.65200000012</v>
      </c>
      <c r="M128" s="165"/>
      <c r="N128" s="962"/>
      <c r="O128" s="971"/>
      <c r="P128" s="235"/>
      <c r="Q128" s="156"/>
      <c r="W128" s="151"/>
    </row>
    <row r="129" spans="1:23">
      <c r="A129" s="938">
        <v>44408</v>
      </c>
      <c r="B129" s="157" t="s">
        <v>550</v>
      </c>
      <c r="C129" s="158">
        <f t="shared" si="11"/>
        <v>1561.9078000000002</v>
      </c>
      <c r="D129" s="157" t="s">
        <v>550</v>
      </c>
      <c r="E129" s="159">
        <f t="shared" si="15"/>
        <v>340</v>
      </c>
      <c r="F129" s="265"/>
      <c r="G129" s="265"/>
      <c r="H129" s="157" t="s">
        <v>550</v>
      </c>
      <c r="I129" s="160">
        <f t="shared" si="12"/>
        <v>1496</v>
      </c>
      <c r="J129" s="161" t="s">
        <v>550</v>
      </c>
      <c r="K129" s="159">
        <v>0</v>
      </c>
      <c r="L129" s="162">
        <f t="shared" si="13"/>
        <v>531048.65200000012</v>
      </c>
      <c r="M129" s="165"/>
      <c r="N129" s="962"/>
      <c r="O129" s="971"/>
      <c r="P129" s="235"/>
      <c r="Q129" s="156"/>
      <c r="W129" s="151"/>
    </row>
    <row r="130" spans="1:23">
      <c r="A130" s="938">
        <v>44439</v>
      </c>
      <c r="B130" s="157" t="s">
        <v>550</v>
      </c>
      <c r="C130" s="158">
        <f t="shared" si="11"/>
        <v>1561.9078000000002</v>
      </c>
      <c r="D130" s="157" t="s">
        <v>550</v>
      </c>
      <c r="E130" s="159">
        <f t="shared" si="15"/>
        <v>340</v>
      </c>
      <c r="F130" s="265"/>
      <c r="G130" s="265"/>
      <c r="H130" s="157" t="s">
        <v>550</v>
      </c>
      <c r="I130" s="160">
        <f t="shared" si="12"/>
        <v>1496</v>
      </c>
      <c r="J130" s="161" t="s">
        <v>550</v>
      </c>
      <c r="K130" s="159">
        <v>0</v>
      </c>
      <c r="L130" s="162">
        <f t="shared" si="13"/>
        <v>531048.65200000012</v>
      </c>
      <c r="M130" s="165"/>
      <c r="N130" s="962"/>
      <c r="O130" s="971"/>
      <c r="P130" s="235"/>
      <c r="Q130" s="156"/>
      <c r="W130" s="151"/>
    </row>
    <row r="131" spans="1:23">
      <c r="A131" s="938">
        <v>44469</v>
      </c>
      <c r="B131" s="157" t="s">
        <v>550</v>
      </c>
      <c r="C131" s="158">
        <f t="shared" si="11"/>
        <v>1561.9078000000002</v>
      </c>
      <c r="D131" s="157" t="s">
        <v>550</v>
      </c>
      <c r="E131" s="159">
        <f t="shared" si="15"/>
        <v>340</v>
      </c>
      <c r="F131" s="265"/>
      <c r="G131" s="265"/>
      <c r="H131" s="157" t="s">
        <v>550</v>
      </c>
      <c r="I131" s="160">
        <f t="shared" si="12"/>
        <v>1450</v>
      </c>
      <c r="J131" s="161" t="s">
        <v>550</v>
      </c>
      <c r="K131" s="159">
        <v>0</v>
      </c>
      <c r="L131" s="162">
        <f t="shared" si="13"/>
        <v>531048.65200000012</v>
      </c>
      <c r="M131" s="165"/>
      <c r="N131" s="962"/>
      <c r="O131" s="971"/>
      <c r="P131" s="235"/>
      <c r="Q131" s="156"/>
      <c r="W131" s="151"/>
    </row>
    <row r="132" spans="1:23">
      <c r="A132" s="938">
        <v>44500</v>
      </c>
      <c r="B132" s="954">
        <v>1.0618000000000001</v>
      </c>
      <c r="C132" s="158">
        <f t="shared" si="11"/>
        <v>1658.4337020400003</v>
      </c>
      <c r="D132" s="157" t="s">
        <v>550</v>
      </c>
      <c r="E132" s="159">
        <f t="shared" si="15"/>
        <v>340</v>
      </c>
      <c r="F132" s="265"/>
      <c r="G132" s="265"/>
      <c r="H132" s="157" t="s">
        <v>550</v>
      </c>
      <c r="I132" s="160">
        <f t="shared" si="12"/>
        <v>1496</v>
      </c>
      <c r="J132" s="161" t="s">
        <v>550</v>
      </c>
      <c r="K132" s="159">
        <v>0</v>
      </c>
      <c r="L132" s="162">
        <f t="shared" si="13"/>
        <v>563867.45869360014</v>
      </c>
      <c r="M132" s="165"/>
      <c r="N132" s="962"/>
      <c r="O132" s="971"/>
      <c r="P132" s="235"/>
      <c r="Q132" s="156"/>
      <c r="W132" s="151"/>
    </row>
    <row r="133" spans="1:23">
      <c r="A133" s="938">
        <v>44530</v>
      </c>
      <c r="B133" s="157" t="s">
        <v>550</v>
      </c>
      <c r="C133" s="158">
        <f t="shared" si="11"/>
        <v>1658.4337020400003</v>
      </c>
      <c r="D133" s="157" t="s">
        <v>550</v>
      </c>
      <c r="E133" s="159">
        <f t="shared" si="15"/>
        <v>340</v>
      </c>
      <c r="F133" s="265"/>
      <c r="G133" s="265"/>
      <c r="H133" s="157" t="s">
        <v>550</v>
      </c>
      <c r="I133" s="160">
        <f t="shared" si="12"/>
        <v>1450</v>
      </c>
      <c r="J133" s="161" t="s">
        <v>550</v>
      </c>
      <c r="K133" s="159">
        <v>0</v>
      </c>
      <c r="L133" s="162">
        <f t="shared" si="13"/>
        <v>563867.45869360014</v>
      </c>
      <c r="M133" s="165"/>
      <c r="N133" s="962"/>
      <c r="O133" s="971"/>
      <c r="P133" s="235"/>
      <c r="Q133" s="156"/>
      <c r="W133" s="151"/>
    </row>
    <row r="134" spans="1:23">
      <c r="A134" s="938">
        <v>44561</v>
      </c>
      <c r="B134" s="157" t="s">
        <v>550</v>
      </c>
      <c r="C134" s="158">
        <f t="shared" si="11"/>
        <v>1658.4337020400003</v>
      </c>
      <c r="D134" s="157" t="s">
        <v>550</v>
      </c>
      <c r="E134" s="159">
        <f t="shared" si="15"/>
        <v>340</v>
      </c>
      <c r="F134" s="265"/>
      <c r="G134" s="265"/>
      <c r="H134" s="157" t="s">
        <v>550</v>
      </c>
      <c r="I134" s="160">
        <f t="shared" si="12"/>
        <v>1496</v>
      </c>
      <c r="J134" s="161" t="s">
        <v>550</v>
      </c>
      <c r="K134" s="159">
        <v>0</v>
      </c>
      <c r="L134" s="162">
        <f t="shared" si="13"/>
        <v>563867.45869360014</v>
      </c>
      <c r="M134" s="165"/>
      <c r="N134" s="962"/>
      <c r="O134" s="971"/>
      <c r="P134" s="235"/>
      <c r="Q134" s="156"/>
      <c r="W134" s="151"/>
    </row>
    <row r="135" spans="1:23">
      <c r="A135" s="938">
        <v>44592</v>
      </c>
      <c r="B135" s="157" t="s">
        <v>550</v>
      </c>
      <c r="C135" s="158">
        <f t="shared" si="11"/>
        <v>1658.4337020400003</v>
      </c>
      <c r="D135" s="157" t="s">
        <v>550</v>
      </c>
      <c r="E135" s="159">
        <f t="shared" si="15"/>
        <v>340</v>
      </c>
      <c r="F135" s="265"/>
      <c r="G135" s="265"/>
      <c r="H135" s="157" t="s">
        <v>550</v>
      </c>
      <c r="I135" s="160">
        <f t="shared" si="12"/>
        <v>1496</v>
      </c>
      <c r="J135" s="161" t="s">
        <v>550</v>
      </c>
      <c r="K135" s="159">
        <v>0</v>
      </c>
      <c r="L135" s="162">
        <f t="shared" si="13"/>
        <v>563867.45869360014</v>
      </c>
      <c r="M135" s="165"/>
      <c r="N135" s="962"/>
      <c r="O135" s="971"/>
      <c r="P135" s="235"/>
      <c r="Q135" s="156"/>
      <c r="W135" s="151"/>
    </row>
    <row r="136" spans="1:23">
      <c r="A136" s="938">
        <v>44620</v>
      </c>
      <c r="B136" s="157" t="s">
        <v>550</v>
      </c>
      <c r="C136" s="158">
        <f t="shared" si="11"/>
        <v>1658.4337020400003</v>
      </c>
      <c r="D136" s="157" t="s">
        <v>550</v>
      </c>
      <c r="E136" s="159">
        <f t="shared" si="15"/>
        <v>340</v>
      </c>
      <c r="F136" s="265"/>
      <c r="G136" s="265"/>
      <c r="H136" s="157" t="s">
        <v>550</v>
      </c>
      <c r="I136" s="160">
        <f t="shared" si="12"/>
        <v>1358</v>
      </c>
      <c r="J136" s="161" t="s">
        <v>550</v>
      </c>
      <c r="K136" s="159">
        <v>0</v>
      </c>
      <c r="L136" s="162">
        <f t="shared" si="13"/>
        <v>563867.45869360014</v>
      </c>
      <c r="M136" s="165"/>
      <c r="N136" s="962"/>
      <c r="O136" s="971"/>
      <c r="P136" s="235"/>
      <c r="Q136" s="156"/>
      <c r="W136" s="151"/>
    </row>
    <row r="137" spans="1:23">
      <c r="A137" s="938">
        <v>44651</v>
      </c>
      <c r="B137" s="157" t="s">
        <v>550</v>
      </c>
      <c r="C137" s="158">
        <f t="shared" si="11"/>
        <v>1658.4337020400003</v>
      </c>
      <c r="D137" s="157" t="s">
        <v>550</v>
      </c>
      <c r="E137" s="159">
        <f t="shared" si="15"/>
        <v>340</v>
      </c>
      <c r="F137" s="265"/>
      <c r="G137" s="265"/>
      <c r="H137" s="157" t="s">
        <v>550</v>
      </c>
      <c r="I137" s="160">
        <f t="shared" si="12"/>
        <v>1496</v>
      </c>
      <c r="J137" s="161" t="s">
        <v>550</v>
      </c>
      <c r="K137" s="159">
        <v>0</v>
      </c>
      <c r="L137" s="162">
        <f t="shared" si="13"/>
        <v>563867.45869360014</v>
      </c>
      <c r="M137" s="165"/>
      <c r="N137" s="962"/>
      <c r="O137" s="971"/>
      <c r="P137" s="235"/>
      <c r="Q137" s="156"/>
      <c r="W137" s="151"/>
    </row>
    <row r="138" spans="1:23">
      <c r="A138" s="938">
        <v>44681</v>
      </c>
      <c r="B138" s="157" t="s">
        <v>550</v>
      </c>
      <c r="C138" s="158">
        <f t="shared" si="11"/>
        <v>1658.4337020400003</v>
      </c>
      <c r="D138" s="157" t="s">
        <v>550</v>
      </c>
      <c r="E138" s="159">
        <f t="shared" si="15"/>
        <v>340</v>
      </c>
      <c r="F138" s="265"/>
      <c r="G138" s="265"/>
      <c r="H138" s="157" t="s">
        <v>550</v>
      </c>
      <c r="I138" s="160">
        <f t="shared" si="12"/>
        <v>1450</v>
      </c>
      <c r="J138" s="161" t="s">
        <v>550</v>
      </c>
      <c r="K138" s="159">
        <v>0</v>
      </c>
      <c r="L138" s="162">
        <f t="shared" si="13"/>
        <v>563867.45869360014</v>
      </c>
      <c r="M138" s="165"/>
      <c r="N138" s="962"/>
      <c r="O138" s="971"/>
      <c r="P138" s="235"/>
      <c r="Q138" s="156"/>
      <c r="W138" s="151"/>
    </row>
    <row r="139" spans="1:23">
      <c r="A139" s="938">
        <v>44712</v>
      </c>
      <c r="B139" s="157" t="s">
        <v>550</v>
      </c>
      <c r="C139" s="158">
        <f t="shared" si="11"/>
        <v>1658.4337020400003</v>
      </c>
      <c r="D139" s="157" t="s">
        <v>550</v>
      </c>
      <c r="E139" s="159">
        <f t="shared" si="15"/>
        <v>340</v>
      </c>
      <c r="F139" s="265"/>
      <c r="G139" s="265"/>
      <c r="H139" s="157" t="s">
        <v>550</v>
      </c>
      <c r="I139" s="160">
        <f t="shared" si="12"/>
        <v>1496</v>
      </c>
      <c r="J139" s="161" t="s">
        <v>550</v>
      </c>
      <c r="K139" s="159">
        <v>0</v>
      </c>
      <c r="L139" s="162">
        <f t="shared" si="13"/>
        <v>563867.45869360014</v>
      </c>
      <c r="M139" s="165"/>
      <c r="N139" s="962"/>
      <c r="O139" s="971"/>
      <c r="P139" s="235"/>
      <c r="Q139" s="156"/>
      <c r="W139" s="151"/>
    </row>
    <row r="140" spans="1:23">
      <c r="A140" s="938">
        <v>44742</v>
      </c>
      <c r="B140" s="157" t="s">
        <v>550</v>
      </c>
      <c r="C140" s="158">
        <f t="shared" si="11"/>
        <v>1658.4337020400003</v>
      </c>
      <c r="D140" s="157" t="s">
        <v>550</v>
      </c>
      <c r="E140" s="159">
        <f t="shared" si="15"/>
        <v>340</v>
      </c>
      <c r="F140" s="265"/>
      <c r="G140" s="265"/>
      <c r="H140" s="157" t="s">
        <v>550</v>
      </c>
      <c r="I140" s="160">
        <f t="shared" si="12"/>
        <v>1450</v>
      </c>
      <c r="J140" s="161" t="s">
        <v>550</v>
      </c>
      <c r="K140" s="159">
        <v>0</v>
      </c>
      <c r="L140" s="162">
        <f t="shared" si="13"/>
        <v>563867.45869360014</v>
      </c>
      <c r="M140" s="165"/>
      <c r="N140" s="962"/>
      <c r="O140" s="971"/>
      <c r="P140" s="235"/>
      <c r="Q140" s="156"/>
      <c r="W140" s="151"/>
    </row>
    <row r="141" spans="1:23">
      <c r="A141" s="938">
        <v>44773</v>
      </c>
      <c r="B141" s="157" t="s">
        <v>550</v>
      </c>
      <c r="C141" s="158">
        <f t="shared" si="11"/>
        <v>1658.4337020400003</v>
      </c>
      <c r="D141" s="157" t="s">
        <v>550</v>
      </c>
      <c r="E141" s="159">
        <f t="shared" si="15"/>
        <v>340</v>
      </c>
      <c r="F141" s="265"/>
      <c r="G141" s="265"/>
      <c r="H141" s="157" t="s">
        <v>550</v>
      </c>
      <c r="I141" s="160">
        <f t="shared" si="12"/>
        <v>1496</v>
      </c>
      <c r="J141" s="161" t="s">
        <v>550</v>
      </c>
      <c r="K141" s="159">
        <v>0</v>
      </c>
      <c r="L141" s="162">
        <f t="shared" si="13"/>
        <v>563867.45869360014</v>
      </c>
      <c r="M141" s="165"/>
      <c r="N141" s="962"/>
      <c r="O141" s="971"/>
      <c r="P141" s="235"/>
      <c r="Q141" s="156"/>
      <c r="W141" s="151"/>
    </row>
    <row r="142" spans="1:23">
      <c r="A142" s="938">
        <v>44804</v>
      </c>
      <c r="B142" s="157" t="s">
        <v>550</v>
      </c>
      <c r="C142" s="158">
        <f t="shared" si="11"/>
        <v>1658.4337020400003</v>
      </c>
      <c r="D142" s="157" t="s">
        <v>550</v>
      </c>
      <c r="E142" s="159">
        <f t="shared" si="15"/>
        <v>340</v>
      </c>
      <c r="F142" s="265"/>
      <c r="G142" s="265"/>
      <c r="H142" s="157" t="s">
        <v>550</v>
      </c>
      <c r="I142" s="160">
        <f t="shared" si="12"/>
        <v>1496</v>
      </c>
      <c r="J142" s="161" t="s">
        <v>550</v>
      </c>
      <c r="K142" s="159">
        <v>0</v>
      </c>
      <c r="L142" s="162">
        <f t="shared" si="13"/>
        <v>563867.45869360014</v>
      </c>
      <c r="M142" s="165"/>
      <c r="N142" s="962"/>
      <c r="O142" s="971"/>
      <c r="P142" s="235"/>
      <c r="Q142" s="156"/>
      <c r="W142" s="151"/>
    </row>
    <row r="143" spans="1:23">
      <c r="A143" s="938">
        <v>44834</v>
      </c>
      <c r="B143" s="157" t="s">
        <v>550</v>
      </c>
      <c r="C143" s="158">
        <f t="shared" si="11"/>
        <v>1658.4337020400003</v>
      </c>
      <c r="D143" s="157" t="s">
        <v>550</v>
      </c>
      <c r="E143" s="159">
        <f t="shared" si="15"/>
        <v>340</v>
      </c>
      <c r="F143" s="265"/>
      <c r="G143" s="265"/>
      <c r="H143" s="157" t="s">
        <v>550</v>
      </c>
      <c r="I143" s="160">
        <f t="shared" si="12"/>
        <v>1450</v>
      </c>
      <c r="J143" s="161" t="s">
        <v>550</v>
      </c>
      <c r="K143" s="159">
        <v>0</v>
      </c>
      <c r="L143" s="162">
        <f t="shared" si="13"/>
        <v>563867.45869360014</v>
      </c>
      <c r="M143" s="165"/>
      <c r="N143" s="962"/>
      <c r="O143" s="971"/>
      <c r="P143" s="235"/>
      <c r="Q143" s="156"/>
      <c r="W143" s="151"/>
    </row>
    <row r="144" spans="1:23">
      <c r="A144" s="938">
        <v>44865</v>
      </c>
      <c r="B144" s="157" t="s">
        <v>550</v>
      </c>
      <c r="C144" s="158">
        <f t="shared" si="11"/>
        <v>1658.4337020400003</v>
      </c>
      <c r="D144" s="157" t="s">
        <v>550</v>
      </c>
      <c r="E144" s="159">
        <f t="shared" si="15"/>
        <v>340</v>
      </c>
      <c r="F144" s="265"/>
      <c r="G144" s="265"/>
      <c r="H144" s="157" t="s">
        <v>550</v>
      </c>
      <c r="I144" s="160">
        <f t="shared" si="12"/>
        <v>1496</v>
      </c>
      <c r="J144" s="161" t="s">
        <v>550</v>
      </c>
      <c r="K144" s="159">
        <v>0</v>
      </c>
      <c r="L144" s="162">
        <f t="shared" si="13"/>
        <v>563867.45869360014</v>
      </c>
      <c r="M144" s="165"/>
      <c r="N144" s="962"/>
      <c r="O144" s="971"/>
      <c r="P144" s="235"/>
      <c r="Q144" s="156"/>
      <c r="W144" s="151"/>
    </row>
    <row r="145" spans="1:23">
      <c r="A145" s="938">
        <v>44895</v>
      </c>
      <c r="B145" s="157" t="s">
        <v>550</v>
      </c>
      <c r="C145" s="158">
        <f t="shared" si="11"/>
        <v>1658.4337020400003</v>
      </c>
      <c r="D145" s="157" t="s">
        <v>550</v>
      </c>
      <c r="E145" s="159">
        <f t="shared" si="15"/>
        <v>340</v>
      </c>
      <c r="F145" s="265"/>
      <c r="G145" s="265"/>
      <c r="H145" s="157" t="s">
        <v>550</v>
      </c>
      <c r="I145" s="160">
        <f t="shared" si="12"/>
        <v>1450</v>
      </c>
      <c r="J145" s="161" t="s">
        <v>550</v>
      </c>
      <c r="K145" s="159">
        <v>0</v>
      </c>
      <c r="L145" s="162">
        <f t="shared" si="13"/>
        <v>563867.45869360014</v>
      </c>
      <c r="M145" s="165"/>
      <c r="N145" s="962"/>
      <c r="O145" s="971"/>
      <c r="P145" s="235"/>
      <c r="Q145" s="156"/>
      <c r="W145" s="151"/>
    </row>
    <row r="146" spans="1:23">
      <c r="A146" s="938">
        <v>44926</v>
      </c>
      <c r="B146" s="157" t="s">
        <v>550</v>
      </c>
      <c r="C146" s="158">
        <f t="shared" ref="C146:C166" si="16">IF(B146="--",C145,C145*B146)</f>
        <v>1658.4337020400003</v>
      </c>
      <c r="D146" s="157" t="s">
        <v>550</v>
      </c>
      <c r="E146" s="159">
        <f t="shared" si="15"/>
        <v>340</v>
      </c>
      <c r="F146" s="265"/>
      <c r="G146" s="265"/>
      <c r="H146" s="157" t="s">
        <v>550</v>
      </c>
      <c r="I146" s="160">
        <f t="shared" si="12"/>
        <v>1496</v>
      </c>
      <c r="J146" s="161" t="s">
        <v>550</v>
      </c>
      <c r="K146" s="159">
        <v>0</v>
      </c>
      <c r="L146" s="162">
        <f t="shared" si="13"/>
        <v>563867.45869360014</v>
      </c>
      <c r="M146" s="165"/>
      <c r="N146" s="962"/>
      <c r="O146" s="971"/>
      <c r="P146" s="235"/>
      <c r="Q146" s="156"/>
      <c r="W146" s="151"/>
    </row>
    <row r="147" spans="1:23">
      <c r="A147" s="938">
        <v>44957</v>
      </c>
      <c r="B147" s="157" t="s">
        <v>550</v>
      </c>
      <c r="C147" s="158">
        <f t="shared" si="16"/>
        <v>1658.4337020400003</v>
      </c>
      <c r="D147" s="157" t="s">
        <v>550</v>
      </c>
      <c r="E147" s="159">
        <f t="shared" si="15"/>
        <v>340</v>
      </c>
      <c r="F147" s="265"/>
      <c r="G147" s="265"/>
      <c r="H147" s="157" t="s">
        <v>550</v>
      </c>
      <c r="I147" s="160">
        <f t="shared" si="12"/>
        <v>1496</v>
      </c>
      <c r="J147" s="161" t="s">
        <v>550</v>
      </c>
      <c r="K147" s="159">
        <v>0</v>
      </c>
      <c r="L147" s="162">
        <f t="shared" si="13"/>
        <v>563867.45869360014</v>
      </c>
      <c r="M147" s="165"/>
      <c r="N147" s="962"/>
      <c r="O147" s="971"/>
      <c r="P147" s="235"/>
      <c r="Q147" s="156"/>
      <c r="W147" s="151"/>
    </row>
    <row r="148" spans="1:23">
      <c r="A148" s="938">
        <v>44985</v>
      </c>
      <c r="B148" s="157" t="s">
        <v>550</v>
      </c>
      <c r="C148" s="158">
        <f t="shared" si="16"/>
        <v>1658.4337020400003</v>
      </c>
      <c r="D148" s="157" t="s">
        <v>550</v>
      </c>
      <c r="E148" s="159">
        <f t="shared" si="15"/>
        <v>340</v>
      </c>
      <c r="F148" s="265"/>
      <c r="G148" s="265"/>
      <c r="H148" s="157" t="s">
        <v>550</v>
      </c>
      <c r="I148" s="160">
        <f t="shared" si="12"/>
        <v>1358</v>
      </c>
      <c r="J148" s="161" t="s">
        <v>550</v>
      </c>
      <c r="K148" s="159">
        <v>0</v>
      </c>
      <c r="L148" s="162">
        <f t="shared" si="13"/>
        <v>563867.45869360014</v>
      </c>
      <c r="M148" s="165"/>
      <c r="N148" s="962"/>
      <c r="O148" s="971"/>
      <c r="P148" s="235"/>
      <c r="Q148" s="156"/>
      <c r="W148" s="151"/>
    </row>
    <row r="149" spans="1:23">
      <c r="A149" s="938">
        <v>45016</v>
      </c>
      <c r="B149" s="157" t="s">
        <v>550</v>
      </c>
      <c r="C149" s="158">
        <f t="shared" si="16"/>
        <v>1658.4337020400003</v>
      </c>
      <c r="D149" s="157" t="s">
        <v>550</v>
      </c>
      <c r="E149" s="159">
        <f t="shared" si="15"/>
        <v>340</v>
      </c>
      <c r="F149" s="265"/>
      <c r="G149" s="265"/>
      <c r="H149" s="157" t="s">
        <v>550</v>
      </c>
      <c r="I149" s="160">
        <f t="shared" si="12"/>
        <v>1496</v>
      </c>
      <c r="J149" s="161" t="s">
        <v>550</v>
      </c>
      <c r="K149" s="159">
        <v>0</v>
      </c>
      <c r="L149" s="162">
        <f t="shared" si="13"/>
        <v>563867.45869360014</v>
      </c>
      <c r="M149" s="165"/>
      <c r="N149" s="962"/>
      <c r="O149" s="971"/>
      <c r="P149" s="235"/>
      <c r="Q149" s="156"/>
      <c r="W149" s="151"/>
    </row>
    <row r="150" spans="1:23">
      <c r="A150" s="938">
        <v>45046</v>
      </c>
      <c r="B150" s="157" t="s">
        <v>550</v>
      </c>
      <c r="C150" s="158">
        <f t="shared" si="16"/>
        <v>1658.4337020400003</v>
      </c>
      <c r="D150" s="157" t="s">
        <v>550</v>
      </c>
      <c r="E150" s="159">
        <f t="shared" si="15"/>
        <v>340</v>
      </c>
      <c r="F150" s="265"/>
      <c r="G150" s="265"/>
      <c r="H150" s="157" t="s">
        <v>550</v>
      </c>
      <c r="I150" s="160">
        <f t="shared" si="12"/>
        <v>1450</v>
      </c>
      <c r="J150" s="161" t="s">
        <v>550</v>
      </c>
      <c r="K150" s="159">
        <v>0</v>
      </c>
      <c r="L150" s="162">
        <f t="shared" si="13"/>
        <v>563867.45869360014</v>
      </c>
      <c r="M150" s="165"/>
      <c r="N150" s="962"/>
      <c r="O150" s="971"/>
      <c r="P150" s="235"/>
      <c r="Q150" s="156"/>
      <c r="W150" s="151"/>
    </row>
    <row r="151" spans="1:23">
      <c r="A151" s="938">
        <v>45077</v>
      </c>
      <c r="B151" s="157" t="s">
        <v>550</v>
      </c>
      <c r="C151" s="158">
        <f t="shared" si="16"/>
        <v>1658.4337020400003</v>
      </c>
      <c r="D151" s="157" t="s">
        <v>550</v>
      </c>
      <c r="E151" s="159">
        <f t="shared" si="15"/>
        <v>340</v>
      </c>
      <c r="F151" s="265"/>
      <c r="G151" s="265"/>
      <c r="H151" s="157" t="s">
        <v>550</v>
      </c>
      <c r="I151" s="160">
        <f t="shared" ref="I151:I165" si="17">5*60+(DAY(A151)-5)*46</f>
        <v>1496</v>
      </c>
      <c r="J151" s="161" t="s">
        <v>550</v>
      </c>
      <c r="K151" s="159">
        <v>0</v>
      </c>
      <c r="L151" s="162">
        <f t="shared" ref="L151:L190" si="18">E151*C151</f>
        <v>563867.45869360014</v>
      </c>
      <c r="M151" s="165"/>
      <c r="N151" s="962"/>
      <c r="O151" s="971"/>
      <c r="P151" s="235"/>
      <c r="Q151" s="156"/>
      <c r="W151" s="151"/>
    </row>
    <row r="152" spans="1:23">
      <c r="A152" s="938">
        <v>45107</v>
      </c>
      <c r="B152" s="157" t="s">
        <v>550</v>
      </c>
      <c r="C152" s="158">
        <f t="shared" si="16"/>
        <v>1658.4337020400003</v>
      </c>
      <c r="D152" s="157" t="s">
        <v>550</v>
      </c>
      <c r="E152" s="159">
        <f t="shared" si="15"/>
        <v>340</v>
      </c>
      <c r="F152" s="265"/>
      <c r="G152" s="265"/>
      <c r="H152" s="157" t="s">
        <v>550</v>
      </c>
      <c r="I152" s="160">
        <f t="shared" si="17"/>
        <v>1450</v>
      </c>
      <c r="J152" s="161" t="s">
        <v>550</v>
      </c>
      <c r="K152" s="159">
        <v>0</v>
      </c>
      <c r="L152" s="162">
        <f t="shared" si="18"/>
        <v>563867.45869360014</v>
      </c>
      <c r="M152" s="165"/>
      <c r="N152" s="962"/>
      <c r="O152" s="971"/>
      <c r="P152" s="235"/>
      <c r="Q152" s="156"/>
      <c r="W152" s="151"/>
    </row>
    <row r="153" spans="1:23">
      <c r="A153" s="938">
        <v>45138</v>
      </c>
      <c r="B153" s="157" t="s">
        <v>550</v>
      </c>
      <c r="C153" s="158">
        <f t="shared" si="16"/>
        <v>1658.4337020400003</v>
      </c>
      <c r="D153" s="157" t="s">
        <v>550</v>
      </c>
      <c r="E153" s="159">
        <f t="shared" si="15"/>
        <v>340</v>
      </c>
      <c r="F153" s="265"/>
      <c r="G153" s="265"/>
      <c r="H153" s="157" t="s">
        <v>550</v>
      </c>
      <c r="I153" s="160">
        <f t="shared" si="17"/>
        <v>1496</v>
      </c>
      <c r="J153" s="161" t="s">
        <v>550</v>
      </c>
      <c r="K153" s="159">
        <v>0</v>
      </c>
      <c r="L153" s="162">
        <f t="shared" si="18"/>
        <v>563867.45869360014</v>
      </c>
      <c r="M153" s="165"/>
      <c r="N153" s="962"/>
      <c r="O153" s="971"/>
      <c r="P153" s="235"/>
      <c r="Q153" s="156"/>
      <c r="W153" s="151"/>
    </row>
    <row r="154" spans="1:23">
      <c r="A154" s="938">
        <v>45169</v>
      </c>
      <c r="B154" s="157" t="s">
        <v>550</v>
      </c>
      <c r="C154" s="158">
        <f t="shared" si="16"/>
        <v>1658.4337020400003</v>
      </c>
      <c r="D154" s="157" t="s">
        <v>550</v>
      </c>
      <c r="E154" s="159">
        <f t="shared" si="15"/>
        <v>340</v>
      </c>
      <c r="F154" s="265"/>
      <c r="G154" s="265"/>
      <c r="H154" s="157" t="s">
        <v>550</v>
      </c>
      <c r="I154" s="160">
        <f t="shared" si="17"/>
        <v>1496</v>
      </c>
      <c r="J154" s="161" t="s">
        <v>550</v>
      </c>
      <c r="K154" s="159">
        <v>0</v>
      </c>
      <c r="L154" s="162">
        <f t="shared" si="18"/>
        <v>563867.45869360014</v>
      </c>
      <c r="M154" s="165"/>
      <c r="N154" s="962"/>
      <c r="O154" s="971"/>
      <c r="P154" s="235"/>
      <c r="Q154" s="156"/>
      <c r="W154" s="151"/>
    </row>
    <row r="155" spans="1:23">
      <c r="A155" s="938">
        <v>45199</v>
      </c>
      <c r="B155" s="157" t="s">
        <v>550</v>
      </c>
      <c r="C155" s="158">
        <f t="shared" si="16"/>
        <v>1658.4337020400003</v>
      </c>
      <c r="D155" s="157" t="s">
        <v>550</v>
      </c>
      <c r="E155" s="159">
        <f t="shared" si="15"/>
        <v>340</v>
      </c>
      <c r="F155" s="265"/>
      <c r="G155" s="265"/>
      <c r="H155" s="157" t="s">
        <v>550</v>
      </c>
      <c r="I155" s="160">
        <f t="shared" si="17"/>
        <v>1450</v>
      </c>
      <c r="J155" s="161" t="s">
        <v>550</v>
      </c>
      <c r="K155" s="159">
        <v>0</v>
      </c>
      <c r="L155" s="162">
        <f t="shared" si="18"/>
        <v>563867.45869360014</v>
      </c>
      <c r="M155" s="165"/>
      <c r="N155" s="962"/>
      <c r="O155" s="971"/>
      <c r="P155" s="235"/>
      <c r="Q155" s="156"/>
      <c r="W155" s="151"/>
    </row>
    <row r="156" spans="1:23">
      <c r="A156" s="938">
        <v>45230</v>
      </c>
      <c r="B156" s="954">
        <v>1.0618000000000001</v>
      </c>
      <c r="C156" s="158">
        <f t="shared" si="16"/>
        <v>1760.9249048260724</v>
      </c>
      <c r="D156" s="157" t="s">
        <v>550</v>
      </c>
      <c r="E156" s="159">
        <f t="shared" si="15"/>
        <v>340</v>
      </c>
      <c r="F156" s="265"/>
      <c r="G156" s="265"/>
      <c r="H156" s="157" t="s">
        <v>550</v>
      </c>
      <c r="I156" s="160">
        <f t="shared" si="17"/>
        <v>1496</v>
      </c>
      <c r="J156" s="161" t="s">
        <v>550</v>
      </c>
      <c r="K156" s="159">
        <v>0</v>
      </c>
      <c r="L156" s="162">
        <f t="shared" si="18"/>
        <v>598714.46764086466</v>
      </c>
      <c r="M156" s="165"/>
      <c r="N156" s="962"/>
      <c r="O156" s="971"/>
      <c r="P156" s="235"/>
      <c r="Q156" s="156"/>
      <c r="W156" s="151"/>
    </row>
    <row r="157" spans="1:23">
      <c r="A157" s="938">
        <v>45260</v>
      </c>
      <c r="B157" s="157" t="s">
        <v>550</v>
      </c>
      <c r="C157" s="158">
        <f t="shared" si="16"/>
        <v>1760.9249048260724</v>
      </c>
      <c r="D157" s="157" t="s">
        <v>550</v>
      </c>
      <c r="E157" s="159">
        <f t="shared" si="15"/>
        <v>340</v>
      </c>
      <c r="F157" s="265"/>
      <c r="G157" s="265"/>
      <c r="H157" s="157" t="s">
        <v>550</v>
      </c>
      <c r="I157" s="160">
        <f t="shared" si="17"/>
        <v>1450</v>
      </c>
      <c r="J157" s="161" t="s">
        <v>550</v>
      </c>
      <c r="K157" s="159">
        <v>0</v>
      </c>
      <c r="L157" s="162">
        <f t="shared" si="18"/>
        <v>598714.46764086466</v>
      </c>
      <c r="M157" s="165"/>
      <c r="N157" s="962"/>
      <c r="O157" s="971"/>
      <c r="P157" s="235"/>
      <c r="Q157" s="156"/>
      <c r="W157" s="151"/>
    </row>
    <row r="158" spans="1:23">
      <c r="A158" s="938">
        <v>45291</v>
      </c>
      <c r="B158" s="157" t="s">
        <v>550</v>
      </c>
      <c r="C158" s="158">
        <f t="shared" si="16"/>
        <v>1760.9249048260724</v>
      </c>
      <c r="D158" s="157" t="s">
        <v>550</v>
      </c>
      <c r="E158" s="159">
        <f t="shared" si="15"/>
        <v>340</v>
      </c>
      <c r="F158" s="265"/>
      <c r="G158" s="265"/>
      <c r="H158" s="157" t="s">
        <v>550</v>
      </c>
      <c r="I158" s="160">
        <f t="shared" si="17"/>
        <v>1496</v>
      </c>
      <c r="J158" s="161" t="s">
        <v>550</v>
      </c>
      <c r="K158" s="159">
        <v>0</v>
      </c>
      <c r="L158" s="162">
        <f t="shared" si="18"/>
        <v>598714.46764086466</v>
      </c>
      <c r="M158" s="165"/>
      <c r="N158" s="962"/>
      <c r="O158" s="971"/>
      <c r="P158" s="235"/>
      <c r="Q158" s="156"/>
      <c r="W158" s="151"/>
    </row>
    <row r="159" spans="1:23">
      <c r="A159" s="938">
        <v>45322</v>
      </c>
      <c r="B159" s="157" t="s">
        <v>550</v>
      </c>
      <c r="C159" s="158">
        <f t="shared" si="16"/>
        <v>1760.9249048260724</v>
      </c>
      <c r="D159" s="157" t="s">
        <v>550</v>
      </c>
      <c r="E159" s="159">
        <f t="shared" si="15"/>
        <v>340</v>
      </c>
      <c r="F159" s="265"/>
      <c r="G159" s="265"/>
      <c r="H159" s="157" t="s">
        <v>550</v>
      </c>
      <c r="I159" s="160">
        <f t="shared" si="17"/>
        <v>1496</v>
      </c>
      <c r="J159" s="161" t="s">
        <v>550</v>
      </c>
      <c r="K159" s="159">
        <v>0</v>
      </c>
      <c r="L159" s="162">
        <f t="shared" si="18"/>
        <v>598714.46764086466</v>
      </c>
      <c r="M159" s="165"/>
      <c r="N159" s="962"/>
      <c r="O159" s="971"/>
      <c r="P159" s="235"/>
      <c r="Q159" s="156"/>
      <c r="W159" s="151"/>
    </row>
    <row r="160" spans="1:23">
      <c r="A160" s="938">
        <v>45351</v>
      </c>
      <c r="B160" s="157" t="s">
        <v>550</v>
      </c>
      <c r="C160" s="158">
        <f t="shared" si="16"/>
        <v>1760.9249048260724</v>
      </c>
      <c r="D160" s="157" t="s">
        <v>550</v>
      </c>
      <c r="E160" s="159">
        <f t="shared" si="15"/>
        <v>340</v>
      </c>
      <c r="F160" s="265"/>
      <c r="G160" s="265"/>
      <c r="H160" s="157" t="s">
        <v>550</v>
      </c>
      <c r="I160" s="160">
        <f>5*60+(DAY(A160)-5)*46</f>
        <v>1404</v>
      </c>
      <c r="J160" s="161" t="s">
        <v>550</v>
      </c>
      <c r="K160" s="159">
        <v>0</v>
      </c>
      <c r="L160" s="162">
        <f t="shared" si="18"/>
        <v>598714.46764086466</v>
      </c>
      <c r="M160" s="165"/>
      <c r="N160" s="962"/>
      <c r="O160" s="971"/>
      <c r="P160" s="235"/>
      <c r="Q160" s="156"/>
      <c r="W160" s="151"/>
    </row>
    <row r="161" spans="1:23">
      <c r="A161" s="938">
        <v>45382</v>
      </c>
      <c r="B161" s="157" t="s">
        <v>550</v>
      </c>
      <c r="C161" s="158">
        <f t="shared" si="16"/>
        <v>1760.9249048260724</v>
      </c>
      <c r="D161" s="157" t="s">
        <v>550</v>
      </c>
      <c r="E161" s="159">
        <f t="shared" si="15"/>
        <v>340</v>
      </c>
      <c r="F161" s="265"/>
      <c r="G161" s="265"/>
      <c r="H161" s="157" t="s">
        <v>550</v>
      </c>
      <c r="I161" s="160">
        <f t="shared" si="17"/>
        <v>1496</v>
      </c>
      <c r="J161" s="161" t="s">
        <v>550</v>
      </c>
      <c r="K161" s="159">
        <v>0</v>
      </c>
      <c r="L161" s="162">
        <f t="shared" si="18"/>
        <v>598714.46764086466</v>
      </c>
      <c r="M161" s="165"/>
      <c r="N161" s="962"/>
      <c r="O161" s="971"/>
      <c r="P161" s="235"/>
      <c r="Q161" s="156"/>
      <c r="W161" s="151"/>
    </row>
    <row r="162" spans="1:23">
      <c r="A162" s="938">
        <v>45412</v>
      </c>
      <c r="B162" s="157" t="s">
        <v>550</v>
      </c>
      <c r="C162" s="158">
        <f t="shared" si="16"/>
        <v>1760.9249048260724</v>
      </c>
      <c r="D162" s="157" t="s">
        <v>550</v>
      </c>
      <c r="E162" s="159">
        <f t="shared" si="15"/>
        <v>340</v>
      </c>
      <c r="F162" s="265"/>
      <c r="G162" s="265"/>
      <c r="H162" s="157" t="s">
        <v>550</v>
      </c>
      <c r="I162" s="160">
        <f t="shared" si="17"/>
        <v>1450</v>
      </c>
      <c r="J162" s="161" t="s">
        <v>550</v>
      </c>
      <c r="K162" s="159">
        <v>0</v>
      </c>
      <c r="L162" s="162">
        <f t="shared" si="18"/>
        <v>598714.46764086466</v>
      </c>
      <c r="M162" s="165"/>
      <c r="N162" s="962"/>
      <c r="O162" s="971"/>
      <c r="P162" s="235"/>
      <c r="Q162" s="156"/>
      <c r="W162" s="151"/>
    </row>
    <row r="163" spans="1:23">
      <c r="A163" s="938">
        <v>45443</v>
      </c>
      <c r="B163" s="157" t="s">
        <v>550</v>
      </c>
      <c r="C163" s="158">
        <f t="shared" si="16"/>
        <v>1760.9249048260724</v>
      </c>
      <c r="D163" s="157" t="s">
        <v>550</v>
      </c>
      <c r="E163" s="159">
        <f t="shared" si="15"/>
        <v>340</v>
      </c>
      <c r="F163" s="265"/>
      <c r="G163" s="265"/>
      <c r="H163" s="157" t="s">
        <v>550</v>
      </c>
      <c r="I163" s="160">
        <f t="shared" si="17"/>
        <v>1496</v>
      </c>
      <c r="J163" s="161" t="s">
        <v>550</v>
      </c>
      <c r="K163" s="159">
        <v>0</v>
      </c>
      <c r="L163" s="162">
        <f t="shared" si="18"/>
        <v>598714.46764086466</v>
      </c>
      <c r="M163" s="165"/>
      <c r="N163" s="962"/>
      <c r="O163" s="971"/>
      <c r="P163" s="235"/>
      <c r="Q163" s="156"/>
      <c r="W163" s="151"/>
    </row>
    <row r="164" spans="1:23">
      <c r="A164" s="938">
        <v>45473</v>
      </c>
      <c r="B164" s="157" t="s">
        <v>550</v>
      </c>
      <c r="C164" s="158">
        <f t="shared" si="16"/>
        <v>1760.9249048260724</v>
      </c>
      <c r="D164" s="157" t="s">
        <v>550</v>
      </c>
      <c r="E164" s="159">
        <f t="shared" si="15"/>
        <v>340</v>
      </c>
      <c r="F164" s="265"/>
      <c r="G164" s="265"/>
      <c r="H164" s="157" t="s">
        <v>550</v>
      </c>
      <c r="I164" s="160">
        <f t="shared" si="17"/>
        <v>1450</v>
      </c>
      <c r="J164" s="161" t="s">
        <v>550</v>
      </c>
      <c r="K164" s="159">
        <v>0</v>
      </c>
      <c r="L164" s="162">
        <f t="shared" si="18"/>
        <v>598714.46764086466</v>
      </c>
      <c r="M164" s="165"/>
      <c r="N164" s="962"/>
      <c r="O164" s="971"/>
      <c r="P164" s="235"/>
      <c r="Q164" s="156"/>
      <c r="W164" s="151"/>
    </row>
    <row r="165" spans="1:23">
      <c r="A165" s="938">
        <v>45504</v>
      </c>
      <c r="B165" s="157" t="s">
        <v>550</v>
      </c>
      <c r="C165" s="158">
        <f t="shared" si="16"/>
        <v>1760.9249048260724</v>
      </c>
      <c r="D165" s="157" t="s">
        <v>550</v>
      </c>
      <c r="E165" s="159">
        <f t="shared" si="15"/>
        <v>340</v>
      </c>
      <c r="F165" s="265"/>
      <c r="G165" s="265"/>
      <c r="H165" s="157" t="s">
        <v>550</v>
      </c>
      <c r="I165" s="160">
        <f t="shared" si="17"/>
        <v>1496</v>
      </c>
      <c r="J165" s="161" t="s">
        <v>550</v>
      </c>
      <c r="K165" s="159">
        <v>0</v>
      </c>
      <c r="L165" s="162">
        <f t="shared" si="18"/>
        <v>598714.46764086466</v>
      </c>
      <c r="M165" s="165"/>
      <c r="N165" s="962"/>
      <c r="O165" s="971"/>
      <c r="P165" s="235"/>
      <c r="Q165" s="156"/>
      <c r="W165" s="151"/>
    </row>
    <row r="166" spans="1:23">
      <c r="A166" s="938">
        <v>45535</v>
      </c>
      <c r="B166" s="157" t="s">
        <v>550</v>
      </c>
      <c r="C166" s="158">
        <f t="shared" si="16"/>
        <v>1760.9249048260724</v>
      </c>
      <c r="D166" s="157" t="s">
        <v>550</v>
      </c>
      <c r="E166" s="159">
        <f t="shared" si="15"/>
        <v>340</v>
      </c>
      <c r="F166" s="265"/>
      <c r="G166" s="265"/>
      <c r="H166" s="157" t="s">
        <v>550</v>
      </c>
      <c r="I166" s="160">
        <f>5*60+(DAY(A166)-5)*46</f>
        <v>1496</v>
      </c>
      <c r="J166" s="161" t="s">
        <v>550</v>
      </c>
      <c r="K166" s="159">
        <v>0</v>
      </c>
      <c r="L166" s="162">
        <f t="shared" si="18"/>
        <v>598714.46764086466</v>
      </c>
      <c r="M166" s="165"/>
      <c r="N166" s="962"/>
      <c r="O166" s="971"/>
      <c r="P166" s="235"/>
      <c r="Q166" s="156"/>
      <c r="W166" s="151"/>
    </row>
    <row r="167" spans="1:23">
      <c r="A167" s="938">
        <v>45565</v>
      </c>
      <c r="B167" s="157" t="s">
        <v>550</v>
      </c>
      <c r="C167" s="158">
        <f>IF(B167="--",C166,C166*B167)</f>
        <v>1760.9249048260724</v>
      </c>
      <c r="D167" s="157" t="s">
        <v>550</v>
      </c>
      <c r="E167" s="159">
        <f>IF(D167="--",E166,E166+D167)</f>
        <v>340</v>
      </c>
      <c r="F167" s="265"/>
      <c r="G167" s="265"/>
      <c r="H167" s="157" t="s">
        <v>550</v>
      </c>
      <c r="I167" s="160">
        <f>5*60+(DAY(A167)-5)*46</f>
        <v>1450</v>
      </c>
      <c r="J167" s="161" t="s">
        <v>550</v>
      </c>
      <c r="K167" s="159">
        <v>0</v>
      </c>
      <c r="L167" s="162">
        <f t="shared" si="18"/>
        <v>598714.46764086466</v>
      </c>
      <c r="M167" s="165"/>
      <c r="N167" s="962"/>
      <c r="O167" s="962"/>
      <c r="Q167" s="156"/>
    </row>
    <row r="168" spans="1:23">
      <c r="A168" s="938">
        <v>45596</v>
      </c>
      <c r="B168" s="157" t="s">
        <v>550</v>
      </c>
      <c r="C168" s="158">
        <f t="shared" ref="C168:C190" si="19">IF(B168="--",C167,C167*B168)</f>
        <v>1760.9249048260724</v>
      </c>
      <c r="D168" s="157" t="s">
        <v>550</v>
      </c>
      <c r="E168" s="159">
        <f t="shared" ref="E168:E190" si="20">IF(D168="--",E167,E167+D168)</f>
        <v>340</v>
      </c>
      <c r="F168" s="265"/>
      <c r="G168" s="265"/>
      <c r="H168" s="157" t="s">
        <v>550</v>
      </c>
      <c r="I168" s="160">
        <f t="shared" ref="I168:I190" si="21">5*60+(DAY(A168)-5)*46</f>
        <v>1496</v>
      </c>
      <c r="J168" s="161" t="s">
        <v>550</v>
      </c>
      <c r="K168" s="159">
        <v>0</v>
      </c>
      <c r="L168" s="162">
        <f t="shared" si="18"/>
        <v>598714.46764086466</v>
      </c>
      <c r="M168" s="165"/>
      <c r="N168" s="962"/>
      <c r="O168" s="962"/>
      <c r="Q168" s="156"/>
    </row>
    <row r="169" spans="1:23">
      <c r="A169" s="938">
        <v>45626</v>
      </c>
      <c r="B169" s="157" t="s">
        <v>550</v>
      </c>
      <c r="C169" s="158">
        <f t="shared" si="19"/>
        <v>1760.9249048260724</v>
      </c>
      <c r="D169" s="157" t="s">
        <v>550</v>
      </c>
      <c r="E169" s="159">
        <f t="shared" si="20"/>
        <v>340</v>
      </c>
      <c r="F169" s="265"/>
      <c r="G169" s="265"/>
      <c r="H169" s="157" t="s">
        <v>550</v>
      </c>
      <c r="I169" s="160">
        <f t="shared" si="21"/>
        <v>1450</v>
      </c>
      <c r="J169" s="161" t="s">
        <v>550</v>
      </c>
      <c r="K169" s="159">
        <v>0</v>
      </c>
      <c r="L169" s="162">
        <f t="shared" si="18"/>
        <v>598714.46764086466</v>
      </c>
      <c r="M169" s="165"/>
      <c r="N169" s="962"/>
      <c r="O169" s="962"/>
      <c r="Q169" s="156"/>
    </row>
    <row r="170" spans="1:23">
      <c r="A170" s="938">
        <v>45657</v>
      </c>
      <c r="B170" s="157" t="s">
        <v>550</v>
      </c>
      <c r="C170" s="158">
        <f t="shared" si="19"/>
        <v>1760.9249048260724</v>
      </c>
      <c r="D170" s="157" t="s">
        <v>550</v>
      </c>
      <c r="E170" s="159">
        <f t="shared" si="20"/>
        <v>340</v>
      </c>
      <c r="F170" s="265"/>
      <c r="G170" s="265"/>
      <c r="H170" s="157" t="s">
        <v>550</v>
      </c>
      <c r="I170" s="160">
        <f t="shared" si="21"/>
        <v>1496</v>
      </c>
      <c r="J170" s="161" t="s">
        <v>550</v>
      </c>
      <c r="K170" s="159">
        <v>0</v>
      </c>
      <c r="L170" s="162">
        <f t="shared" si="18"/>
        <v>598714.46764086466</v>
      </c>
      <c r="M170" s="165"/>
      <c r="N170" s="962"/>
      <c r="O170" s="962"/>
      <c r="Q170" s="156"/>
    </row>
    <row r="171" spans="1:23">
      <c r="A171" s="938">
        <v>45688</v>
      </c>
      <c r="B171" s="157" t="s">
        <v>550</v>
      </c>
      <c r="C171" s="158">
        <f t="shared" si="19"/>
        <v>1760.9249048260724</v>
      </c>
      <c r="D171" s="157" t="s">
        <v>550</v>
      </c>
      <c r="E171" s="159">
        <f t="shared" si="20"/>
        <v>340</v>
      </c>
      <c r="F171" s="265"/>
      <c r="G171" s="265"/>
      <c r="H171" s="157" t="s">
        <v>550</v>
      </c>
      <c r="I171" s="160">
        <f t="shared" si="21"/>
        <v>1496</v>
      </c>
      <c r="J171" s="161" t="s">
        <v>550</v>
      </c>
      <c r="K171" s="159">
        <v>0</v>
      </c>
      <c r="L171" s="162">
        <f t="shared" si="18"/>
        <v>598714.46764086466</v>
      </c>
      <c r="M171" s="165"/>
      <c r="N171" s="962"/>
      <c r="O171" s="962"/>
      <c r="Q171" s="156"/>
    </row>
    <row r="172" spans="1:23">
      <c r="A172" s="938">
        <v>45716</v>
      </c>
      <c r="B172" s="157" t="s">
        <v>550</v>
      </c>
      <c r="C172" s="158">
        <f t="shared" si="19"/>
        <v>1760.9249048260724</v>
      </c>
      <c r="D172" s="157" t="s">
        <v>550</v>
      </c>
      <c r="E172" s="159">
        <f t="shared" si="20"/>
        <v>340</v>
      </c>
      <c r="F172" s="265"/>
      <c r="G172" s="265"/>
      <c r="H172" s="157" t="s">
        <v>550</v>
      </c>
      <c r="I172" s="160">
        <f t="shared" si="21"/>
        <v>1358</v>
      </c>
      <c r="J172" s="161" t="s">
        <v>550</v>
      </c>
      <c r="K172" s="159">
        <v>0</v>
      </c>
      <c r="L172" s="162">
        <f t="shared" si="18"/>
        <v>598714.46764086466</v>
      </c>
      <c r="M172" s="165"/>
      <c r="N172" s="962"/>
      <c r="O172" s="962"/>
      <c r="Q172" s="156"/>
    </row>
    <row r="173" spans="1:23">
      <c r="A173" s="938">
        <v>45747</v>
      </c>
      <c r="B173" s="157" t="s">
        <v>550</v>
      </c>
      <c r="C173" s="158">
        <f t="shared" si="19"/>
        <v>1760.9249048260724</v>
      </c>
      <c r="D173" s="157" t="s">
        <v>550</v>
      </c>
      <c r="E173" s="159">
        <f t="shared" si="20"/>
        <v>340</v>
      </c>
      <c r="F173" s="265"/>
      <c r="G173" s="265"/>
      <c r="H173" s="157" t="s">
        <v>550</v>
      </c>
      <c r="I173" s="160">
        <f t="shared" si="21"/>
        <v>1496</v>
      </c>
      <c r="J173" s="161" t="s">
        <v>550</v>
      </c>
      <c r="K173" s="159">
        <v>0</v>
      </c>
      <c r="L173" s="162">
        <f t="shared" si="18"/>
        <v>598714.46764086466</v>
      </c>
      <c r="M173" s="165"/>
      <c r="N173" s="962"/>
      <c r="O173" s="962"/>
      <c r="Q173" s="156"/>
    </row>
    <row r="174" spans="1:23">
      <c r="A174" s="938">
        <v>45777</v>
      </c>
      <c r="B174" s="157" t="s">
        <v>550</v>
      </c>
      <c r="C174" s="158">
        <f t="shared" si="19"/>
        <v>1760.9249048260724</v>
      </c>
      <c r="D174" s="157" t="s">
        <v>550</v>
      </c>
      <c r="E174" s="159">
        <f t="shared" si="20"/>
        <v>340</v>
      </c>
      <c r="F174" s="265"/>
      <c r="G174" s="265"/>
      <c r="H174" s="157" t="s">
        <v>550</v>
      </c>
      <c r="I174" s="160">
        <f t="shared" si="21"/>
        <v>1450</v>
      </c>
      <c r="J174" s="161" t="s">
        <v>550</v>
      </c>
      <c r="K174" s="159">
        <v>0</v>
      </c>
      <c r="L174" s="162">
        <f t="shared" si="18"/>
        <v>598714.46764086466</v>
      </c>
      <c r="M174" s="165"/>
      <c r="N174" s="962"/>
      <c r="O174" s="962"/>
      <c r="Q174" s="156"/>
    </row>
    <row r="175" spans="1:23">
      <c r="A175" s="938">
        <v>45808</v>
      </c>
      <c r="B175" s="157" t="s">
        <v>550</v>
      </c>
      <c r="C175" s="158">
        <f t="shared" si="19"/>
        <v>1760.9249048260724</v>
      </c>
      <c r="D175" s="157" t="s">
        <v>550</v>
      </c>
      <c r="E175" s="159">
        <f t="shared" si="20"/>
        <v>340</v>
      </c>
      <c r="F175" s="265"/>
      <c r="G175" s="265"/>
      <c r="H175" s="157" t="s">
        <v>550</v>
      </c>
      <c r="I175" s="160">
        <f t="shared" si="21"/>
        <v>1496</v>
      </c>
      <c r="J175" s="161" t="s">
        <v>550</v>
      </c>
      <c r="K175" s="159">
        <v>0</v>
      </c>
      <c r="L175" s="162">
        <f t="shared" si="18"/>
        <v>598714.46764086466</v>
      </c>
      <c r="M175" s="165"/>
      <c r="N175" s="962"/>
      <c r="O175" s="962"/>
      <c r="Q175" s="156"/>
    </row>
    <row r="176" spans="1:23">
      <c r="A176" s="938">
        <v>45838</v>
      </c>
      <c r="B176" s="157" t="s">
        <v>550</v>
      </c>
      <c r="C176" s="158">
        <f t="shared" si="19"/>
        <v>1760.9249048260724</v>
      </c>
      <c r="D176" s="157" t="s">
        <v>550</v>
      </c>
      <c r="E176" s="159">
        <f t="shared" si="20"/>
        <v>340</v>
      </c>
      <c r="F176" s="265"/>
      <c r="G176" s="265"/>
      <c r="H176" s="157" t="s">
        <v>550</v>
      </c>
      <c r="I176" s="160">
        <f t="shared" si="21"/>
        <v>1450</v>
      </c>
      <c r="J176" s="161" t="s">
        <v>550</v>
      </c>
      <c r="K176" s="159">
        <v>0</v>
      </c>
      <c r="L176" s="162">
        <f t="shared" si="18"/>
        <v>598714.46764086466</v>
      </c>
      <c r="M176" s="165"/>
      <c r="N176" s="962"/>
      <c r="O176" s="962"/>
      <c r="Q176" s="156"/>
    </row>
    <row r="177" spans="1:17">
      <c r="A177" s="938">
        <v>45869</v>
      </c>
      <c r="B177" s="157" t="s">
        <v>550</v>
      </c>
      <c r="C177" s="158">
        <f t="shared" si="19"/>
        <v>1760.9249048260724</v>
      </c>
      <c r="D177" s="157" t="s">
        <v>550</v>
      </c>
      <c r="E177" s="159">
        <f t="shared" si="20"/>
        <v>340</v>
      </c>
      <c r="F177" s="265"/>
      <c r="G177" s="265"/>
      <c r="H177" s="157" t="s">
        <v>550</v>
      </c>
      <c r="I177" s="160">
        <f t="shared" si="21"/>
        <v>1496</v>
      </c>
      <c r="J177" s="161" t="s">
        <v>550</v>
      </c>
      <c r="K177" s="159">
        <v>0</v>
      </c>
      <c r="L177" s="162">
        <f t="shared" si="18"/>
        <v>598714.46764086466</v>
      </c>
      <c r="M177" s="165"/>
      <c r="N177" s="962"/>
      <c r="O177" s="962"/>
      <c r="Q177" s="156"/>
    </row>
    <row r="178" spans="1:17">
      <c r="A178" s="938">
        <v>45900</v>
      </c>
      <c r="B178" s="157" t="s">
        <v>550</v>
      </c>
      <c r="C178" s="158">
        <f t="shared" si="19"/>
        <v>1760.9249048260724</v>
      </c>
      <c r="D178" s="157" t="s">
        <v>550</v>
      </c>
      <c r="E178" s="159">
        <f t="shared" si="20"/>
        <v>340</v>
      </c>
      <c r="F178" s="265"/>
      <c r="G178" s="265"/>
      <c r="H178" s="157" t="s">
        <v>550</v>
      </c>
      <c r="I178" s="160">
        <f t="shared" si="21"/>
        <v>1496</v>
      </c>
      <c r="J178" s="161" t="s">
        <v>550</v>
      </c>
      <c r="K178" s="159">
        <v>0</v>
      </c>
      <c r="L178" s="162">
        <f t="shared" si="18"/>
        <v>598714.46764086466</v>
      </c>
      <c r="M178" s="165"/>
      <c r="N178" s="962"/>
      <c r="O178" s="962"/>
      <c r="Q178" s="156"/>
    </row>
    <row r="179" spans="1:17">
      <c r="A179" s="938">
        <v>45930</v>
      </c>
      <c r="B179" s="157" t="s">
        <v>550</v>
      </c>
      <c r="C179" s="158">
        <f t="shared" si="19"/>
        <v>1760.9249048260724</v>
      </c>
      <c r="D179" s="157" t="s">
        <v>550</v>
      </c>
      <c r="E179" s="159">
        <f t="shared" si="20"/>
        <v>340</v>
      </c>
      <c r="F179" s="265"/>
      <c r="G179" s="265"/>
      <c r="H179" s="157" t="s">
        <v>550</v>
      </c>
      <c r="I179" s="160">
        <f t="shared" si="21"/>
        <v>1450</v>
      </c>
      <c r="J179" s="161" t="s">
        <v>550</v>
      </c>
      <c r="K179" s="159">
        <v>0</v>
      </c>
      <c r="L179" s="162">
        <f t="shared" si="18"/>
        <v>598714.46764086466</v>
      </c>
      <c r="M179" s="165"/>
      <c r="N179" s="962"/>
      <c r="O179" s="962"/>
      <c r="Q179" s="156"/>
    </row>
    <row r="180" spans="1:17">
      <c r="A180" s="938">
        <v>45961</v>
      </c>
      <c r="B180" s="954">
        <v>1.0618000000000001</v>
      </c>
      <c r="C180" s="158">
        <f t="shared" si="19"/>
        <v>1869.7500639443238</v>
      </c>
      <c r="D180" s="157" t="s">
        <v>550</v>
      </c>
      <c r="E180" s="159">
        <f t="shared" si="20"/>
        <v>340</v>
      </c>
      <c r="F180" s="265"/>
      <c r="G180" s="265"/>
      <c r="H180" s="157" t="s">
        <v>550</v>
      </c>
      <c r="I180" s="160">
        <f t="shared" si="21"/>
        <v>1496</v>
      </c>
      <c r="J180" s="161" t="s">
        <v>550</v>
      </c>
      <c r="K180" s="159">
        <v>0</v>
      </c>
      <c r="L180" s="162">
        <f t="shared" si="18"/>
        <v>635715.02174107009</v>
      </c>
      <c r="M180" s="165"/>
      <c r="N180" s="962"/>
      <c r="O180" s="962"/>
      <c r="Q180" s="156"/>
    </row>
    <row r="181" spans="1:17">
      <c r="A181" s="938">
        <v>45991</v>
      </c>
      <c r="B181" s="157" t="s">
        <v>550</v>
      </c>
      <c r="C181" s="158">
        <f t="shared" si="19"/>
        <v>1869.7500639443238</v>
      </c>
      <c r="D181" s="157" t="s">
        <v>550</v>
      </c>
      <c r="E181" s="159">
        <f t="shared" si="20"/>
        <v>340</v>
      </c>
      <c r="F181" s="265"/>
      <c r="G181" s="265"/>
      <c r="H181" s="157" t="s">
        <v>550</v>
      </c>
      <c r="I181" s="160">
        <f t="shared" si="21"/>
        <v>1450</v>
      </c>
      <c r="J181" s="161" t="s">
        <v>550</v>
      </c>
      <c r="K181" s="159">
        <v>0</v>
      </c>
      <c r="L181" s="162">
        <f t="shared" si="18"/>
        <v>635715.02174107009</v>
      </c>
      <c r="M181" s="165"/>
      <c r="N181" s="962"/>
      <c r="O181" s="962"/>
      <c r="Q181" s="156"/>
    </row>
    <row r="182" spans="1:17">
      <c r="A182" s="938">
        <v>46022</v>
      </c>
      <c r="B182" s="157" t="s">
        <v>550</v>
      </c>
      <c r="C182" s="158">
        <f t="shared" si="19"/>
        <v>1869.7500639443238</v>
      </c>
      <c r="D182" s="157" t="s">
        <v>550</v>
      </c>
      <c r="E182" s="159">
        <f t="shared" si="20"/>
        <v>340</v>
      </c>
      <c r="F182" s="265"/>
      <c r="G182" s="265"/>
      <c r="H182" s="157" t="s">
        <v>550</v>
      </c>
      <c r="I182" s="160">
        <f t="shared" si="21"/>
        <v>1496</v>
      </c>
      <c r="J182" s="161" t="s">
        <v>550</v>
      </c>
      <c r="K182" s="159">
        <v>0</v>
      </c>
      <c r="L182" s="162">
        <f t="shared" si="18"/>
        <v>635715.02174107009</v>
      </c>
      <c r="M182" s="165"/>
      <c r="N182" s="962"/>
      <c r="O182" s="962"/>
      <c r="Q182" s="156"/>
    </row>
    <row r="183" spans="1:17">
      <c r="A183" s="938">
        <v>46053</v>
      </c>
      <c r="B183" s="157" t="s">
        <v>550</v>
      </c>
      <c r="C183" s="158">
        <f t="shared" si="19"/>
        <v>1869.7500639443238</v>
      </c>
      <c r="D183" s="157" t="s">
        <v>550</v>
      </c>
      <c r="E183" s="159">
        <f t="shared" si="20"/>
        <v>340</v>
      </c>
      <c r="F183" s="265"/>
      <c r="G183" s="265"/>
      <c r="H183" s="157" t="s">
        <v>550</v>
      </c>
      <c r="I183" s="160">
        <f t="shared" si="21"/>
        <v>1496</v>
      </c>
      <c r="J183" s="161" t="s">
        <v>550</v>
      </c>
      <c r="K183" s="159">
        <v>0</v>
      </c>
      <c r="L183" s="162">
        <f t="shared" si="18"/>
        <v>635715.02174107009</v>
      </c>
      <c r="M183" s="165"/>
      <c r="N183" s="962"/>
      <c r="O183" s="962"/>
      <c r="Q183" s="156"/>
    </row>
    <row r="184" spans="1:17">
      <c r="A184" s="938">
        <v>46081</v>
      </c>
      <c r="B184" s="157" t="s">
        <v>550</v>
      </c>
      <c r="C184" s="158">
        <f t="shared" si="19"/>
        <v>1869.7500639443238</v>
      </c>
      <c r="D184" s="157" t="s">
        <v>550</v>
      </c>
      <c r="E184" s="159">
        <f t="shared" si="20"/>
        <v>340</v>
      </c>
      <c r="F184" s="265"/>
      <c r="G184" s="265"/>
      <c r="H184" s="157" t="s">
        <v>550</v>
      </c>
      <c r="I184" s="160">
        <f t="shared" si="21"/>
        <v>1358</v>
      </c>
      <c r="J184" s="161" t="s">
        <v>550</v>
      </c>
      <c r="K184" s="159">
        <v>0</v>
      </c>
      <c r="L184" s="162">
        <f t="shared" si="18"/>
        <v>635715.02174107009</v>
      </c>
      <c r="M184" s="165"/>
      <c r="N184" s="962"/>
      <c r="O184" s="962"/>
      <c r="Q184" s="156"/>
    </row>
    <row r="185" spans="1:17">
      <c r="A185" s="938">
        <v>46112</v>
      </c>
      <c r="B185" s="157" t="s">
        <v>550</v>
      </c>
      <c r="C185" s="158">
        <f t="shared" si="19"/>
        <v>1869.7500639443238</v>
      </c>
      <c r="D185" s="157" t="s">
        <v>550</v>
      </c>
      <c r="E185" s="159">
        <f t="shared" si="20"/>
        <v>340</v>
      </c>
      <c r="F185" s="265"/>
      <c r="G185" s="265"/>
      <c r="H185" s="157" t="s">
        <v>550</v>
      </c>
      <c r="I185" s="160">
        <f t="shared" si="21"/>
        <v>1496</v>
      </c>
      <c r="J185" s="161" t="s">
        <v>550</v>
      </c>
      <c r="K185" s="159">
        <v>0</v>
      </c>
      <c r="L185" s="162">
        <f t="shared" si="18"/>
        <v>635715.02174107009</v>
      </c>
      <c r="M185" s="165"/>
      <c r="N185" s="962"/>
      <c r="O185" s="962"/>
      <c r="Q185" s="156"/>
    </row>
    <row r="186" spans="1:17">
      <c r="A186" s="938">
        <v>46142</v>
      </c>
      <c r="B186" s="157" t="s">
        <v>550</v>
      </c>
      <c r="C186" s="158">
        <f t="shared" si="19"/>
        <v>1869.7500639443238</v>
      </c>
      <c r="D186" s="157" t="s">
        <v>550</v>
      </c>
      <c r="E186" s="159">
        <f t="shared" si="20"/>
        <v>340</v>
      </c>
      <c r="F186" s="265"/>
      <c r="G186" s="265"/>
      <c r="H186" s="157" t="s">
        <v>550</v>
      </c>
      <c r="I186" s="160">
        <f t="shared" si="21"/>
        <v>1450</v>
      </c>
      <c r="J186" s="161" t="s">
        <v>550</v>
      </c>
      <c r="K186" s="159">
        <v>0</v>
      </c>
      <c r="L186" s="162">
        <f t="shared" si="18"/>
        <v>635715.02174107009</v>
      </c>
      <c r="M186" s="165"/>
      <c r="N186" s="962"/>
      <c r="O186" s="962"/>
      <c r="Q186" s="156"/>
    </row>
    <row r="187" spans="1:17">
      <c r="A187" s="938">
        <v>46173</v>
      </c>
      <c r="B187" s="157" t="s">
        <v>550</v>
      </c>
      <c r="C187" s="158">
        <f t="shared" si="19"/>
        <v>1869.7500639443238</v>
      </c>
      <c r="D187" s="157" t="s">
        <v>550</v>
      </c>
      <c r="E187" s="159">
        <f t="shared" si="20"/>
        <v>340</v>
      </c>
      <c r="F187" s="265"/>
      <c r="G187" s="265"/>
      <c r="H187" s="157" t="s">
        <v>550</v>
      </c>
      <c r="I187" s="160">
        <f t="shared" si="21"/>
        <v>1496</v>
      </c>
      <c r="J187" s="161" t="s">
        <v>550</v>
      </c>
      <c r="K187" s="159">
        <v>0</v>
      </c>
      <c r="L187" s="162">
        <f t="shared" si="18"/>
        <v>635715.02174107009</v>
      </c>
      <c r="M187" s="165"/>
      <c r="N187" s="962"/>
      <c r="O187" s="962"/>
      <c r="Q187" s="156"/>
    </row>
    <row r="188" spans="1:17">
      <c r="A188" s="938">
        <v>46203</v>
      </c>
      <c r="B188" s="157" t="s">
        <v>550</v>
      </c>
      <c r="C188" s="158">
        <f t="shared" si="19"/>
        <v>1869.7500639443238</v>
      </c>
      <c r="D188" s="157" t="s">
        <v>550</v>
      </c>
      <c r="E188" s="159">
        <f t="shared" si="20"/>
        <v>340</v>
      </c>
      <c r="F188" s="265"/>
      <c r="G188" s="265"/>
      <c r="H188" s="157" t="s">
        <v>550</v>
      </c>
      <c r="I188" s="160">
        <f t="shared" si="21"/>
        <v>1450</v>
      </c>
      <c r="J188" s="161" t="s">
        <v>550</v>
      </c>
      <c r="K188" s="159">
        <v>0</v>
      </c>
      <c r="L188" s="162">
        <f t="shared" si="18"/>
        <v>635715.02174107009</v>
      </c>
      <c r="M188" s="165"/>
      <c r="N188" s="962"/>
      <c r="O188" s="962"/>
      <c r="Q188" s="156"/>
    </row>
    <row r="189" spans="1:17">
      <c r="A189" s="938">
        <v>46234</v>
      </c>
      <c r="B189" s="157" t="s">
        <v>550</v>
      </c>
      <c r="C189" s="158">
        <f t="shared" si="19"/>
        <v>1869.7500639443238</v>
      </c>
      <c r="D189" s="157" t="s">
        <v>550</v>
      </c>
      <c r="E189" s="159">
        <f t="shared" si="20"/>
        <v>340</v>
      </c>
      <c r="F189" s="265"/>
      <c r="G189" s="265"/>
      <c r="H189" s="157" t="s">
        <v>550</v>
      </c>
      <c r="I189" s="160">
        <f t="shared" si="21"/>
        <v>1496</v>
      </c>
      <c r="J189" s="161" t="s">
        <v>550</v>
      </c>
      <c r="K189" s="159">
        <v>0</v>
      </c>
      <c r="L189" s="162">
        <f t="shared" si="18"/>
        <v>635715.02174107009</v>
      </c>
      <c r="M189" s="165"/>
      <c r="N189" s="962"/>
      <c r="O189" s="962"/>
      <c r="Q189" s="156"/>
    </row>
    <row r="190" spans="1:17">
      <c r="A190" s="938">
        <v>46265</v>
      </c>
      <c r="B190" s="157" t="s">
        <v>550</v>
      </c>
      <c r="C190" s="158">
        <f t="shared" si="19"/>
        <v>1869.7500639443238</v>
      </c>
      <c r="D190" s="157" t="s">
        <v>550</v>
      </c>
      <c r="E190" s="159">
        <f t="shared" si="20"/>
        <v>340</v>
      </c>
      <c r="F190" s="265"/>
      <c r="G190" s="265"/>
      <c r="H190" s="157" t="s">
        <v>550</v>
      </c>
      <c r="I190" s="160">
        <f t="shared" si="21"/>
        <v>1496</v>
      </c>
      <c r="J190" s="161" t="s">
        <v>550</v>
      </c>
      <c r="K190" s="159">
        <v>0</v>
      </c>
      <c r="L190" s="162">
        <f t="shared" si="18"/>
        <v>635715.02174107009</v>
      </c>
      <c r="M190" s="165"/>
      <c r="N190" s="962"/>
      <c r="O190" s="962"/>
      <c r="Q190" s="156"/>
    </row>
    <row r="191" spans="1:17">
      <c r="A191" s="938">
        <v>46295</v>
      </c>
      <c r="B191" s="157" t="s">
        <v>550</v>
      </c>
      <c r="C191" s="158">
        <f t="shared" ref="C191:C197" si="22">IF(B191="--",C190,C190*B191)</f>
        <v>1869.7500639443238</v>
      </c>
      <c r="D191" s="157" t="s">
        <v>550</v>
      </c>
      <c r="E191" s="159">
        <f t="shared" ref="E191:E197" si="23">IF(D191="--",E190,E190+D191)</f>
        <v>340</v>
      </c>
      <c r="F191" s="265"/>
      <c r="G191" s="265"/>
      <c r="H191" s="157" t="s">
        <v>550</v>
      </c>
      <c r="I191" s="160">
        <f t="shared" ref="I191:I197" si="24">5*60+(DAY(A191)-5)*46</f>
        <v>1450</v>
      </c>
      <c r="J191" s="161" t="s">
        <v>550</v>
      </c>
      <c r="K191" s="159">
        <v>0</v>
      </c>
      <c r="L191" s="162">
        <f t="shared" ref="L191:L197" si="25">E191*C191</f>
        <v>635715.02174107009</v>
      </c>
      <c r="M191" s="165"/>
      <c r="N191" s="962"/>
      <c r="O191" s="962"/>
      <c r="Q191" s="156"/>
    </row>
    <row r="192" spans="1:17">
      <c r="A192" s="938">
        <v>46326</v>
      </c>
      <c r="B192" s="157" t="s">
        <v>550</v>
      </c>
      <c r="C192" s="158">
        <f t="shared" si="22"/>
        <v>1869.7500639443238</v>
      </c>
      <c r="D192" s="157" t="s">
        <v>550</v>
      </c>
      <c r="E192" s="159">
        <f t="shared" si="23"/>
        <v>340</v>
      </c>
      <c r="F192" s="265"/>
      <c r="G192" s="265"/>
      <c r="H192" s="157" t="s">
        <v>550</v>
      </c>
      <c r="I192" s="160">
        <f t="shared" si="24"/>
        <v>1496</v>
      </c>
      <c r="J192" s="161" t="s">
        <v>550</v>
      </c>
      <c r="K192" s="159">
        <v>0</v>
      </c>
      <c r="L192" s="162">
        <f t="shared" si="25"/>
        <v>635715.02174107009</v>
      </c>
      <c r="M192" s="165"/>
      <c r="N192" s="962"/>
      <c r="O192" s="962"/>
      <c r="Q192" s="156"/>
    </row>
    <row r="193" spans="1:17">
      <c r="A193" s="938">
        <v>46356</v>
      </c>
      <c r="B193" s="157" t="s">
        <v>550</v>
      </c>
      <c r="C193" s="158">
        <f t="shared" si="22"/>
        <v>1869.7500639443238</v>
      </c>
      <c r="D193" s="157" t="s">
        <v>550</v>
      </c>
      <c r="E193" s="159">
        <f t="shared" si="23"/>
        <v>340</v>
      </c>
      <c r="F193" s="265"/>
      <c r="G193" s="265"/>
      <c r="H193" s="157" t="s">
        <v>550</v>
      </c>
      <c r="I193" s="160">
        <f t="shared" si="24"/>
        <v>1450</v>
      </c>
      <c r="J193" s="161" t="s">
        <v>550</v>
      </c>
      <c r="K193" s="159">
        <v>0</v>
      </c>
      <c r="L193" s="162">
        <f t="shared" si="25"/>
        <v>635715.02174107009</v>
      </c>
      <c r="M193" s="165"/>
      <c r="N193" s="962"/>
      <c r="O193" s="962"/>
      <c r="Q193" s="156"/>
    </row>
    <row r="194" spans="1:17">
      <c r="A194" s="938">
        <v>46387</v>
      </c>
      <c r="B194" s="157" t="s">
        <v>550</v>
      </c>
      <c r="C194" s="158">
        <f t="shared" si="22"/>
        <v>1869.7500639443238</v>
      </c>
      <c r="D194" s="157" t="s">
        <v>550</v>
      </c>
      <c r="E194" s="159">
        <f t="shared" si="23"/>
        <v>340</v>
      </c>
      <c r="F194" s="265"/>
      <c r="G194" s="265"/>
      <c r="H194" s="157" t="s">
        <v>550</v>
      </c>
      <c r="I194" s="160">
        <f t="shared" si="24"/>
        <v>1496</v>
      </c>
      <c r="J194" s="161" t="s">
        <v>550</v>
      </c>
      <c r="K194" s="159">
        <v>0</v>
      </c>
      <c r="L194" s="162">
        <f t="shared" si="25"/>
        <v>635715.02174107009</v>
      </c>
      <c r="M194" s="165"/>
      <c r="N194" s="962"/>
      <c r="O194" s="962"/>
      <c r="Q194" s="156"/>
    </row>
    <row r="195" spans="1:17">
      <c r="A195" s="938">
        <v>46418</v>
      </c>
      <c r="B195" s="157" t="s">
        <v>550</v>
      </c>
      <c r="C195" s="158">
        <f t="shared" si="22"/>
        <v>1869.7500639443238</v>
      </c>
      <c r="D195" s="157" t="s">
        <v>550</v>
      </c>
      <c r="E195" s="159">
        <f t="shared" si="23"/>
        <v>340</v>
      </c>
      <c r="F195" s="265"/>
      <c r="G195" s="265"/>
      <c r="H195" s="157" t="s">
        <v>550</v>
      </c>
      <c r="I195" s="160">
        <f t="shared" si="24"/>
        <v>1496</v>
      </c>
      <c r="J195" s="161" t="s">
        <v>550</v>
      </c>
      <c r="K195" s="159">
        <v>0</v>
      </c>
      <c r="L195" s="162">
        <f t="shared" si="25"/>
        <v>635715.02174107009</v>
      </c>
      <c r="M195" s="165"/>
      <c r="N195" s="962"/>
      <c r="O195" s="962"/>
      <c r="Q195" s="156"/>
    </row>
    <row r="196" spans="1:17">
      <c r="A196" s="938">
        <v>46446</v>
      </c>
      <c r="B196" s="157" t="s">
        <v>550</v>
      </c>
      <c r="C196" s="158">
        <f t="shared" si="22"/>
        <v>1869.7500639443238</v>
      </c>
      <c r="D196" s="157" t="s">
        <v>550</v>
      </c>
      <c r="E196" s="159">
        <f t="shared" si="23"/>
        <v>340</v>
      </c>
      <c r="F196" s="265"/>
      <c r="G196" s="265"/>
      <c r="H196" s="157" t="s">
        <v>550</v>
      </c>
      <c r="I196" s="160">
        <f t="shared" si="24"/>
        <v>1358</v>
      </c>
      <c r="J196" s="161" t="s">
        <v>550</v>
      </c>
      <c r="K196" s="159">
        <v>0</v>
      </c>
      <c r="L196" s="162">
        <f t="shared" si="25"/>
        <v>635715.02174107009</v>
      </c>
      <c r="M196" s="165"/>
      <c r="N196" s="962"/>
      <c r="O196" s="962"/>
      <c r="Q196" s="156"/>
    </row>
    <row r="197" spans="1:17">
      <c r="A197" s="945">
        <v>46477</v>
      </c>
      <c r="B197" s="157" t="s">
        <v>550</v>
      </c>
      <c r="C197" s="158">
        <f t="shared" si="22"/>
        <v>1869.7500639443238</v>
      </c>
      <c r="D197" s="157" t="s">
        <v>550</v>
      </c>
      <c r="E197" s="159">
        <f t="shared" si="23"/>
        <v>340</v>
      </c>
      <c r="F197" s="265"/>
      <c r="G197" s="265"/>
      <c r="H197" s="157" t="s">
        <v>550</v>
      </c>
      <c r="I197" s="160">
        <f t="shared" si="24"/>
        <v>1496</v>
      </c>
      <c r="J197" s="161" t="s">
        <v>550</v>
      </c>
      <c r="K197" s="159">
        <v>0</v>
      </c>
      <c r="L197" s="256">
        <f t="shared" si="25"/>
        <v>635715.02174107009</v>
      </c>
      <c r="M197" s="165"/>
      <c r="N197" s="972"/>
      <c r="O197" s="972"/>
      <c r="P197" s="170"/>
      <c r="Q197" s="156"/>
    </row>
    <row r="198" spans="1:17">
      <c r="A198" s="938">
        <v>46507</v>
      </c>
      <c r="B198" s="157" t="s">
        <v>550</v>
      </c>
      <c r="C198" s="158">
        <f t="shared" ref="C198:C251" si="26">IF(B198="--",C197,C197*B198)</f>
        <v>1869.7500639443238</v>
      </c>
      <c r="D198" s="157" t="s">
        <v>550</v>
      </c>
      <c r="E198" s="159">
        <f t="shared" ref="E198:E251" si="27">IF(D198="--",E197,E197+D198)</f>
        <v>340</v>
      </c>
      <c r="F198" s="265"/>
      <c r="G198" s="265"/>
      <c r="H198" s="157" t="s">
        <v>550</v>
      </c>
      <c r="I198" s="160">
        <f t="shared" ref="I198:I251" si="28">5*60+(DAY(A198)-5)*46</f>
        <v>1450</v>
      </c>
      <c r="J198" s="161" t="s">
        <v>550</v>
      </c>
      <c r="K198" s="159">
        <v>0</v>
      </c>
      <c r="L198" s="256">
        <f t="shared" ref="L198:L249" si="29">E198*C198</f>
        <v>635715.02174107009</v>
      </c>
      <c r="M198" s="165"/>
      <c r="N198" s="972"/>
      <c r="O198" s="972"/>
      <c r="P198" s="170"/>
      <c r="Q198" s="156"/>
    </row>
    <row r="199" spans="1:17">
      <c r="A199" s="938">
        <v>46538</v>
      </c>
      <c r="B199" s="157" t="s">
        <v>550</v>
      </c>
      <c r="C199" s="158">
        <f t="shared" si="26"/>
        <v>1869.7500639443238</v>
      </c>
      <c r="D199" s="157" t="s">
        <v>550</v>
      </c>
      <c r="E199" s="159">
        <f t="shared" si="27"/>
        <v>340</v>
      </c>
      <c r="F199" s="265"/>
      <c r="G199" s="265"/>
      <c r="H199" s="157" t="s">
        <v>550</v>
      </c>
      <c r="I199" s="160">
        <f t="shared" si="28"/>
        <v>1496</v>
      </c>
      <c r="J199" s="161" t="s">
        <v>550</v>
      </c>
      <c r="K199" s="159">
        <v>0</v>
      </c>
      <c r="L199" s="256">
        <f t="shared" si="29"/>
        <v>635715.02174107009</v>
      </c>
      <c r="M199" s="165"/>
      <c r="N199" s="972"/>
      <c r="O199" s="972"/>
      <c r="P199" s="170"/>
      <c r="Q199" s="156"/>
    </row>
    <row r="200" spans="1:17">
      <c r="A200" s="938">
        <v>46568</v>
      </c>
      <c r="B200" s="157" t="s">
        <v>550</v>
      </c>
      <c r="C200" s="158">
        <f t="shared" si="26"/>
        <v>1869.7500639443238</v>
      </c>
      <c r="D200" s="157" t="s">
        <v>550</v>
      </c>
      <c r="E200" s="159">
        <f t="shared" si="27"/>
        <v>340</v>
      </c>
      <c r="F200" s="265"/>
      <c r="G200" s="265"/>
      <c r="H200" s="157" t="s">
        <v>550</v>
      </c>
      <c r="I200" s="160">
        <f t="shared" si="28"/>
        <v>1450</v>
      </c>
      <c r="J200" s="161" t="s">
        <v>550</v>
      </c>
      <c r="K200" s="159">
        <v>0</v>
      </c>
      <c r="L200" s="256">
        <f t="shared" si="29"/>
        <v>635715.02174107009</v>
      </c>
      <c r="M200" s="165"/>
      <c r="N200" s="972"/>
      <c r="O200" s="972"/>
      <c r="P200" s="170"/>
      <c r="Q200" s="156"/>
    </row>
    <row r="201" spans="1:17">
      <c r="A201" s="938">
        <v>46599</v>
      </c>
      <c r="B201" s="157" t="s">
        <v>550</v>
      </c>
      <c r="C201" s="158">
        <f t="shared" si="26"/>
        <v>1869.7500639443238</v>
      </c>
      <c r="D201" s="157" t="s">
        <v>550</v>
      </c>
      <c r="E201" s="159">
        <f t="shared" si="27"/>
        <v>340</v>
      </c>
      <c r="F201" s="265"/>
      <c r="G201" s="265"/>
      <c r="H201" s="157" t="s">
        <v>550</v>
      </c>
      <c r="I201" s="160">
        <f t="shared" si="28"/>
        <v>1496</v>
      </c>
      <c r="J201" s="161" t="s">
        <v>550</v>
      </c>
      <c r="K201" s="159">
        <v>0</v>
      </c>
      <c r="L201" s="256">
        <f t="shared" si="29"/>
        <v>635715.02174107009</v>
      </c>
      <c r="M201" s="165"/>
      <c r="N201" s="972"/>
      <c r="O201" s="972"/>
      <c r="P201" s="170"/>
      <c r="Q201" s="156"/>
    </row>
    <row r="202" spans="1:17">
      <c r="A202" s="938">
        <v>46630</v>
      </c>
      <c r="B202" s="157" t="s">
        <v>550</v>
      </c>
      <c r="C202" s="158">
        <f t="shared" si="26"/>
        <v>1869.7500639443238</v>
      </c>
      <c r="D202" s="157" t="s">
        <v>550</v>
      </c>
      <c r="E202" s="159">
        <f t="shared" si="27"/>
        <v>340</v>
      </c>
      <c r="F202" s="265"/>
      <c r="G202" s="265"/>
      <c r="H202" s="157" t="s">
        <v>550</v>
      </c>
      <c r="I202" s="160">
        <f t="shared" si="28"/>
        <v>1496</v>
      </c>
      <c r="J202" s="161" t="s">
        <v>550</v>
      </c>
      <c r="K202" s="159">
        <v>0</v>
      </c>
      <c r="L202" s="256">
        <f t="shared" si="29"/>
        <v>635715.02174107009</v>
      </c>
      <c r="M202" s="165"/>
      <c r="N202" s="972"/>
      <c r="O202" s="972"/>
      <c r="P202" s="170"/>
      <c r="Q202" s="156"/>
    </row>
    <row r="203" spans="1:17">
      <c r="A203" s="938">
        <v>46660</v>
      </c>
      <c r="B203" s="157" t="s">
        <v>550</v>
      </c>
      <c r="C203" s="158">
        <f t="shared" si="26"/>
        <v>1869.7500639443238</v>
      </c>
      <c r="D203" s="157" t="s">
        <v>550</v>
      </c>
      <c r="E203" s="159">
        <f t="shared" si="27"/>
        <v>340</v>
      </c>
      <c r="F203" s="265"/>
      <c r="G203" s="265"/>
      <c r="H203" s="157" t="s">
        <v>550</v>
      </c>
      <c r="I203" s="160">
        <f t="shared" si="28"/>
        <v>1450</v>
      </c>
      <c r="J203" s="161" t="s">
        <v>550</v>
      </c>
      <c r="K203" s="159">
        <v>0</v>
      </c>
      <c r="L203" s="256">
        <f t="shared" si="29"/>
        <v>635715.02174107009</v>
      </c>
      <c r="M203" s="165"/>
      <c r="N203" s="972"/>
      <c r="O203" s="972"/>
      <c r="P203" s="170"/>
      <c r="Q203" s="156"/>
    </row>
    <row r="204" spans="1:17">
      <c r="A204" s="938">
        <v>46691</v>
      </c>
      <c r="B204" s="954">
        <v>1.0618000000000001</v>
      </c>
      <c r="C204" s="158">
        <f t="shared" si="26"/>
        <v>1985.3006178960832</v>
      </c>
      <c r="D204" s="157" t="s">
        <v>550</v>
      </c>
      <c r="E204" s="159">
        <f t="shared" si="27"/>
        <v>340</v>
      </c>
      <c r="F204" s="265"/>
      <c r="G204" s="265"/>
      <c r="H204" s="157" t="s">
        <v>550</v>
      </c>
      <c r="I204" s="160">
        <f t="shared" si="28"/>
        <v>1496</v>
      </c>
      <c r="J204" s="161" t="s">
        <v>550</v>
      </c>
      <c r="K204" s="159">
        <v>0</v>
      </c>
      <c r="L204" s="256">
        <f t="shared" si="29"/>
        <v>675002.21008466824</v>
      </c>
      <c r="M204" s="165"/>
      <c r="N204" s="972"/>
      <c r="O204" s="972"/>
      <c r="P204" s="170"/>
      <c r="Q204" s="156"/>
    </row>
    <row r="205" spans="1:17">
      <c r="A205" s="938">
        <v>46721</v>
      </c>
      <c r="B205" s="157" t="s">
        <v>550</v>
      </c>
      <c r="C205" s="158">
        <f t="shared" si="26"/>
        <v>1985.3006178960832</v>
      </c>
      <c r="D205" s="157" t="s">
        <v>550</v>
      </c>
      <c r="E205" s="159">
        <f t="shared" si="27"/>
        <v>340</v>
      </c>
      <c r="F205" s="265"/>
      <c r="G205" s="265"/>
      <c r="H205" s="157" t="s">
        <v>550</v>
      </c>
      <c r="I205" s="160">
        <f t="shared" si="28"/>
        <v>1450</v>
      </c>
      <c r="J205" s="161" t="s">
        <v>550</v>
      </c>
      <c r="K205" s="159">
        <v>0</v>
      </c>
      <c r="L205" s="256">
        <f t="shared" si="29"/>
        <v>675002.21008466824</v>
      </c>
      <c r="M205" s="165"/>
      <c r="N205" s="972"/>
      <c r="O205" s="972"/>
      <c r="P205" s="170"/>
      <c r="Q205" s="156"/>
    </row>
    <row r="206" spans="1:17">
      <c r="A206" s="938">
        <v>46752</v>
      </c>
      <c r="B206" s="157" t="s">
        <v>550</v>
      </c>
      <c r="C206" s="158">
        <f t="shared" si="26"/>
        <v>1985.3006178960832</v>
      </c>
      <c r="D206" s="157" t="s">
        <v>550</v>
      </c>
      <c r="E206" s="159">
        <f t="shared" si="27"/>
        <v>340</v>
      </c>
      <c r="F206" s="265"/>
      <c r="G206" s="265"/>
      <c r="H206" s="157" t="s">
        <v>550</v>
      </c>
      <c r="I206" s="160">
        <f t="shared" si="28"/>
        <v>1496</v>
      </c>
      <c r="J206" s="161" t="s">
        <v>550</v>
      </c>
      <c r="K206" s="159">
        <v>0</v>
      </c>
      <c r="L206" s="256">
        <f t="shared" si="29"/>
        <v>675002.21008466824</v>
      </c>
      <c r="M206" s="165"/>
      <c r="N206" s="972"/>
      <c r="O206" s="972"/>
      <c r="P206" s="170"/>
      <c r="Q206" s="156"/>
    </row>
    <row r="207" spans="1:17">
      <c r="A207" s="938">
        <v>46783</v>
      </c>
      <c r="B207" s="157" t="s">
        <v>550</v>
      </c>
      <c r="C207" s="158">
        <f t="shared" si="26"/>
        <v>1985.3006178960832</v>
      </c>
      <c r="D207" s="157" t="s">
        <v>550</v>
      </c>
      <c r="E207" s="159">
        <f t="shared" si="27"/>
        <v>340</v>
      </c>
      <c r="F207" s="265"/>
      <c r="G207" s="265"/>
      <c r="H207" s="157" t="s">
        <v>550</v>
      </c>
      <c r="I207" s="160">
        <f t="shared" si="28"/>
        <v>1496</v>
      </c>
      <c r="J207" s="161" t="s">
        <v>550</v>
      </c>
      <c r="K207" s="159">
        <v>0</v>
      </c>
      <c r="L207" s="256">
        <f t="shared" si="29"/>
        <v>675002.21008466824</v>
      </c>
      <c r="M207" s="165"/>
      <c r="N207" s="972"/>
      <c r="O207" s="972"/>
      <c r="P207" s="170"/>
      <c r="Q207" s="156"/>
    </row>
    <row r="208" spans="1:17">
      <c r="A208" s="938">
        <v>46811</v>
      </c>
      <c r="B208" s="157" t="s">
        <v>550</v>
      </c>
      <c r="C208" s="158">
        <f t="shared" si="26"/>
        <v>1985.3006178960832</v>
      </c>
      <c r="D208" s="157" t="s">
        <v>550</v>
      </c>
      <c r="E208" s="159">
        <f t="shared" si="27"/>
        <v>340</v>
      </c>
      <c r="F208" s="265"/>
      <c r="G208" s="265"/>
      <c r="H208" s="157" t="s">
        <v>550</v>
      </c>
      <c r="I208" s="160">
        <f t="shared" si="28"/>
        <v>1358</v>
      </c>
      <c r="J208" s="161" t="s">
        <v>550</v>
      </c>
      <c r="K208" s="159">
        <v>0</v>
      </c>
      <c r="L208" s="256">
        <f t="shared" si="29"/>
        <v>675002.21008466824</v>
      </c>
      <c r="M208" s="165"/>
      <c r="N208" s="972"/>
      <c r="O208" s="972"/>
      <c r="P208" s="170"/>
      <c r="Q208" s="156"/>
    </row>
    <row r="209" spans="1:17">
      <c r="A209" s="938">
        <v>46843</v>
      </c>
      <c r="B209" s="157" t="s">
        <v>550</v>
      </c>
      <c r="C209" s="158">
        <f t="shared" si="26"/>
        <v>1985.3006178960832</v>
      </c>
      <c r="D209" s="157" t="s">
        <v>550</v>
      </c>
      <c r="E209" s="159">
        <f t="shared" si="27"/>
        <v>340</v>
      </c>
      <c r="F209" s="265"/>
      <c r="G209" s="265"/>
      <c r="H209" s="157" t="s">
        <v>550</v>
      </c>
      <c r="I209" s="160">
        <f t="shared" si="28"/>
        <v>1496</v>
      </c>
      <c r="J209" s="161" t="s">
        <v>550</v>
      </c>
      <c r="K209" s="159">
        <v>0</v>
      </c>
      <c r="L209" s="256">
        <f t="shared" si="29"/>
        <v>675002.21008466824</v>
      </c>
      <c r="M209" s="165"/>
      <c r="N209" s="972"/>
      <c r="O209" s="972"/>
      <c r="P209" s="170"/>
      <c r="Q209" s="156"/>
    </row>
    <row r="210" spans="1:17">
      <c r="A210" s="938">
        <v>46873</v>
      </c>
      <c r="B210" s="157" t="s">
        <v>550</v>
      </c>
      <c r="C210" s="158">
        <f t="shared" si="26"/>
        <v>1985.3006178960832</v>
      </c>
      <c r="D210" s="157" t="s">
        <v>550</v>
      </c>
      <c r="E210" s="159">
        <f t="shared" si="27"/>
        <v>340</v>
      </c>
      <c r="F210" s="265"/>
      <c r="G210" s="265"/>
      <c r="H210" s="157" t="s">
        <v>550</v>
      </c>
      <c r="I210" s="160">
        <f t="shared" si="28"/>
        <v>1450</v>
      </c>
      <c r="J210" s="161" t="s">
        <v>550</v>
      </c>
      <c r="K210" s="159">
        <v>0</v>
      </c>
      <c r="L210" s="256">
        <f t="shared" si="29"/>
        <v>675002.21008466824</v>
      </c>
      <c r="M210" s="165"/>
      <c r="N210" s="972"/>
      <c r="O210" s="972"/>
      <c r="P210" s="170"/>
      <c r="Q210" s="156"/>
    </row>
    <row r="211" spans="1:17">
      <c r="A211" s="938">
        <v>46904</v>
      </c>
      <c r="B211" s="157" t="s">
        <v>550</v>
      </c>
      <c r="C211" s="158">
        <f t="shared" si="26"/>
        <v>1985.3006178960832</v>
      </c>
      <c r="D211" s="157" t="s">
        <v>550</v>
      </c>
      <c r="E211" s="159">
        <f t="shared" si="27"/>
        <v>340</v>
      </c>
      <c r="F211" s="265"/>
      <c r="G211" s="265"/>
      <c r="H211" s="157" t="s">
        <v>550</v>
      </c>
      <c r="I211" s="160">
        <f t="shared" si="28"/>
        <v>1496</v>
      </c>
      <c r="J211" s="161" t="s">
        <v>550</v>
      </c>
      <c r="K211" s="159">
        <v>0</v>
      </c>
      <c r="L211" s="256">
        <f t="shared" si="29"/>
        <v>675002.21008466824</v>
      </c>
      <c r="M211" s="165"/>
      <c r="N211" s="972"/>
      <c r="O211" s="972"/>
      <c r="P211" s="170"/>
      <c r="Q211" s="156"/>
    </row>
    <row r="212" spans="1:17">
      <c r="A212" s="938">
        <v>46934</v>
      </c>
      <c r="B212" s="157" t="s">
        <v>550</v>
      </c>
      <c r="C212" s="158">
        <f t="shared" si="26"/>
        <v>1985.3006178960832</v>
      </c>
      <c r="D212" s="157" t="s">
        <v>550</v>
      </c>
      <c r="E212" s="159">
        <f t="shared" si="27"/>
        <v>340</v>
      </c>
      <c r="F212" s="265"/>
      <c r="G212" s="265"/>
      <c r="H212" s="157" t="s">
        <v>550</v>
      </c>
      <c r="I212" s="160">
        <f t="shared" si="28"/>
        <v>1450</v>
      </c>
      <c r="J212" s="161" t="s">
        <v>550</v>
      </c>
      <c r="K212" s="159">
        <v>0</v>
      </c>
      <c r="L212" s="256">
        <f t="shared" si="29"/>
        <v>675002.21008466824</v>
      </c>
      <c r="M212" s="165"/>
      <c r="N212" s="972"/>
      <c r="O212" s="972"/>
      <c r="P212" s="170"/>
      <c r="Q212" s="156"/>
    </row>
    <row r="213" spans="1:17">
      <c r="A213" s="938">
        <v>46965</v>
      </c>
      <c r="B213" s="157" t="s">
        <v>550</v>
      </c>
      <c r="C213" s="158">
        <f t="shared" si="26"/>
        <v>1985.3006178960832</v>
      </c>
      <c r="D213" s="157" t="s">
        <v>550</v>
      </c>
      <c r="E213" s="159">
        <f t="shared" si="27"/>
        <v>340</v>
      </c>
      <c r="F213" s="265"/>
      <c r="G213" s="265"/>
      <c r="H213" s="157" t="s">
        <v>550</v>
      </c>
      <c r="I213" s="160">
        <f t="shared" si="28"/>
        <v>1496</v>
      </c>
      <c r="J213" s="161" t="s">
        <v>550</v>
      </c>
      <c r="K213" s="159">
        <v>0</v>
      </c>
      <c r="L213" s="256">
        <f t="shared" si="29"/>
        <v>675002.21008466824</v>
      </c>
      <c r="M213" s="165"/>
      <c r="N213" s="972"/>
      <c r="O213" s="972"/>
      <c r="P213" s="170"/>
      <c r="Q213" s="156"/>
    </row>
    <row r="214" spans="1:17">
      <c r="A214" s="938">
        <v>46996</v>
      </c>
      <c r="B214" s="157" t="s">
        <v>550</v>
      </c>
      <c r="C214" s="158">
        <f t="shared" si="26"/>
        <v>1985.3006178960832</v>
      </c>
      <c r="D214" s="157" t="s">
        <v>550</v>
      </c>
      <c r="E214" s="159">
        <f t="shared" si="27"/>
        <v>340</v>
      </c>
      <c r="F214" s="265"/>
      <c r="G214" s="265"/>
      <c r="H214" s="157" t="s">
        <v>550</v>
      </c>
      <c r="I214" s="160">
        <f t="shared" si="28"/>
        <v>1496</v>
      </c>
      <c r="J214" s="161" t="s">
        <v>550</v>
      </c>
      <c r="K214" s="159">
        <v>0</v>
      </c>
      <c r="L214" s="256">
        <f t="shared" si="29"/>
        <v>675002.21008466824</v>
      </c>
      <c r="M214" s="165"/>
      <c r="N214" s="972"/>
      <c r="O214" s="972"/>
      <c r="P214" s="170"/>
      <c r="Q214" s="156"/>
    </row>
    <row r="215" spans="1:17">
      <c r="A215" s="938">
        <v>47026</v>
      </c>
      <c r="B215" s="157" t="s">
        <v>550</v>
      </c>
      <c r="C215" s="158">
        <f t="shared" si="26"/>
        <v>1985.3006178960832</v>
      </c>
      <c r="D215" s="157" t="s">
        <v>550</v>
      </c>
      <c r="E215" s="159">
        <f t="shared" si="27"/>
        <v>340</v>
      </c>
      <c r="F215" s="265"/>
      <c r="G215" s="265"/>
      <c r="H215" s="157" t="s">
        <v>550</v>
      </c>
      <c r="I215" s="160">
        <f t="shared" si="28"/>
        <v>1450</v>
      </c>
      <c r="J215" s="161" t="s">
        <v>550</v>
      </c>
      <c r="K215" s="159">
        <v>0</v>
      </c>
      <c r="L215" s="256">
        <f t="shared" si="29"/>
        <v>675002.21008466824</v>
      </c>
      <c r="M215" s="165"/>
      <c r="N215" s="972"/>
      <c r="O215" s="972"/>
      <c r="P215" s="170"/>
      <c r="Q215" s="156"/>
    </row>
    <row r="216" spans="1:17">
      <c r="A216" s="938">
        <v>47057</v>
      </c>
      <c r="B216" s="157" t="s">
        <v>550</v>
      </c>
      <c r="C216" s="158">
        <f t="shared" si="26"/>
        <v>1985.3006178960832</v>
      </c>
      <c r="D216" s="157" t="s">
        <v>550</v>
      </c>
      <c r="E216" s="159">
        <f t="shared" si="27"/>
        <v>340</v>
      </c>
      <c r="F216" s="265"/>
      <c r="G216" s="265"/>
      <c r="H216" s="157" t="s">
        <v>550</v>
      </c>
      <c r="I216" s="160">
        <f t="shared" si="28"/>
        <v>1496</v>
      </c>
      <c r="J216" s="161" t="s">
        <v>550</v>
      </c>
      <c r="K216" s="159">
        <v>0</v>
      </c>
      <c r="L216" s="256">
        <f t="shared" si="29"/>
        <v>675002.21008466824</v>
      </c>
      <c r="M216" s="165"/>
      <c r="N216" s="972"/>
      <c r="O216" s="972"/>
      <c r="P216" s="170"/>
      <c r="Q216" s="156"/>
    </row>
    <row r="217" spans="1:17">
      <c r="A217" s="938">
        <v>47087</v>
      </c>
      <c r="B217" s="157" t="s">
        <v>550</v>
      </c>
      <c r="C217" s="158">
        <f t="shared" si="26"/>
        <v>1985.3006178960832</v>
      </c>
      <c r="D217" s="157" t="s">
        <v>550</v>
      </c>
      <c r="E217" s="159">
        <f t="shared" si="27"/>
        <v>340</v>
      </c>
      <c r="F217" s="265"/>
      <c r="G217" s="265"/>
      <c r="H217" s="157" t="s">
        <v>550</v>
      </c>
      <c r="I217" s="160">
        <f t="shared" si="28"/>
        <v>1450</v>
      </c>
      <c r="J217" s="161" t="s">
        <v>550</v>
      </c>
      <c r="K217" s="159">
        <v>0</v>
      </c>
      <c r="L217" s="256">
        <f t="shared" si="29"/>
        <v>675002.21008466824</v>
      </c>
      <c r="M217" s="165"/>
      <c r="N217" s="972"/>
      <c r="O217" s="972"/>
      <c r="P217" s="170"/>
      <c r="Q217" s="156"/>
    </row>
    <row r="218" spans="1:17">
      <c r="A218" s="938">
        <v>47118</v>
      </c>
      <c r="B218" s="157" t="s">
        <v>550</v>
      </c>
      <c r="C218" s="158">
        <f t="shared" si="26"/>
        <v>1985.3006178960832</v>
      </c>
      <c r="D218" s="157" t="s">
        <v>550</v>
      </c>
      <c r="E218" s="159">
        <f t="shared" si="27"/>
        <v>340</v>
      </c>
      <c r="F218" s="265"/>
      <c r="G218" s="265"/>
      <c r="H218" s="157" t="s">
        <v>550</v>
      </c>
      <c r="I218" s="160">
        <f t="shared" si="28"/>
        <v>1496</v>
      </c>
      <c r="J218" s="161" t="s">
        <v>550</v>
      </c>
      <c r="K218" s="159">
        <v>0</v>
      </c>
      <c r="L218" s="256">
        <f t="shared" si="29"/>
        <v>675002.21008466824</v>
      </c>
      <c r="M218" s="165"/>
      <c r="N218" s="972"/>
      <c r="O218" s="972"/>
      <c r="P218" s="170"/>
      <c r="Q218" s="156"/>
    </row>
    <row r="219" spans="1:17">
      <c r="A219" s="938">
        <v>47149</v>
      </c>
      <c r="B219" s="157" t="s">
        <v>550</v>
      </c>
      <c r="C219" s="158">
        <f t="shared" si="26"/>
        <v>1985.3006178960832</v>
      </c>
      <c r="D219" s="157" t="s">
        <v>550</v>
      </c>
      <c r="E219" s="159">
        <f t="shared" si="27"/>
        <v>340</v>
      </c>
      <c r="F219" s="265"/>
      <c r="G219" s="265"/>
      <c r="H219" s="157" t="s">
        <v>550</v>
      </c>
      <c r="I219" s="160">
        <f t="shared" si="28"/>
        <v>1496</v>
      </c>
      <c r="J219" s="161" t="s">
        <v>550</v>
      </c>
      <c r="K219" s="159">
        <v>0</v>
      </c>
      <c r="L219" s="256">
        <f t="shared" si="29"/>
        <v>675002.21008466824</v>
      </c>
      <c r="M219" s="165"/>
      <c r="N219" s="972"/>
      <c r="O219" s="972"/>
      <c r="P219" s="170"/>
      <c r="Q219" s="156"/>
    </row>
    <row r="220" spans="1:17">
      <c r="A220" s="938">
        <v>47177</v>
      </c>
      <c r="B220" s="157" t="s">
        <v>550</v>
      </c>
      <c r="C220" s="158">
        <f t="shared" si="26"/>
        <v>1985.3006178960832</v>
      </c>
      <c r="D220" s="157" t="s">
        <v>550</v>
      </c>
      <c r="E220" s="159">
        <f t="shared" si="27"/>
        <v>340</v>
      </c>
      <c r="F220" s="265"/>
      <c r="G220" s="265"/>
      <c r="H220" s="157" t="s">
        <v>550</v>
      </c>
      <c r="I220" s="160">
        <f t="shared" si="28"/>
        <v>1358</v>
      </c>
      <c r="J220" s="161" t="s">
        <v>550</v>
      </c>
      <c r="K220" s="159">
        <v>0</v>
      </c>
      <c r="L220" s="256">
        <f t="shared" si="29"/>
        <v>675002.21008466824</v>
      </c>
      <c r="M220" s="165"/>
      <c r="N220" s="972"/>
      <c r="O220" s="972"/>
      <c r="P220" s="170"/>
      <c r="Q220" s="156"/>
    </row>
    <row r="221" spans="1:17">
      <c r="A221" s="938">
        <v>47208</v>
      </c>
      <c r="B221" s="157" t="s">
        <v>550</v>
      </c>
      <c r="C221" s="158">
        <f t="shared" si="26"/>
        <v>1985.3006178960832</v>
      </c>
      <c r="D221" s="157" t="s">
        <v>550</v>
      </c>
      <c r="E221" s="159">
        <f t="shared" si="27"/>
        <v>340</v>
      </c>
      <c r="F221" s="265"/>
      <c r="G221" s="265"/>
      <c r="H221" s="157" t="s">
        <v>550</v>
      </c>
      <c r="I221" s="160">
        <f t="shared" si="28"/>
        <v>1496</v>
      </c>
      <c r="J221" s="161" t="s">
        <v>550</v>
      </c>
      <c r="K221" s="159">
        <v>0</v>
      </c>
      <c r="L221" s="256">
        <f t="shared" si="29"/>
        <v>675002.21008466824</v>
      </c>
      <c r="M221" s="165"/>
      <c r="N221" s="972"/>
      <c r="O221" s="972"/>
      <c r="P221" s="170"/>
      <c r="Q221" s="156"/>
    </row>
    <row r="222" spans="1:17">
      <c r="A222" s="938">
        <v>47238</v>
      </c>
      <c r="B222" s="157" t="s">
        <v>550</v>
      </c>
      <c r="C222" s="158">
        <f t="shared" si="26"/>
        <v>1985.3006178960832</v>
      </c>
      <c r="D222" s="157" t="s">
        <v>550</v>
      </c>
      <c r="E222" s="159">
        <f t="shared" si="27"/>
        <v>340</v>
      </c>
      <c r="F222" s="265"/>
      <c r="G222" s="265"/>
      <c r="H222" s="157" t="s">
        <v>550</v>
      </c>
      <c r="I222" s="160">
        <f t="shared" si="28"/>
        <v>1450</v>
      </c>
      <c r="J222" s="161" t="s">
        <v>550</v>
      </c>
      <c r="K222" s="159">
        <v>0</v>
      </c>
      <c r="L222" s="256">
        <f t="shared" si="29"/>
        <v>675002.21008466824</v>
      </c>
      <c r="M222" s="165"/>
      <c r="N222" s="972"/>
      <c r="O222" s="972"/>
      <c r="P222" s="170"/>
      <c r="Q222" s="156"/>
    </row>
    <row r="223" spans="1:17">
      <c r="A223" s="938">
        <v>47269</v>
      </c>
      <c r="B223" s="157" t="s">
        <v>550</v>
      </c>
      <c r="C223" s="158">
        <f t="shared" si="26"/>
        <v>1985.3006178960832</v>
      </c>
      <c r="D223" s="157" t="s">
        <v>550</v>
      </c>
      <c r="E223" s="159">
        <f t="shared" si="27"/>
        <v>340</v>
      </c>
      <c r="F223" s="265"/>
      <c r="G223" s="265"/>
      <c r="H223" s="157" t="s">
        <v>550</v>
      </c>
      <c r="I223" s="160">
        <f t="shared" si="28"/>
        <v>1496</v>
      </c>
      <c r="J223" s="161" t="s">
        <v>550</v>
      </c>
      <c r="K223" s="159">
        <v>0</v>
      </c>
      <c r="L223" s="256">
        <f t="shared" si="29"/>
        <v>675002.21008466824</v>
      </c>
      <c r="M223" s="165"/>
      <c r="N223" s="972"/>
      <c r="O223" s="972"/>
      <c r="P223" s="170"/>
      <c r="Q223" s="156"/>
    </row>
    <row r="224" spans="1:17">
      <c r="A224" s="938">
        <v>47299</v>
      </c>
      <c r="B224" s="157" t="s">
        <v>550</v>
      </c>
      <c r="C224" s="158">
        <f t="shared" si="26"/>
        <v>1985.3006178960832</v>
      </c>
      <c r="D224" s="157" t="s">
        <v>550</v>
      </c>
      <c r="E224" s="159">
        <f t="shared" si="27"/>
        <v>340</v>
      </c>
      <c r="F224" s="265"/>
      <c r="G224" s="265"/>
      <c r="H224" s="157" t="s">
        <v>550</v>
      </c>
      <c r="I224" s="160">
        <f t="shared" si="28"/>
        <v>1450</v>
      </c>
      <c r="J224" s="161" t="s">
        <v>550</v>
      </c>
      <c r="K224" s="159">
        <v>0</v>
      </c>
      <c r="L224" s="256">
        <f t="shared" si="29"/>
        <v>675002.21008466824</v>
      </c>
      <c r="M224" s="165"/>
      <c r="N224" s="972"/>
      <c r="O224" s="972"/>
      <c r="P224" s="170"/>
      <c r="Q224" s="156"/>
    </row>
    <row r="225" spans="1:17">
      <c r="A225" s="938">
        <v>47330</v>
      </c>
      <c r="B225" s="157" t="s">
        <v>550</v>
      </c>
      <c r="C225" s="158">
        <f t="shared" si="26"/>
        <v>1985.3006178960832</v>
      </c>
      <c r="D225" s="157" t="s">
        <v>550</v>
      </c>
      <c r="E225" s="159">
        <f t="shared" si="27"/>
        <v>340</v>
      </c>
      <c r="F225" s="265"/>
      <c r="G225" s="265"/>
      <c r="H225" s="157" t="s">
        <v>550</v>
      </c>
      <c r="I225" s="160">
        <f t="shared" si="28"/>
        <v>1496</v>
      </c>
      <c r="J225" s="161" t="s">
        <v>550</v>
      </c>
      <c r="K225" s="159">
        <v>0</v>
      </c>
      <c r="L225" s="256">
        <f t="shared" si="29"/>
        <v>675002.21008466824</v>
      </c>
      <c r="M225" s="165"/>
      <c r="N225" s="972"/>
      <c r="O225" s="972"/>
      <c r="P225" s="170"/>
      <c r="Q225" s="156"/>
    </row>
    <row r="226" spans="1:17">
      <c r="A226" s="938">
        <v>47361</v>
      </c>
      <c r="B226" s="157" t="s">
        <v>550</v>
      </c>
      <c r="C226" s="158">
        <f t="shared" si="26"/>
        <v>1985.3006178960832</v>
      </c>
      <c r="D226" s="157" t="s">
        <v>550</v>
      </c>
      <c r="E226" s="159">
        <f t="shared" si="27"/>
        <v>340</v>
      </c>
      <c r="F226" s="265"/>
      <c r="G226" s="265"/>
      <c r="H226" s="157" t="s">
        <v>550</v>
      </c>
      <c r="I226" s="160">
        <f t="shared" si="28"/>
        <v>1496</v>
      </c>
      <c r="J226" s="161" t="s">
        <v>550</v>
      </c>
      <c r="K226" s="159">
        <v>0</v>
      </c>
      <c r="L226" s="256">
        <f t="shared" si="29"/>
        <v>675002.21008466824</v>
      </c>
      <c r="M226" s="165"/>
      <c r="N226" s="972"/>
      <c r="O226" s="972"/>
      <c r="P226" s="170"/>
      <c r="Q226" s="156"/>
    </row>
    <row r="227" spans="1:17">
      <c r="A227" s="938">
        <v>47391</v>
      </c>
      <c r="B227" s="157" t="s">
        <v>550</v>
      </c>
      <c r="C227" s="158">
        <f t="shared" si="26"/>
        <v>1985.3006178960832</v>
      </c>
      <c r="D227" s="157" t="s">
        <v>550</v>
      </c>
      <c r="E227" s="159">
        <f t="shared" si="27"/>
        <v>340</v>
      </c>
      <c r="F227" s="265"/>
      <c r="G227" s="265"/>
      <c r="H227" s="157" t="s">
        <v>550</v>
      </c>
      <c r="I227" s="160">
        <f t="shared" si="28"/>
        <v>1450</v>
      </c>
      <c r="J227" s="161" t="s">
        <v>550</v>
      </c>
      <c r="K227" s="159">
        <v>0</v>
      </c>
      <c r="L227" s="256">
        <f t="shared" si="29"/>
        <v>675002.21008466824</v>
      </c>
      <c r="M227" s="165"/>
      <c r="N227" s="972"/>
      <c r="O227" s="972"/>
      <c r="P227" s="170"/>
      <c r="Q227" s="156"/>
    </row>
    <row r="228" spans="1:17">
      <c r="A228" s="938">
        <v>47422</v>
      </c>
      <c r="B228" s="954">
        <v>1.0618000000000001</v>
      </c>
      <c r="C228" s="158">
        <f t="shared" si="26"/>
        <v>2107.9921960820611</v>
      </c>
      <c r="D228" s="157" t="s">
        <v>550</v>
      </c>
      <c r="E228" s="159">
        <f t="shared" si="27"/>
        <v>340</v>
      </c>
      <c r="F228" s="265"/>
      <c r="G228" s="265"/>
      <c r="H228" s="157" t="s">
        <v>550</v>
      </c>
      <c r="I228" s="160">
        <f t="shared" si="28"/>
        <v>1496</v>
      </c>
      <c r="J228" s="161" t="s">
        <v>550</v>
      </c>
      <c r="K228" s="159">
        <v>0</v>
      </c>
      <c r="L228" s="256">
        <f t="shared" si="29"/>
        <v>716717.3466679008</v>
      </c>
      <c r="M228" s="165"/>
      <c r="N228" s="972"/>
      <c r="O228" s="972"/>
      <c r="P228" s="170"/>
      <c r="Q228" s="156"/>
    </row>
    <row r="229" spans="1:17">
      <c r="A229" s="938">
        <v>47452</v>
      </c>
      <c r="B229" s="157" t="s">
        <v>550</v>
      </c>
      <c r="C229" s="158">
        <f t="shared" si="26"/>
        <v>2107.9921960820611</v>
      </c>
      <c r="D229" s="157" t="s">
        <v>550</v>
      </c>
      <c r="E229" s="159">
        <f t="shared" si="27"/>
        <v>340</v>
      </c>
      <c r="F229" s="265"/>
      <c r="G229" s="265"/>
      <c r="H229" s="157" t="s">
        <v>550</v>
      </c>
      <c r="I229" s="160">
        <f t="shared" si="28"/>
        <v>1450</v>
      </c>
      <c r="J229" s="161" t="s">
        <v>550</v>
      </c>
      <c r="K229" s="159">
        <v>0</v>
      </c>
      <c r="L229" s="256">
        <f t="shared" si="29"/>
        <v>716717.3466679008</v>
      </c>
      <c r="M229" s="165"/>
      <c r="N229" s="972"/>
      <c r="O229" s="972"/>
      <c r="P229" s="170"/>
      <c r="Q229" s="156"/>
    </row>
    <row r="230" spans="1:17">
      <c r="A230" s="938">
        <v>47483</v>
      </c>
      <c r="B230" s="157" t="s">
        <v>550</v>
      </c>
      <c r="C230" s="158">
        <f t="shared" si="26"/>
        <v>2107.9921960820611</v>
      </c>
      <c r="D230" s="157" t="s">
        <v>550</v>
      </c>
      <c r="E230" s="159">
        <f t="shared" si="27"/>
        <v>340</v>
      </c>
      <c r="F230" s="265"/>
      <c r="G230" s="265"/>
      <c r="H230" s="157" t="s">
        <v>550</v>
      </c>
      <c r="I230" s="160">
        <f t="shared" si="28"/>
        <v>1496</v>
      </c>
      <c r="J230" s="161" t="s">
        <v>550</v>
      </c>
      <c r="K230" s="159">
        <v>0</v>
      </c>
      <c r="L230" s="256">
        <f t="shared" si="29"/>
        <v>716717.3466679008</v>
      </c>
      <c r="M230" s="165"/>
      <c r="N230" s="972"/>
      <c r="O230" s="972"/>
      <c r="P230" s="170"/>
      <c r="Q230" s="156"/>
    </row>
    <row r="231" spans="1:17">
      <c r="A231" s="938">
        <v>47514</v>
      </c>
      <c r="B231" s="157" t="s">
        <v>550</v>
      </c>
      <c r="C231" s="158">
        <f t="shared" si="26"/>
        <v>2107.9921960820611</v>
      </c>
      <c r="D231" s="157" t="s">
        <v>550</v>
      </c>
      <c r="E231" s="159">
        <f t="shared" si="27"/>
        <v>340</v>
      </c>
      <c r="F231" s="265"/>
      <c r="G231" s="265"/>
      <c r="H231" s="157" t="s">
        <v>550</v>
      </c>
      <c r="I231" s="160">
        <f t="shared" si="28"/>
        <v>1496</v>
      </c>
      <c r="J231" s="161" t="s">
        <v>550</v>
      </c>
      <c r="K231" s="159">
        <v>0</v>
      </c>
      <c r="L231" s="256">
        <f t="shared" si="29"/>
        <v>716717.3466679008</v>
      </c>
      <c r="M231" s="165"/>
      <c r="N231" s="972"/>
      <c r="O231" s="972"/>
      <c r="P231" s="170"/>
      <c r="Q231" s="156"/>
    </row>
    <row r="232" spans="1:17">
      <c r="A232" s="938">
        <v>47542</v>
      </c>
      <c r="B232" s="157" t="s">
        <v>550</v>
      </c>
      <c r="C232" s="158">
        <f t="shared" si="26"/>
        <v>2107.9921960820611</v>
      </c>
      <c r="D232" s="157" t="s">
        <v>550</v>
      </c>
      <c r="E232" s="159">
        <f t="shared" si="27"/>
        <v>340</v>
      </c>
      <c r="F232" s="265"/>
      <c r="G232" s="265"/>
      <c r="H232" s="157" t="s">
        <v>550</v>
      </c>
      <c r="I232" s="160">
        <f t="shared" si="28"/>
        <v>1358</v>
      </c>
      <c r="J232" s="161" t="s">
        <v>550</v>
      </c>
      <c r="K232" s="159">
        <v>0</v>
      </c>
      <c r="L232" s="256">
        <f t="shared" si="29"/>
        <v>716717.3466679008</v>
      </c>
      <c r="M232" s="165"/>
      <c r="N232" s="972"/>
      <c r="O232" s="972"/>
      <c r="P232" s="170"/>
      <c r="Q232" s="156"/>
    </row>
    <row r="233" spans="1:17">
      <c r="A233" s="938">
        <v>47573</v>
      </c>
      <c r="B233" s="157" t="s">
        <v>550</v>
      </c>
      <c r="C233" s="158">
        <f t="shared" si="26"/>
        <v>2107.9921960820611</v>
      </c>
      <c r="D233" s="157" t="s">
        <v>550</v>
      </c>
      <c r="E233" s="159">
        <f t="shared" si="27"/>
        <v>340</v>
      </c>
      <c r="F233" s="265"/>
      <c r="G233" s="265"/>
      <c r="H233" s="157" t="s">
        <v>550</v>
      </c>
      <c r="I233" s="160">
        <f t="shared" si="28"/>
        <v>1496</v>
      </c>
      <c r="J233" s="161" t="s">
        <v>550</v>
      </c>
      <c r="K233" s="159">
        <v>0</v>
      </c>
      <c r="L233" s="256">
        <f t="shared" si="29"/>
        <v>716717.3466679008</v>
      </c>
      <c r="M233" s="165"/>
      <c r="N233" s="972"/>
      <c r="O233" s="972"/>
      <c r="P233" s="170"/>
      <c r="Q233" s="156"/>
    </row>
    <row r="234" spans="1:17">
      <c r="A234" s="938">
        <v>47603</v>
      </c>
      <c r="B234" s="157" t="s">
        <v>550</v>
      </c>
      <c r="C234" s="158">
        <f t="shared" si="26"/>
        <v>2107.9921960820611</v>
      </c>
      <c r="D234" s="157" t="s">
        <v>550</v>
      </c>
      <c r="E234" s="159">
        <f t="shared" si="27"/>
        <v>340</v>
      </c>
      <c r="F234" s="265"/>
      <c r="G234" s="265"/>
      <c r="H234" s="157" t="s">
        <v>550</v>
      </c>
      <c r="I234" s="160">
        <f t="shared" si="28"/>
        <v>1450</v>
      </c>
      <c r="J234" s="161" t="s">
        <v>550</v>
      </c>
      <c r="K234" s="159">
        <v>0</v>
      </c>
      <c r="L234" s="256">
        <f t="shared" si="29"/>
        <v>716717.3466679008</v>
      </c>
      <c r="M234" s="165"/>
      <c r="N234" s="972"/>
      <c r="O234" s="972"/>
      <c r="P234" s="170"/>
      <c r="Q234" s="156"/>
    </row>
    <row r="235" spans="1:17">
      <c r="A235" s="938">
        <v>47634</v>
      </c>
      <c r="B235" s="157" t="s">
        <v>550</v>
      </c>
      <c r="C235" s="158">
        <f t="shared" si="26"/>
        <v>2107.9921960820611</v>
      </c>
      <c r="D235" s="157" t="s">
        <v>550</v>
      </c>
      <c r="E235" s="159">
        <f t="shared" si="27"/>
        <v>340</v>
      </c>
      <c r="F235" s="265"/>
      <c r="G235" s="265"/>
      <c r="H235" s="157" t="s">
        <v>550</v>
      </c>
      <c r="I235" s="160">
        <f t="shared" si="28"/>
        <v>1496</v>
      </c>
      <c r="J235" s="161" t="s">
        <v>550</v>
      </c>
      <c r="K235" s="159">
        <v>0</v>
      </c>
      <c r="L235" s="256">
        <f t="shared" si="29"/>
        <v>716717.3466679008</v>
      </c>
      <c r="M235" s="165"/>
      <c r="N235" s="972"/>
      <c r="O235" s="972"/>
      <c r="P235" s="170"/>
      <c r="Q235" s="156"/>
    </row>
    <row r="236" spans="1:17">
      <c r="A236" s="938">
        <v>47664</v>
      </c>
      <c r="B236" s="157" t="s">
        <v>550</v>
      </c>
      <c r="C236" s="158">
        <f t="shared" si="26"/>
        <v>2107.9921960820611</v>
      </c>
      <c r="D236" s="157" t="s">
        <v>550</v>
      </c>
      <c r="E236" s="159">
        <f t="shared" si="27"/>
        <v>340</v>
      </c>
      <c r="F236" s="265"/>
      <c r="G236" s="265"/>
      <c r="H236" s="157" t="s">
        <v>550</v>
      </c>
      <c r="I236" s="160">
        <f t="shared" si="28"/>
        <v>1450</v>
      </c>
      <c r="J236" s="161" t="s">
        <v>550</v>
      </c>
      <c r="K236" s="159">
        <v>0</v>
      </c>
      <c r="L236" s="256">
        <f t="shared" si="29"/>
        <v>716717.3466679008</v>
      </c>
      <c r="M236" s="165"/>
      <c r="N236" s="972"/>
      <c r="O236" s="972"/>
      <c r="P236" s="170"/>
      <c r="Q236" s="156"/>
    </row>
    <row r="237" spans="1:17">
      <c r="A237" s="938">
        <v>47695</v>
      </c>
      <c r="B237" s="157" t="s">
        <v>550</v>
      </c>
      <c r="C237" s="158">
        <f t="shared" si="26"/>
        <v>2107.9921960820611</v>
      </c>
      <c r="D237" s="157" t="s">
        <v>550</v>
      </c>
      <c r="E237" s="159">
        <f t="shared" si="27"/>
        <v>340</v>
      </c>
      <c r="F237" s="265"/>
      <c r="G237" s="265"/>
      <c r="H237" s="157" t="s">
        <v>550</v>
      </c>
      <c r="I237" s="160">
        <f t="shared" si="28"/>
        <v>1496</v>
      </c>
      <c r="J237" s="161" t="s">
        <v>550</v>
      </c>
      <c r="K237" s="159">
        <v>0</v>
      </c>
      <c r="L237" s="256">
        <f t="shared" si="29"/>
        <v>716717.3466679008</v>
      </c>
      <c r="M237" s="165"/>
      <c r="N237" s="972"/>
      <c r="O237" s="972"/>
      <c r="P237" s="170"/>
      <c r="Q237" s="156"/>
    </row>
    <row r="238" spans="1:17">
      <c r="A238" s="938">
        <v>47726</v>
      </c>
      <c r="B238" s="157" t="s">
        <v>550</v>
      </c>
      <c r="C238" s="158">
        <f t="shared" si="26"/>
        <v>2107.9921960820611</v>
      </c>
      <c r="D238" s="157" t="s">
        <v>550</v>
      </c>
      <c r="E238" s="159">
        <f t="shared" si="27"/>
        <v>340</v>
      </c>
      <c r="F238" s="265"/>
      <c r="G238" s="265"/>
      <c r="H238" s="157" t="s">
        <v>550</v>
      </c>
      <c r="I238" s="160">
        <f t="shared" si="28"/>
        <v>1496</v>
      </c>
      <c r="J238" s="161" t="s">
        <v>550</v>
      </c>
      <c r="K238" s="159">
        <v>0</v>
      </c>
      <c r="L238" s="256">
        <f t="shared" si="29"/>
        <v>716717.3466679008</v>
      </c>
      <c r="M238" s="165"/>
      <c r="N238" s="972"/>
      <c r="O238" s="972"/>
      <c r="P238" s="170"/>
      <c r="Q238" s="156"/>
    </row>
    <row r="239" spans="1:17">
      <c r="A239" s="938">
        <v>47756</v>
      </c>
      <c r="B239" s="157" t="s">
        <v>550</v>
      </c>
      <c r="C239" s="158">
        <f t="shared" si="26"/>
        <v>2107.9921960820611</v>
      </c>
      <c r="D239" s="157" t="s">
        <v>550</v>
      </c>
      <c r="E239" s="159">
        <f t="shared" si="27"/>
        <v>340</v>
      </c>
      <c r="F239" s="265"/>
      <c r="G239" s="265"/>
      <c r="H239" s="157" t="s">
        <v>550</v>
      </c>
      <c r="I239" s="160">
        <f t="shared" si="28"/>
        <v>1450</v>
      </c>
      <c r="J239" s="161" t="s">
        <v>550</v>
      </c>
      <c r="K239" s="159">
        <v>0</v>
      </c>
      <c r="L239" s="256">
        <f t="shared" si="29"/>
        <v>716717.3466679008</v>
      </c>
      <c r="M239" s="165"/>
      <c r="N239" s="972"/>
      <c r="O239" s="972"/>
      <c r="P239" s="170"/>
      <c r="Q239" s="156"/>
    </row>
    <row r="240" spans="1:17">
      <c r="A240" s="938">
        <v>47787</v>
      </c>
      <c r="B240" s="157" t="s">
        <v>550</v>
      </c>
      <c r="C240" s="158">
        <f t="shared" si="26"/>
        <v>2107.9921960820611</v>
      </c>
      <c r="D240" s="157" t="s">
        <v>550</v>
      </c>
      <c r="E240" s="159">
        <f t="shared" si="27"/>
        <v>340</v>
      </c>
      <c r="F240" s="265"/>
      <c r="G240" s="265"/>
      <c r="H240" s="157" t="s">
        <v>550</v>
      </c>
      <c r="I240" s="160">
        <f t="shared" si="28"/>
        <v>1496</v>
      </c>
      <c r="J240" s="161" t="s">
        <v>550</v>
      </c>
      <c r="K240" s="159">
        <v>0</v>
      </c>
      <c r="L240" s="256">
        <f t="shared" si="29"/>
        <v>716717.3466679008</v>
      </c>
      <c r="M240" s="165"/>
      <c r="N240" s="972"/>
      <c r="O240" s="972"/>
      <c r="P240" s="170"/>
      <c r="Q240" s="156"/>
    </row>
    <row r="241" spans="1:17">
      <c r="A241" s="938">
        <v>47817</v>
      </c>
      <c r="B241" s="157" t="s">
        <v>550</v>
      </c>
      <c r="C241" s="158">
        <f t="shared" si="26"/>
        <v>2107.9921960820611</v>
      </c>
      <c r="D241" s="157" t="s">
        <v>550</v>
      </c>
      <c r="E241" s="159">
        <f t="shared" si="27"/>
        <v>340</v>
      </c>
      <c r="F241" s="265"/>
      <c r="G241" s="265"/>
      <c r="H241" s="157" t="s">
        <v>550</v>
      </c>
      <c r="I241" s="160">
        <f t="shared" si="28"/>
        <v>1450</v>
      </c>
      <c r="J241" s="161" t="s">
        <v>550</v>
      </c>
      <c r="K241" s="159">
        <v>0</v>
      </c>
      <c r="L241" s="256">
        <f t="shared" si="29"/>
        <v>716717.3466679008</v>
      </c>
      <c r="M241" s="165"/>
      <c r="N241" s="972"/>
      <c r="O241" s="972"/>
      <c r="P241" s="170"/>
      <c r="Q241" s="156"/>
    </row>
    <row r="242" spans="1:17">
      <c r="A242" s="938">
        <v>47848</v>
      </c>
      <c r="B242" s="157" t="s">
        <v>550</v>
      </c>
      <c r="C242" s="158">
        <f t="shared" si="26"/>
        <v>2107.9921960820611</v>
      </c>
      <c r="D242" s="157" t="s">
        <v>550</v>
      </c>
      <c r="E242" s="159">
        <f t="shared" si="27"/>
        <v>340</v>
      </c>
      <c r="F242" s="265"/>
      <c r="G242" s="265"/>
      <c r="H242" s="157" t="s">
        <v>550</v>
      </c>
      <c r="I242" s="160">
        <f t="shared" si="28"/>
        <v>1496</v>
      </c>
      <c r="J242" s="161" t="s">
        <v>550</v>
      </c>
      <c r="K242" s="159">
        <v>0</v>
      </c>
      <c r="L242" s="256">
        <f t="shared" si="29"/>
        <v>716717.3466679008</v>
      </c>
      <c r="M242" s="165"/>
      <c r="N242" s="972"/>
      <c r="O242" s="972"/>
      <c r="P242" s="170"/>
      <c r="Q242" s="156"/>
    </row>
    <row r="243" spans="1:17">
      <c r="A243" s="938">
        <v>47879</v>
      </c>
      <c r="B243" s="157" t="s">
        <v>550</v>
      </c>
      <c r="C243" s="158">
        <f t="shared" si="26"/>
        <v>2107.9921960820611</v>
      </c>
      <c r="D243" s="157" t="s">
        <v>550</v>
      </c>
      <c r="E243" s="159">
        <f t="shared" si="27"/>
        <v>340</v>
      </c>
      <c r="F243" s="265"/>
      <c r="G243" s="265"/>
      <c r="H243" s="157" t="s">
        <v>550</v>
      </c>
      <c r="I243" s="160">
        <f t="shared" si="28"/>
        <v>1496</v>
      </c>
      <c r="J243" s="161" t="s">
        <v>550</v>
      </c>
      <c r="K243" s="159">
        <v>0</v>
      </c>
      <c r="L243" s="256">
        <f t="shared" si="29"/>
        <v>716717.3466679008</v>
      </c>
      <c r="M243" s="165"/>
      <c r="N243" s="972"/>
      <c r="O243" s="972"/>
      <c r="P243" s="170"/>
      <c r="Q243" s="156"/>
    </row>
    <row r="244" spans="1:17">
      <c r="A244" s="938">
        <v>47907</v>
      </c>
      <c r="B244" s="157" t="s">
        <v>550</v>
      </c>
      <c r="C244" s="158">
        <f t="shared" si="26"/>
        <v>2107.9921960820611</v>
      </c>
      <c r="D244" s="157" t="s">
        <v>550</v>
      </c>
      <c r="E244" s="159">
        <f t="shared" si="27"/>
        <v>340</v>
      </c>
      <c r="F244" s="265"/>
      <c r="G244" s="265"/>
      <c r="H244" s="157" t="s">
        <v>550</v>
      </c>
      <c r="I244" s="160">
        <f t="shared" si="28"/>
        <v>1358</v>
      </c>
      <c r="J244" s="161" t="s">
        <v>550</v>
      </c>
      <c r="K244" s="159">
        <v>0</v>
      </c>
      <c r="L244" s="256">
        <f t="shared" si="29"/>
        <v>716717.3466679008</v>
      </c>
      <c r="M244" s="165"/>
      <c r="N244" s="972"/>
      <c r="O244" s="972"/>
      <c r="P244" s="170"/>
      <c r="Q244" s="156"/>
    </row>
    <row r="245" spans="1:17">
      <c r="A245" s="938">
        <v>47938</v>
      </c>
      <c r="B245" s="157" t="s">
        <v>550</v>
      </c>
      <c r="C245" s="158">
        <f t="shared" si="26"/>
        <v>2107.9921960820611</v>
      </c>
      <c r="D245" s="157" t="s">
        <v>550</v>
      </c>
      <c r="E245" s="159">
        <f t="shared" si="27"/>
        <v>340</v>
      </c>
      <c r="F245" s="265"/>
      <c r="G245" s="265"/>
      <c r="H245" s="157" t="s">
        <v>550</v>
      </c>
      <c r="I245" s="160">
        <f t="shared" si="28"/>
        <v>1496</v>
      </c>
      <c r="J245" s="161" t="s">
        <v>550</v>
      </c>
      <c r="K245" s="159">
        <v>0</v>
      </c>
      <c r="L245" s="256">
        <f t="shared" si="29"/>
        <v>716717.3466679008</v>
      </c>
      <c r="M245" s="165"/>
      <c r="N245" s="972"/>
      <c r="O245" s="972"/>
      <c r="P245" s="170"/>
      <c r="Q245" s="156"/>
    </row>
    <row r="246" spans="1:17">
      <c r="A246" s="938">
        <v>47968</v>
      </c>
      <c r="B246" s="157" t="s">
        <v>550</v>
      </c>
      <c r="C246" s="158">
        <f t="shared" si="26"/>
        <v>2107.9921960820611</v>
      </c>
      <c r="D246" s="157" t="s">
        <v>550</v>
      </c>
      <c r="E246" s="159">
        <f t="shared" si="27"/>
        <v>340</v>
      </c>
      <c r="F246" s="265"/>
      <c r="G246" s="265"/>
      <c r="H246" s="157" t="s">
        <v>550</v>
      </c>
      <c r="I246" s="160">
        <f t="shared" si="28"/>
        <v>1450</v>
      </c>
      <c r="J246" s="161" t="s">
        <v>550</v>
      </c>
      <c r="K246" s="159">
        <v>0</v>
      </c>
      <c r="L246" s="256">
        <f t="shared" si="29"/>
        <v>716717.3466679008</v>
      </c>
      <c r="M246" s="165"/>
      <c r="N246" s="972"/>
      <c r="O246" s="972"/>
      <c r="P246" s="170"/>
      <c r="Q246" s="156"/>
    </row>
    <row r="247" spans="1:17">
      <c r="A247" s="938">
        <v>47999</v>
      </c>
      <c r="B247" s="157" t="s">
        <v>550</v>
      </c>
      <c r="C247" s="158">
        <f t="shared" si="26"/>
        <v>2107.9921960820611</v>
      </c>
      <c r="D247" s="157" t="s">
        <v>550</v>
      </c>
      <c r="E247" s="159">
        <f t="shared" si="27"/>
        <v>340</v>
      </c>
      <c r="F247" s="265"/>
      <c r="G247" s="265"/>
      <c r="H247" s="157" t="s">
        <v>550</v>
      </c>
      <c r="I247" s="160">
        <f t="shared" si="28"/>
        <v>1496</v>
      </c>
      <c r="J247" s="161" t="s">
        <v>550</v>
      </c>
      <c r="K247" s="159">
        <v>0</v>
      </c>
      <c r="L247" s="256">
        <f t="shared" si="29"/>
        <v>716717.3466679008</v>
      </c>
      <c r="M247" s="165"/>
      <c r="N247" s="972"/>
      <c r="O247" s="972"/>
      <c r="P247" s="170"/>
      <c r="Q247" s="156"/>
    </row>
    <row r="248" spans="1:17">
      <c r="A248" s="938">
        <v>48029</v>
      </c>
      <c r="B248" s="157" t="s">
        <v>550</v>
      </c>
      <c r="C248" s="158">
        <f t="shared" si="26"/>
        <v>2107.9921960820611</v>
      </c>
      <c r="D248" s="157" t="s">
        <v>550</v>
      </c>
      <c r="E248" s="159">
        <f t="shared" si="27"/>
        <v>340</v>
      </c>
      <c r="F248" s="265"/>
      <c r="G248" s="265"/>
      <c r="H248" s="157" t="s">
        <v>550</v>
      </c>
      <c r="I248" s="160">
        <f t="shared" si="28"/>
        <v>1450</v>
      </c>
      <c r="J248" s="161" t="s">
        <v>550</v>
      </c>
      <c r="K248" s="159">
        <v>0</v>
      </c>
      <c r="L248" s="256">
        <f t="shared" si="29"/>
        <v>716717.3466679008</v>
      </c>
      <c r="M248" s="165"/>
      <c r="N248" s="972"/>
      <c r="O248" s="972"/>
      <c r="P248" s="170"/>
      <c r="Q248" s="156"/>
    </row>
    <row r="249" spans="1:17">
      <c r="A249" s="938">
        <v>48060</v>
      </c>
      <c r="B249" s="157" t="s">
        <v>550</v>
      </c>
      <c r="C249" s="158">
        <f t="shared" si="26"/>
        <v>2107.9921960820611</v>
      </c>
      <c r="D249" s="157" t="s">
        <v>550</v>
      </c>
      <c r="E249" s="159">
        <f t="shared" si="27"/>
        <v>340</v>
      </c>
      <c r="F249" s="265"/>
      <c r="G249" s="265"/>
      <c r="H249" s="157" t="s">
        <v>550</v>
      </c>
      <c r="I249" s="160">
        <f t="shared" si="28"/>
        <v>1496</v>
      </c>
      <c r="J249" s="161" t="s">
        <v>550</v>
      </c>
      <c r="K249" s="159">
        <v>0</v>
      </c>
      <c r="L249" s="256">
        <f t="shared" si="29"/>
        <v>716717.3466679008</v>
      </c>
      <c r="M249" s="165"/>
      <c r="N249" s="972"/>
      <c r="O249" s="972"/>
      <c r="P249" s="170"/>
      <c r="Q249" s="156"/>
    </row>
    <row r="250" spans="1:17">
      <c r="A250" s="938">
        <v>48091</v>
      </c>
      <c r="B250" s="157" t="s">
        <v>550</v>
      </c>
      <c r="C250" s="158">
        <f t="shared" si="26"/>
        <v>2107.9921960820611</v>
      </c>
      <c r="D250" s="157" t="s">
        <v>550</v>
      </c>
      <c r="E250" s="159">
        <f t="shared" si="27"/>
        <v>340</v>
      </c>
      <c r="F250" s="265"/>
      <c r="G250" s="265"/>
      <c r="H250" s="157" t="s">
        <v>550</v>
      </c>
      <c r="I250" s="160">
        <f t="shared" si="28"/>
        <v>1496</v>
      </c>
      <c r="J250" s="161" t="s">
        <v>550</v>
      </c>
      <c r="K250" s="159">
        <v>0</v>
      </c>
      <c r="L250" s="162">
        <v>476931</v>
      </c>
      <c r="M250" s="165"/>
      <c r="N250" s="972"/>
      <c r="O250" s="972"/>
      <c r="P250" s="170"/>
      <c r="Q250" s="156"/>
    </row>
    <row r="251" spans="1:17">
      <c r="A251" s="938">
        <v>48121</v>
      </c>
      <c r="B251" s="157" t="s">
        <v>550</v>
      </c>
      <c r="C251" s="158">
        <f t="shared" si="26"/>
        <v>2107.9921960820611</v>
      </c>
      <c r="D251" s="157" t="s">
        <v>550</v>
      </c>
      <c r="E251" s="159">
        <f t="shared" si="27"/>
        <v>340</v>
      </c>
      <c r="F251" s="265"/>
      <c r="G251" s="265"/>
      <c r="H251" s="157" t="s">
        <v>550</v>
      </c>
      <c r="I251" s="160">
        <f t="shared" si="28"/>
        <v>1450</v>
      </c>
      <c r="J251" s="161" t="s">
        <v>550</v>
      </c>
      <c r="K251" s="159">
        <v>0</v>
      </c>
      <c r="L251" s="256">
        <v>0</v>
      </c>
      <c r="M251" s="165"/>
      <c r="N251" s="972"/>
      <c r="O251" s="972"/>
      <c r="P251" s="170"/>
      <c r="Q251" s="156"/>
    </row>
    <row r="252" spans="1:17" ht="15.75" thickBot="1">
      <c r="A252" s="955"/>
      <c r="B252" s="259"/>
      <c r="C252" s="260"/>
      <c r="D252" s="166"/>
      <c r="E252" s="167"/>
      <c r="F252" s="266"/>
      <c r="G252" s="266"/>
      <c r="H252" s="166"/>
      <c r="I252" s="167"/>
      <c r="J252" s="166"/>
      <c r="K252" s="167"/>
      <c r="L252" s="257"/>
      <c r="M252" s="261"/>
      <c r="N252" s="262"/>
      <c r="O252" s="262"/>
      <c r="P252" s="170"/>
      <c r="Q252" s="156"/>
    </row>
    <row r="253" spans="1:17" ht="15.75" thickBot="1">
      <c r="A253" s="195"/>
      <c r="B253" s="252"/>
      <c r="C253" s="253"/>
      <c r="I253" s="170"/>
      <c r="J253" s="170"/>
      <c r="L253" s="263">
        <f>SUM(L34:L252)+SUM(N14:N33)</f>
        <v>132740949.07053873</v>
      </c>
      <c r="M253" s="151"/>
      <c r="Q253" s="156"/>
    </row>
    <row r="254" spans="1:17">
      <c r="B254" s="252"/>
      <c r="I254" s="170"/>
      <c r="J254" s="170"/>
      <c r="Q254" s="156"/>
    </row>
    <row r="255" spans="1:17">
      <c r="B255" s="252"/>
      <c r="I255" s="170"/>
      <c r="J255" s="170"/>
      <c r="Q255" s="156"/>
    </row>
    <row r="256" spans="1:17">
      <c r="B256" s="252"/>
      <c r="I256" s="170"/>
      <c r="J256" s="170"/>
      <c r="Q256" s="156"/>
    </row>
    <row r="257" spans="2:17">
      <c r="B257" s="252"/>
      <c r="I257" s="170"/>
      <c r="J257" s="170"/>
      <c r="Q257" s="156"/>
    </row>
    <row r="258" spans="2:17">
      <c r="B258" s="252"/>
      <c r="I258" s="170"/>
      <c r="J258" s="170"/>
      <c r="Q258" s="156"/>
    </row>
    <row r="259" spans="2:17">
      <c r="B259" s="252"/>
      <c r="I259" s="170"/>
      <c r="J259" s="170"/>
      <c r="Q259" s="156"/>
    </row>
    <row r="260" spans="2:17">
      <c r="B260" s="252"/>
      <c r="I260" s="170"/>
      <c r="J260" s="170"/>
      <c r="Q260" s="156"/>
    </row>
    <row r="261" spans="2:17">
      <c r="B261" s="252"/>
      <c r="I261" s="170"/>
      <c r="J261" s="170"/>
      <c r="Q261" s="156"/>
    </row>
    <row r="262" spans="2:17">
      <c r="I262" s="170"/>
      <c r="J262" s="170"/>
      <c r="Q262" s="156"/>
    </row>
    <row r="263" spans="2:17">
      <c r="I263" s="170"/>
      <c r="J263" s="170"/>
      <c r="Q263" s="156"/>
    </row>
    <row r="264" spans="2:17">
      <c r="I264" s="170"/>
      <c r="J264" s="170"/>
      <c r="Q264" s="156"/>
    </row>
    <row r="265" spans="2:17">
      <c r="I265" s="170"/>
      <c r="J265" s="170"/>
      <c r="Q265" s="156"/>
    </row>
    <row r="266" spans="2:17">
      <c r="I266" s="170"/>
      <c r="J266" s="170"/>
      <c r="Q266" s="156"/>
    </row>
    <row r="267" spans="2:17">
      <c r="I267" s="170"/>
      <c r="J267" s="170"/>
      <c r="Q267" s="156"/>
    </row>
    <row r="268" spans="2:17">
      <c r="I268" s="170"/>
      <c r="J268" s="170"/>
      <c r="Q268" s="156"/>
    </row>
    <row r="269" spans="2:17">
      <c r="I269" s="170"/>
      <c r="J269" s="170"/>
      <c r="Q269" s="156"/>
    </row>
    <row r="270" spans="2:17">
      <c r="I270" s="170"/>
      <c r="J270" s="170"/>
      <c r="Q270" s="156"/>
    </row>
    <row r="271" spans="2:17">
      <c r="I271" s="170"/>
      <c r="J271" s="170"/>
      <c r="Q271" s="156"/>
    </row>
    <row r="272" spans="2:17">
      <c r="I272" s="170"/>
      <c r="J272" s="170"/>
      <c r="Q272" s="156"/>
    </row>
    <row r="273" spans="9:17">
      <c r="I273" s="170"/>
      <c r="J273" s="170"/>
      <c r="Q273" s="156"/>
    </row>
    <row r="274" spans="9:17">
      <c r="I274" s="170"/>
      <c r="J274" s="170"/>
      <c r="Q274" s="156"/>
    </row>
    <row r="275" spans="9:17">
      <c r="J275" s="170"/>
      <c r="Q275" s="156"/>
    </row>
    <row r="276" spans="9:17">
      <c r="J276" s="170"/>
      <c r="Q276" s="156"/>
    </row>
    <row r="277" spans="9:17">
      <c r="J277" s="170"/>
      <c r="Q277" s="156"/>
    </row>
    <row r="278" spans="9:17">
      <c r="J278" s="170"/>
      <c r="Q278" s="156"/>
    </row>
    <row r="279" spans="9:17">
      <c r="J279" s="170"/>
      <c r="Q279" s="156"/>
    </row>
    <row r="280" spans="9:17">
      <c r="J280" s="170"/>
      <c r="Q280" s="156"/>
    </row>
    <row r="281" spans="9:17">
      <c r="J281" s="170"/>
      <c r="Q281" s="156"/>
    </row>
    <row r="282" spans="9:17">
      <c r="J282" s="170"/>
      <c r="Q282" s="156"/>
    </row>
    <row r="283" spans="9:17">
      <c r="J283" s="170"/>
      <c r="Q283" s="156"/>
    </row>
    <row r="284" spans="9:17">
      <c r="J284" s="170"/>
      <c r="Q284" s="156"/>
    </row>
    <row r="285" spans="9:17">
      <c r="J285" s="170"/>
    </row>
    <row r="286" spans="9:17">
      <c r="J286" s="170"/>
    </row>
    <row r="287" spans="9:17">
      <c r="J287" s="170"/>
    </row>
    <row r="288" spans="9:17">
      <c r="J288" s="170"/>
    </row>
    <row r="289" spans="10:10">
      <c r="J289" s="170"/>
    </row>
    <row r="290" spans="10:10">
      <c r="J290" s="170"/>
    </row>
    <row r="291" spans="10:10">
      <c r="J291" s="170"/>
    </row>
    <row r="292" spans="10:10">
      <c r="J292" s="170"/>
    </row>
    <row r="293" spans="10:10">
      <c r="J293" s="170"/>
    </row>
    <row r="294" spans="10:10">
      <c r="J294" s="170"/>
    </row>
    <row r="295" spans="10:10">
      <c r="J295" s="170"/>
    </row>
    <row r="296" spans="10:10">
      <c r="J296" s="170"/>
    </row>
    <row r="297" spans="10:10">
      <c r="J297" s="170"/>
    </row>
    <row r="298" spans="10:10">
      <c r="J298" s="170"/>
    </row>
    <row r="299" spans="10:10">
      <c r="J299" s="170"/>
    </row>
    <row r="300" spans="10:10">
      <c r="J300" s="170"/>
    </row>
    <row r="301" spans="10:10">
      <c r="J301" s="170"/>
    </row>
    <row r="302" spans="10:10">
      <c r="J302" s="170"/>
    </row>
    <row r="303" spans="10:10">
      <c r="J303" s="170"/>
    </row>
    <row r="304" spans="10:10">
      <c r="J304" s="170"/>
    </row>
    <row r="305" spans="10:10">
      <c r="J305" s="170"/>
    </row>
    <row r="306" spans="10:10">
      <c r="J306" s="170"/>
    </row>
    <row r="307" spans="10:10">
      <c r="J307" s="170"/>
    </row>
    <row r="308" spans="10:10">
      <c r="J308" s="170"/>
    </row>
  </sheetData>
  <mergeCells count="4">
    <mergeCell ref="D9:E9"/>
    <mergeCell ref="H9:I9"/>
    <mergeCell ref="J9:K9"/>
    <mergeCell ref="F9:G9"/>
  </mergeCells>
  <printOptions horizontalCentered="1"/>
  <pageMargins left="0.7" right="0.7" top="0.5" bottom="0.75" header="0" footer="0.3"/>
  <pageSetup scale="34" fitToHeight="0" orientation="landscape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zoomScale="85" zoomScaleNormal="85" workbookViewId="0">
      <pane xSplit="2" ySplit="11" topLeftCell="C42" activePane="bottomRight" state="frozen"/>
      <selection activeCell="C45" sqref="C45"/>
      <selection pane="topRight" activeCell="C45" sqref="C45"/>
      <selection pane="bottomLeft" activeCell="C45" sqref="C45"/>
      <selection pane="bottomRight" activeCell="G3" sqref="G3"/>
    </sheetView>
  </sheetViews>
  <sheetFormatPr defaultColWidth="9.1640625" defaultRowHeight="12.75" customHeight="1"/>
  <cols>
    <col min="1" max="1" width="5.6640625" style="81" customWidth="1"/>
    <col min="2" max="2" width="65" style="81" customWidth="1"/>
    <col min="3" max="3" width="7.6640625" style="81" customWidth="1"/>
    <col min="4" max="4" width="20.1640625" style="81" customWidth="1"/>
    <col min="5" max="5" width="17.1640625" style="81" bestFit="1" customWidth="1"/>
    <col min="6" max="6" width="14" style="81" bestFit="1" customWidth="1"/>
    <col min="7" max="7" width="17.1640625" style="81" bestFit="1" customWidth="1"/>
    <col min="8" max="8" width="17.6640625" style="81" bestFit="1" customWidth="1"/>
    <col min="9" max="9" width="6" style="81" bestFit="1" customWidth="1"/>
    <col min="10" max="10" width="25.5" style="81" customWidth="1"/>
    <col min="11" max="11" width="9.33203125" style="81" customWidth="1"/>
    <col min="12" max="12" width="7.1640625" style="81" bestFit="1" customWidth="1"/>
    <col min="13" max="13" width="5.5" style="81" bestFit="1" customWidth="1"/>
    <col min="14" max="14" width="13.33203125" style="81" bestFit="1" customWidth="1"/>
    <col min="15" max="15" width="17.1640625" style="81" bestFit="1" customWidth="1"/>
    <col min="16" max="16" width="18.33203125" style="81" bestFit="1" customWidth="1"/>
    <col min="17" max="17" width="18.1640625" style="81" bestFit="1" customWidth="1"/>
    <col min="18" max="16384" width="9.1640625" style="81"/>
  </cols>
  <sheetData>
    <row r="1" spans="1:14" ht="15" customHeight="1">
      <c r="A1" s="589"/>
      <c r="B1" s="590"/>
      <c r="C1" s="590"/>
      <c r="D1" s="590"/>
      <c r="E1" s="591"/>
      <c r="F1" s="591"/>
      <c r="G1" s="591"/>
      <c r="H1" s="591"/>
    </row>
    <row r="2" spans="1:14" ht="15" customHeight="1">
      <c r="A2" s="589"/>
      <c r="B2" s="590"/>
      <c r="C2" s="590"/>
      <c r="D2" s="590"/>
      <c r="E2" s="591"/>
      <c r="F2" s="591"/>
      <c r="G2" s="591"/>
      <c r="H2" s="591"/>
    </row>
    <row r="3" spans="1:14" ht="15" customHeight="1">
      <c r="A3" s="590"/>
      <c r="B3" s="590"/>
      <c r="C3" s="590"/>
      <c r="D3" s="591"/>
      <c r="E3" s="590"/>
      <c r="F3"/>
      <c r="G3" s="880"/>
      <c r="H3" s="880"/>
    </row>
    <row r="4" spans="1:14" ht="12.75" customHeight="1">
      <c r="A4" s="592" t="s">
        <v>753</v>
      </c>
      <c r="B4" s="592"/>
      <c r="C4" s="592"/>
      <c r="D4" s="593"/>
      <c r="E4" s="593"/>
      <c r="F4" s="593"/>
      <c r="G4" s="593"/>
      <c r="H4" s="593"/>
    </row>
    <row r="5" spans="1:14" ht="12.75" customHeight="1">
      <c r="A5" s="593" t="s">
        <v>754</v>
      </c>
      <c r="B5" s="593"/>
      <c r="C5" s="593"/>
      <c r="D5" s="593"/>
      <c r="E5" s="593"/>
      <c r="F5" s="594"/>
      <c r="G5" s="594"/>
      <c r="H5" s="594"/>
    </row>
    <row r="6" spans="1:14" ht="12.75" customHeight="1">
      <c r="A6" s="595" t="s">
        <v>810</v>
      </c>
      <c r="B6" s="593"/>
      <c r="C6" s="593"/>
      <c r="D6" s="593"/>
      <c r="E6" s="593"/>
      <c r="F6" s="596"/>
      <c r="G6" s="596"/>
      <c r="H6" s="596"/>
    </row>
    <row r="7" spans="1:14" ht="12.75" customHeight="1" thickBot="1">
      <c r="A7" s="595"/>
      <c r="B7" s="593"/>
      <c r="C7" s="593"/>
      <c r="D7" s="593"/>
      <c r="E7" s="593"/>
      <c r="F7" s="596"/>
      <c r="G7" s="596"/>
      <c r="H7" s="596"/>
    </row>
    <row r="8" spans="1:14" ht="12.75" customHeight="1" thickBot="1">
      <c r="C8" s="881"/>
      <c r="D8" s="881"/>
      <c r="E8" s="881"/>
      <c r="F8" s="882"/>
      <c r="G8" s="883"/>
      <c r="H8" s="884" t="str">
        <f>'[1]Detailed Summary'!AA7</f>
        <v>RESTATING</v>
      </c>
    </row>
    <row r="9" spans="1:14" ht="12.75" customHeight="1">
      <c r="A9" s="589"/>
      <c r="B9" s="590"/>
      <c r="C9" s="885"/>
      <c r="D9" s="886" t="s">
        <v>799</v>
      </c>
      <c r="E9" s="887"/>
      <c r="F9" s="888" t="s">
        <v>876</v>
      </c>
      <c r="G9" s="887"/>
      <c r="H9" s="888" t="s">
        <v>877</v>
      </c>
    </row>
    <row r="10" spans="1:14" ht="12.75" customHeight="1">
      <c r="A10" s="597" t="s">
        <v>755</v>
      </c>
      <c r="B10" s="589"/>
      <c r="C10" s="889"/>
      <c r="D10" s="888" t="s">
        <v>878</v>
      </c>
      <c r="E10" s="888" t="s">
        <v>876</v>
      </c>
      <c r="F10" s="888" t="s">
        <v>758</v>
      </c>
      <c r="G10" s="888" t="s">
        <v>877</v>
      </c>
      <c r="H10" s="888" t="s">
        <v>758</v>
      </c>
    </row>
    <row r="11" spans="1:14" ht="12.75" customHeight="1">
      <c r="A11" s="598" t="s">
        <v>756</v>
      </c>
      <c r="B11" s="599" t="s">
        <v>757</v>
      </c>
      <c r="C11" s="890" t="s">
        <v>879</v>
      </c>
      <c r="D11" s="891" t="s">
        <v>22</v>
      </c>
      <c r="E11" s="892" t="s">
        <v>23</v>
      </c>
      <c r="F11" s="891" t="s">
        <v>880</v>
      </c>
      <c r="G11" s="892" t="s">
        <v>881</v>
      </c>
      <c r="H11" s="891" t="s">
        <v>882</v>
      </c>
    </row>
    <row r="12" spans="1:14" ht="12.75" customHeight="1">
      <c r="A12" s="590"/>
      <c r="B12" s="590"/>
      <c r="C12" s="590"/>
      <c r="D12" s="590"/>
      <c r="E12" s="590"/>
      <c r="F12" s="590"/>
      <c r="G12" s="590"/>
      <c r="H12" s="590"/>
    </row>
    <row r="13" spans="1:14" ht="15" customHeight="1">
      <c r="A13" s="600">
        <v>1</v>
      </c>
      <c r="B13" s="601" t="s">
        <v>759</v>
      </c>
      <c r="C13" s="601"/>
      <c r="D13" s="602"/>
      <c r="E13" s="602"/>
      <c r="F13" s="602"/>
      <c r="G13" s="602"/>
      <c r="H13" s="602"/>
      <c r="I13" s="655"/>
      <c r="J13" s="650"/>
      <c r="K13" s="650"/>
      <c r="L13" s="650"/>
      <c r="M13" s="650"/>
      <c r="N13" s="652"/>
    </row>
    <row r="14" spans="1:14" ht="15" customHeight="1">
      <c r="A14" s="600">
        <f>+A13+1</f>
        <v>2</v>
      </c>
      <c r="B14" s="603" t="s">
        <v>760</v>
      </c>
      <c r="C14" s="603"/>
      <c r="D14" s="604">
        <f>'TY Reg Assets RB'!C7</f>
        <v>45753.08</v>
      </c>
      <c r="E14" s="604">
        <f>+D14</f>
        <v>45753.08</v>
      </c>
      <c r="F14" s="730">
        <f>+E14-D14</f>
        <v>0</v>
      </c>
      <c r="G14" s="604">
        <f>+'RB-IS by FERC'!D7</f>
        <v>45753.145111108061</v>
      </c>
      <c r="H14" s="604">
        <f>+G14-E14</f>
        <v>6.5111108058772516E-2</v>
      </c>
      <c r="I14" s="651"/>
      <c r="J14" s="652"/>
      <c r="K14" s="727"/>
      <c r="L14" s="727"/>
      <c r="M14" s="728"/>
      <c r="N14" s="652"/>
    </row>
    <row r="15" spans="1:14" ht="15" customHeight="1">
      <c r="A15" s="600">
        <f t="shared" ref="A15:A61" si="0">A14+1</f>
        <v>3</v>
      </c>
      <c r="B15" s="603" t="s">
        <v>761</v>
      </c>
      <c r="C15" s="603"/>
      <c r="D15" s="604">
        <f>'TY Reg Assets RB'!C12</f>
        <v>62723.02</v>
      </c>
      <c r="E15" s="604">
        <f t="shared" ref="E15:E28" si="1">+D15</f>
        <v>62723.02</v>
      </c>
      <c r="F15" s="730">
        <f t="shared" ref="F15:F28" si="2">+E15-D15</f>
        <v>0</v>
      </c>
      <c r="G15" s="604">
        <f>+'RB-IS by FERC'!D12</f>
        <v>62723.058252429</v>
      </c>
      <c r="H15" s="604">
        <f t="shared" ref="H15:H28" si="3">+G15-E15</f>
        <v>3.8252429003478028E-2</v>
      </c>
      <c r="I15" s="651"/>
      <c r="J15" s="652"/>
      <c r="K15" s="727"/>
      <c r="L15" s="727"/>
      <c r="M15" s="728"/>
      <c r="N15" s="652"/>
    </row>
    <row r="16" spans="1:14" ht="15" customHeight="1">
      <c r="A16" s="600">
        <f t="shared" si="0"/>
        <v>4</v>
      </c>
      <c r="B16" s="603" t="s">
        <v>786</v>
      </c>
      <c r="C16" s="603"/>
      <c r="D16" s="604">
        <f>'TY Reg Assets RB'!C21</f>
        <v>11208560.349999998</v>
      </c>
      <c r="E16" s="604">
        <f t="shared" si="1"/>
        <v>11208560.349999998</v>
      </c>
      <c r="F16" s="730">
        <f t="shared" si="2"/>
        <v>0</v>
      </c>
      <c r="G16" s="604">
        <f>+'RB-IS by FERC'!D21</f>
        <v>7052483.424195189</v>
      </c>
      <c r="H16" s="604">
        <f t="shared" si="3"/>
        <v>-4156076.9258048087</v>
      </c>
      <c r="I16" s="651"/>
      <c r="J16" s="652"/>
      <c r="K16" s="727"/>
      <c r="L16" s="727"/>
      <c r="M16" s="728"/>
      <c r="N16" s="652"/>
    </row>
    <row r="17" spans="1:14" ht="15" customHeight="1">
      <c r="A17" s="600">
        <f t="shared" si="0"/>
        <v>5</v>
      </c>
      <c r="B17" s="603" t="s">
        <v>762</v>
      </c>
      <c r="C17" s="603"/>
      <c r="D17" s="604">
        <f>'TY Reg Assets RB'!C25</f>
        <v>78745060.849999994</v>
      </c>
      <c r="E17" s="604">
        <f t="shared" si="1"/>
        <v>78745060.849999994</v>
      </c>
      <c r="F17" s="730">
        <f t="shared" si="2"/>
        <v>0</v>
      </c>
      <c r="G17" s="604">
        <f>+'RB-IS by FERC'!D25</f>
        <v>67042925.304987572</v>
      </c>
      <c r="H17" s="604">
        <f t="shared" si="3"/>
        <v>-11702135.545012422</v>
      </c>
      <c r="I17" s="651"/>
      <c r="J17" s="652"/>
      <c r="K17" s="727"/>
      <c r="L17" s="727"/>
      <c r="M17" s="728"/>
      <c r="N17" s="652"/>
    </row>
    <row r="18" spans="1:14" ht="15" customHeight="1">
      <c r="A18" s="600">
        <f t="shared" si="0"/>
        <v>6</v>
      </c>
      <c r="B18" s="603" t="s">
        <v>763</v>
      </c>
      <c r="C18" s="603"/>
      <c r="D18" s="604">
        <f>'TY Reg Assets RB'!C28</f>
        <v>18500000</v>
      </c>
      <c r="E18" s="604">
        <f t="shared" si="1"/>
        <v>18500000</v>
      </c>
      <c r="F18" s="730">
        <f t="shared" si="2"/>
        <v>0</v>
      </c>
      <c r="G18" s="604">
        <f>+'RB-IS by FERC'!D28</f>
        <v>18500000</v>
      </c>
      <c r="H18" s="604">
        <f t="shared" si="3"/>
        <v>0</v>
      </c>
      <c r="I18" s="654"/>
      <c r="J18" s="653"/>
      <c r="K18" s="653"/>
      <c r="L18" s="727"/>
      <c r="M18" s="652"/>
      <c r="N18" s="652"/>
    </row>
    <row r="19" spans="1:14" ht="15" customHeight="1">
      <c r="A19" s="600">
        <f t="shared" si="0"/>
        <v>7</v>
      </c>
      <c r="B19" s="603" t="s">
        <v>764</v>
      </c>
      <c r="C19" s="603"/>
      <c r="D19" s="604">
        <f>'TY Reg Assets RB'!C32</f>
        <v>499999.67</v>
      </c>
      <c r="E19" s="604">
        <f t="shared" si="1"/>
        <v>499999.67</v>
      </c>
      <c r="F19" s="730">
        <f t="shared" si="2"/>
        <v>0</v>
      </c>
      <c r="G19" s="604">
        <f>+'RB-IS by FERC'!D32</f>
        <v>0</v>
      </c>
      <c r="H19" s="604">
        <f t="shared" si="3"/>
        <v>-499999.67</v>
      </c>
      <c r="I19" s="651"/>
      <c r="J19" s="652"/>
      <c r="K19" s="727"/>
      <c r="L19" s="727"/>
      <c r="M19" s="728"/>
      <c r="N19" s="652"/>
    </row>
    <row r="20" spans="1:14" ht="15" customHeight="1">
      <c r="A20" s="600">
        <f t="shared" si="0"/>
        <v>8</v>
      </c>
      <c r="B20" s="603" t="s">
        <v>765</v>
      </c>
      <c r="C20" s="603"/>
      <c r="D20" s="604">
        <f>'TY Reg Assets RB'!C36</f>
        <v>59411377.369999997</v>
      </c>
      <c r="E20" s="604">
        <f t="shared" si="1"/>
        <v>59411377.369999997</v>
      </c>
      <c r="F20" s="730">
        <f t="shared" si="2"/>
        <v>0</v>
      </c>
      <c r="G20" s="604">
        <f>+'RB-IS by FERC'!D36</f>
        <v>52182863.023084156</v>
      </c>
      <c r="H20" s="604">
        <f t="shared" si="3"/>
        <v>-7228514.3469158411</v>
      </c>
      <c r="I20" s="651"/>
      <c r="J20" s="652"/>
      <c r="K20" s="727"/>
      <c r="L20" s="727"/>
      <c r="M20" s="728"/>
      <c r="N20" s="652"/>
    </row>
    <row r="21" spans="1:14" ht="15" customHeight="1">
      <c r="A21" s="600">
        <f t="shared" si="0"/>
        <v>9</v>
      </c>
      <c r="B21" s="603" t="s">
        <v>787</v>
      </c>
      <c r="C21" s="603"/>
      <c r="D21" s="604">
        <f>'TY Reg Assets RB'!C41</f>
        <v>8147050.7999999998</v>
      </c>
      <c r="E21" s="604">
        <f t="shared" si="1"/>
        <v>8147050.7999999998</v>
      </c>
      <c r="F21" s="730">
        <f t="shared" si="2"/>
        <v>0</v>
      </c>
      <c r="G21" s="604">
        <f>+'RB-IS by FERC'!D41</f>
        <v>7424114.27447436</v>
      </c>
      <c r="H21" s="604">
        <f t="shared" si="3"/>
        <v>-722936.52552563976</v>
      </c>
      <c r="I21" s="651"/>
      <c r="J21" s="652"/>
      <c r="K21" s="727"/>
      <c r="L21" s="727"/>
      <c r="M21" s="728"/>
      <c r="N21" s="652"/>
    </row>
    <row r="22" spans="1:14" ht="15" customHeight="1">
      <c r="A22" s="600">
        <f t="shared" si="0"/>
        <v>10</v>
      </c>
      <c r="B22" s="603" t="s">
        <v>791</v>
      </c>
      <c r="C22" s="603"/>
      <c r="D22" s="604">
        <f>'TY Reg Assets RB'!C47</f>
        <v>-78555.81</v>
      </c>
      <c r="E22" s="604">
        <f t="shared" si="1"/>
        <v>-78555.81</v>
      </c>
      <c r="F22" s="730">
        <f t="shared" si="2"/>
        <v>0</v>
      </c>
      <c r="G22" s="604">
        <f>+'RB-IS by FERC'!D47</f>
        <v>-78558.319307994898</v>
      </c>
      <c r="H22" s="604">
        <f t="shared" si="3"/>
        <v>-2.5093079949001549</v>
      </c>
      <c r="I22" s="651"/>
      <c r="J22" s="652"/>
      <c r="K22" s="727"/>
      <c r="L22" s="727"/>
      <c r="M22" s="728"/>
      <c r="N22" s="652"/>
    </row>
    <row r="23" spans="1:14" ht="15" customHeight="1">
      <c r="A23" s="600">
        <f t="shared" si="0"/>
        <v>11</v>
      </c>
      <c r="B23" s="603" t="s">
        <v>792</v>
      </c>
      <c r="C23" s="603"/>
      <c r="D23" s="604">
        <f>'TY Reg Assets RB'!C54</f>
        <v>-308479.03999999998</v>
      </c>
      <c r="E23" s="604">
        <f t="shared" si="1"/>
        <v>-308479.03999999998</v>
      </c>
      <c r="F23" s="730">
        <f t="shared" si="2"/>
        <v>0</v>
      </c>
      <c r="G23" s="604">
        <f>+'RB-IS by FERC'!D54</f>
        <v>-308483.94047545741</v>
      </c>
      <c r="H23" s="604">
        <f t="shared" si="3"/>
        <v>-4.9004754574270919</v>
      </c>
      <c r="I23" s="651"/>
      <c r="J23" s="652"/>
      <c r="K23" s="727"/>
      <c r="L23" s="727"/>
      <c r="M23" s="728"/>
      <c r="N23" s="652"/>
    </row>
    <row r="24" spans="1:14" ht="15" customHeight="1">
      <c r="A24" s="600">
        <f t="shared" si="0"/>
        <v>12</v>
      </c>
      <c r="B24" s="603" t="s">
        <v>793</v>
      </c>
      <c r="C24" s="603"/>
      <c r="D24" s="604">
        <f>'TY Reg Assets RB'!C62</f>
        <v>1815699.5799999998</v>
      </c>
      <c r="E24" s="604">
        <f t="shared" si="1"/>
        <v>1815699.5799999998</v>
      </c>
      <c r="F24" s="730">
        <f t="shared" si="2"/>
        <v>0</v>
      </c>
      <c r="G24" s="604">
        <f>+'RB-IS by FERC'!D62</f>
        <v>-1160240.5572003927</v>
      </c>
      <c r="H24" s="604">
        <f t="shared" si="3"/>
        <v>-2975940.1372003928</v>
      </c>
      <c r="I24" s="651"/>
      <c r="J24" s="652"/>
      <c r="K24" s="727"/>
      <c r="L24" s="727"/>
      <c r="M24" s="728"/>
      <c r="N24" s="652"/>
    </row>
    <row r="25" spans="1:14" ht="15" customHeight="1">
      <c r="A25" s="600">
        <f t="shared" si="0"/>
        <v>13</v>
      </c>
      <c r="B25" s="603" t="s">
        <v>788</v>
      </c>
      <c r="C25" s="603"/>
      <c r="D25" s="604">
        <f>'TY Reg Assets RB'!C66</f>
        <v>56004.06</v>
      </c>
      <c r="E25" s="604">
        <f t="shared" si="1"/>
        <v>56004.06</v>
      </c>
      <c r="F25" s="730">
        <f t="shared" si="2"/>
        <v>0</v>
      </c>
      <c r="G25" s="604">
        <f>+'RB-IS by FERC'!D66</f>
        <v>56004.31279906194</v>
      </c>
      <c r="H25" s="604">
        <f t="shared" si="3"/>
        <v>0.25279906194191426</v>
      </c>
      <c r="I25" s="651"/>
      <c r="J25" s="652"/>
      <c r="K25" s="727"/>
      <c r="L25" s="727"/>
      <c r="M25" s="728"/>
      <c r="N25" s="652"/>
    </row>
    <row r="26" spans="1:14" ht="15" customHeight="1">
      <c r="A26" s="600">
        <f t="shared" si="0"/>
        <v>14</v>
      </c>
      <c r="B26" s="603" t="s">
        <v>789</v>
      </c>
      <c r="C26" s="603"/>
      <c r="D26" s="604">
        <f>'TY Reg Assets RB'!C70</f>
        <v>193459.84</v>
      </c>
      <c r="E26" s="604">
        <f t="shared" si="1"/>
        <v>193459.84</v>
      </c>
      <c r="F26" s="730">
        <f t="shared" si="2"/>
        <v>0</v>
      </c>
      <c r="G26" s="604">
        <f>+'RB-IS by FERC'!D70</f>
        <v>193459.2403868956</v>
      </c>
      <c r="H26" s="604">
        <f t="shared" si="3"/>
        <v>-0.59961310439393856</v>
      </c>
      <c r="I26" s="651"/>
      <c r="J26" s="652"/>
      <c r="K26" s="727"/>
      <c r="L26" s="727"/>
      <c r="M26" s="728"/>
      <c r="N26" s="652"/>
    </row>
    <row r="27" spans="1:14" ht="15" customHeight="1">
      <c r="A27" s="600">
        <f t="shared" si="0"/>
        <v>15</v>
      </c>
      <c r="B27" s="603" t="s">
        <v>790</v>
      </c>
      <c r="C27" s="603"/>
      <c r="D27" s="604">
        <f>'TY Reg Assets RB'!C74</f>
        <v>-530083.09</v>
      </c>
      <c r="E27" s="604">
        <f t="shared" si="1"/>
        <v>-530083.09</v>
      </c>
      <c r="F27" s="730">
        <f t="shared" si="2"/>
        <v>0</v>
      </c>
      <c r="G27" s="604">
        <f>+'RB-IS by FERC'!D74</f>
        <v>-530083.1594999989</v>
      </c>
      <c r="H27" s="604">
        <f t="shared" si="3"/>
        <v>-6.9499998935498297E-2</v>
      </c>
      <c r="I27" s="651"/>
      <c r="J27" s="652"/>
      <c r="K27" s="727"/>
      <c r="L27" s="727"/>
      <c r="M27" s="728"/>
      <c r="N27" s="652"/>
    </row>
    <row r="28" spans="1:14" ht="15" customHeight="1">
      <c r="A28" s="600">
        <f t="shared" si="0"/>
        <v>16</v>
      </c>
      <c r="B28" s="603" t="s">
        <v>862</v>
      </c>
      <c r="C28" s="603"/>
      <c r="D28" s="604">
        <f>'RB-IS by FERC'!C82</f>
        <v>-5453015.8817438316</v>
      </c>
      <c r="E28" s="604">
        <f t="shared" si="1"/>
        <v>-5453015.8817438316</v>
      </c>
      <c r="F28" s="730">
        <f t="shared" si="2"/>
        <v>0</v>
      </c>
      <c r="G28" s="604">
        <f>'WRPC 2004 GRC'!O85</f>
        <v>-1559296.9123478986</v>
      </c>
      <c r="H28" s="604">
        <f t="shared" si="3"/>
        <v>3893718.9693959327</v>
      </c>
      <c r="K28" s="729"/>
      <c r="L28" s="729"/>
    </row>
    <row r="29" spans="1:14" ht="15" customHeight="1">
      <c r="A29" s="600">
        <f t="shared" si="0"/>
        <v>17</v>
      </c>
      <c r="B29" s="603" t="s">
        <v>766</v>
      </c>
      <c r="C29" s="603"/>
      <c r="D29" s="893">
        <f>SUM(D14:D28)</f>
        <v>172315554.79825622</v>
      </c>
      <c r="E29" s="893">
        <f>SUM(E14:E28)</f>
        <v>172315554.79825622</v>
      </c>
      <c r="F29" s="893">
        <f>SUM(F14:F28)</f>
        <v>0</v>
      </c>
      <c r="G29" s="893">
        <f>SUM(G14:G28)</f>
        <v>148923662.89445901</v>
      </c>
      <c r="H29" s="893">
        <f>SUM(H14:H28)</f>
        <v>-23391891.903797135</v>
      </c>
    </row>
    <row r="30" spans="1:14" ht="15" customHeight="1">
      <c r="A30" s="600">
        <f t="shared" si="0"/>
        <v>18</v>
      </c>
      <c r="B30"/>
      <c r="C30"/>
    </row>
    <row r="31" spans="1:14" ht="15" customHeight="1">
      <c r="A31" s="600">
        <f t="shared" si="0"/>
        <v>19</v>
      </c>
      <c r="B31"/>
      <c r="C31"/>
    </row>
    <row r="32" spans="1:14" ht="15" customHeight="1">
      <c r="A32" s="600">
        <f t="shared" si="0"/>
        <v>20</v>
      </c>
      <c r="B32" s="746" t="s">
        <v>803</v>
      </c>
      <c r="C32" s="746"/>
      <c r="D32" s="604"/>
      <c r="G32" s="604"/>
      <c r="H32" s="604"/>
    </row>
    <row r="33" spans="1:12" ht="15" customHeight="1">
      <c r="A33" s="600">
        <f t="shared" si="0"/>
        <v>21</v>
      </c>
      <c r="B33" s="603" t="str">
        <f>B14</f>
        <v>WESTCOAST PIPELINE CAPACITY - UE-082013 (FB ENERGY)</v>
      </c>
      <c r="C33" s="603"/>
      <c r="D33" s="747" t="s">
        <v>804</v>
      </c>
      <c r="G33" s="749"/>
      <c r="H33" s="748"/>
    </row>
    <row r="34" spans="1:12" ht="15" customHeight="1">
      <c r="A34" s="600">
        <f t="shared" si="0"/>
        <v>22</v>
      </c>
      <c r="B34" s="603" t="str">
        <f>B15</f>
        <v>WESTCOAST PIPELINE CAPACITY - UE-100503 (BNP PARIBUS)</v>
      </c>
      <c r="C34" s="603"/>
      <c r="D34" s="747" t="s">
        <v>804</v>
      </c>
      <c r="G34" s="749"/>
      <c r="H34" s="748"/>
    </row>
    <row r="35" spans="1:12" ht="15" customHeight="1">
      <c r="A35" s="600">
        <f t="shared" si="0"/>
        <v>23</v>
      </c>
      <c r="B35" s="603" t="str">
        <f>B16</f>
        <v>MINT FARM DEFFRED - UE-090704 (FERC 407.3)</v>
      </c>
      <c r="C35" s="603"/>
      <c r="D35" s="604">
        <f>SUM('Mint Farm Def'!G122:G133)</f>
        <v>2885052</v>
      </c>
      <c r="E35" s="604">
        <f t="shared" ref="E35" si="4">+D35</f>
        <v>2885052</v>
      </c>
      <c r="G35" s="604">
        <f>SUM('Mint Farm Def'!G150:G161)</f>
        <v>2885052</v>
      </c>
      <c r="H35" s="604">
        <f>+G35-E35</f>
        <v>0</v>
      </c>
      <c r="K35"/>
      <c r="L35"/>
    </row>
    <row r="36" spans="1:12" ht="15" customHeight="1">
      <c r="A36" s="600">
        <f t="shared" si="0"/>
        <v>24</v>
      </c>
      <c r="B36" s="879" t="s">
        <v>762</v>
      </c>
      <c r="C36" s="879"/>
      <c r="D36" s="747" t="s">
        <v>804</v>
      </c>
      <c r="G36" s="748"/>
      <c r="H36" s="748"/>
      <c r="K36"/>
      <c r="L36"/>
    </row>
    <row r="37" spans="1:12" ht="15" customHeight="1">
      <c r="A37" s="600">
        <f t="shared" si="0"/>
        <v>25</v>
      </c>
      <c r="B37" s="879" t="s">
        <v>764</v>
      </c>
      <c r="C37" s="879"/>
      <c r="D37" s="747" t="s">
        <v>804</v>
      </c>
      <c r="G37" s="748"/>
      <c r="H37" s="748"/>
      <c r="K37"/>
      <c r="L37"/>
    </row>
    <row r="38" spans="1:12" ht="15" customHeight="1">
      <c r="A38" s="600">
        <f t="shared" si="0"/>
        <v>26</v>
      </c>
      <c r="B38" s="879" t="s">
        <v>765</v>
      </c>
      <c r="C38" s="879"/>
      <c r="D38" s="747" t="s">
        <v>804</v>
      </c>
      <c r="G38" s="748"/>
      <c r="H38" s="748"/>
      <c r="K38"/>
      <c r="L38"/>
    </row>
    <row r="39" spans="1:12" ht="15" customHeight="1">
      <c r="A39" s="600">
        <f t="shared" si="0"/>
        <v>27</v>
      </c>
      <c r="B39" s="603" t="str">
        <f>B21</f>
        <v>CARRYING CHARGES ON LSR PP TRANSM $99.8M (FERC 407.3)</v>
      </c>
      <c r="C39" s="603"/>
      <c r="D39" s="604">
        <f>'LSR Prepaid carrying charges '!H373</f>
        <v>687420</v>
      </c>
      <c r="E39" s="604">
        <f t="shared" ref="E39:E46" si="5">+D39</f>
        <v>687420</v>
      </c>
      <c r="G39" s="604">
        <f>'LSR Prepaid carrying charges '!H374</f>
        <v>687420</v>
      </c>
      <c r="H39" s="604">
        <f t="shared" ref="H39:H46" si="6">+G39-E39</f>
        <v>0</v>
      </c>
      <c r="K39"/>
      <c r="L39"/>
    </row>
    <row r="40" spans="1:12" ht="15" customHeight="1">
      <c r="A40" s="600">
        <f t="shared" si="0"/>
        <v>28</v>
      </c>
      <c r="B40" s="603" t="str">
        <f t="shared" ref="B40:B44" si="7">B22</f>
        <v>BAKER LICENSE UPGRADE DEFERRAL (2013 PCORC) (FERC 407.3)</v>
      </c>
      <c r="C40" s="603"/>
      <c r="D40" s="604">
        <f>Baker!F115</f>
        <v>561126.34087998548</v>
      </c>
      <c r="E40" s="604">
        <f t="shared" si="5"/>
        <v>561126.34087998548</v>
      </c>
      <c r="G40" s="604">
        <f>Baker!F116</f>
        <v>0</v>
      </c>
      <c r="H40" s="604">
        <f t="shared" si="6"/>
        <v>-561126.34087998548</v>
      </c>
      <c r="K40"/>
      <c r="L40"/>
    </row>
    <row r="41" spans="1:12" ht="15" customHeight="1">
      <c r="A41" s="600">
        <f t="shared" si="0"/>
        <v>29</v>
      </c>
      <c r="B41" s="603" t="str">
        <f t="shared" si="7"/>
        <v>SNOQUALMIE LICENSE UPGRADE DEFERRAL (2013 PCORC) (FERC 407.3)</v>
      </c>
      <c r="C41" s="603"/>
      <c r="D41" s="604">
        <f>Snoq!G117</f>
        <v>2203436.1529896799</v>
      </c>
      <c r="E41" s="604">
        <f t="shared" si="5"/>
        <v>2203436.1529896799</v>
      </c>
      <c r="G41" s="604">
        <f>Snoq!G118</f>
        <v>0</v>
      </c>
      <c r="H41" s="604">
        <f t="shared" si="6"/>
        <v>-2203436.1529896799</v>
      </c>
      <c r="K41"/>
      <c r="L41"/>
    </row>
    <row r="42" spans="1:12" ht="15" customHeight="1">
      <c r="A42" s="600">
        <f t="shared" si="0"/>
        <v>30</v>
      </c>
      <c r="B42" s="603" t="str">
        <f t="shared" si="7"/>
        <v>FERNDALE DEFERRAL (2013 PCORC) (FERC 407.3)</v>
      </c>
      <c r="C42" s="603"/>
      <c r="D42" s="604">
        <f>Ferndale!G121</f>
        <v>4520422.508572978</v>
      </c>
      <c r="E42" s="604">
        <f t="shared" si="5"/>
        <v>4520422.508572978</v>
      </c>
      <c r="G42" s="604">
        <f>Ferndale!G122</f>
        <v>0</v>
      </c>
      <c r="H42" s="604">
        <f t="shared" si="6"/>
        <v>-4520422.508572978</v>
      </c>
      <c r="K42"/>
      <c r="L42"/>
    </row>
    <row r="43" spans="1:12" ht="15" customHeight="1">
      <c r="A43" s="600">
        <f t="shared" si="0"/>
        <v>31</v>
      </c>
      <c r="B43" s="603" t="str">
        <f t="shared" si="7"/>
        <v>BAKER TREASURY GRANT DEFERRAL (2014 PCORC) (FERC 407.4)</v>
      </c>
      <c r="C43" s="603"/>
      <c r="D43" s="604">
        <f>-SUM('T-Grant Baker Deferral'!J109:J118)</f>
        <v>-400029</v>
      </c>
      <c r="E43" s="604">
        <f t="shared" si="5"/>
        <v>-400029</v>
      </c>
      <c r="G43" s="604">
        <f>'T-Grant Baker Deferral'!G103</f>
        <v>0</v>
      </c>
      <c r="H43" s="604">
        <f t="shared" si="6"/>
        <v>400029</v>
      </c>
      <c r="K43"/>
      <c r="L43"/>
    </row>
    <row r="44" spans="1:12" ht="15" customHeight="1">
      <c r="A44" s="600">
        <f t="shared" si="0"/>
        <v>32</v>
      </c>
      <c r="B44" s="603" t="str">
        <f t="shared" si="7"/>
        <v>SNOQUALMIE TREASURY GRANT DEFERRAL (2014 PCORC) (FERC 407.4)</v>
      </c>
      <c r="C44" s="603"/>
      <c r="D44" s="604">
        <f>-SUM('T-Grant Snoq Deferral'!K115:K124)</f>
        <v>-1381856</v>
      </c>
      <c r="E44" s="604">
        <f t="shared" si="5"/>
        <v>-1381856</v>
      </c>
      <c r="G44" s="604">
        <f>+'T-Grant Snoq Deferral'!G108</f>
        <v>0</v>
      </c>
      <c r="H44" s="604">
        <f t="shared" si="6"/>
        <v>1381856</v>
      </c>
      <c r="K44"/>
      <c r="L44"/>
    </row>
    <row r="45" spans="1:12" ht="15" customHeight="1">
      <c r="A45" s="600">
        <f t="shared" si="0"/>
        <v>33</v>
      </c>
      <c r="B45" s="603" t="s">
        <v>861</v>
      </c>
      <c r="C45" s="603"/>
      <c r="D45" s="604">
        <f>-'WRPC 2004 GRC'!P94</f>
        <v>6689176.5497812955</v>
      </c>
      <c r="E45" s="604">
        <f t="shared" si="5"/>
        <v>6689176.5497812955</v>
      </c>
      <c r="G45" s="604">
        <f>-'WRPC 2004 GRC'!P96</f>
        <v>4459451.03318753</v>
      </c>
      <c r="H45" s="604">
        <f t="shared" si="6"/>
        <v>-2229725.5165937655</v>
      </c>
      <c r="K45"/>
      <c r="L45"/>
    </row>
    <row r="46" spans="1:12" ht="15" customHeight="1">
      <c r="A46" s="600">
        <f t="shared" si="0"/>
        <v>34</v>
      </c>
      <c r="B46" s="603" t="str">
        <f>B27</f>
        <v>ELECTRON UNRECOVERED COST (2014 PCORC) (FERC 407.3)</v>
      </c>
      <c r="C46" s="603"/>
      <c r="D46" s="604">
        <f>+'Electron Deferral'!E105</f>
        <v>3786308</v>
      </c>
      <c r="E46" s="604">
        <f t="shared" si="5"/>
        <v>3786308</v>
      </c>
      <c r="G46" s="604">
        <f>+'Electron Deferral'!E106</f>
        <v>0</v>
      </c>
      <c r="H46" s="604">
        <f t="shared" si="6"/>
        <v>-3786308</v>
      </c>
      <c r="K46"/>
      <c r="L46"/>
    </row>
    <row r="47" spans="1:12" ht="15" customHeight="1">
      <c r="A47" s="600">
        <f t="shared" si="0"/>
        <v>35</v>
      </c>
      <c r="B47" s="750" t="s">
        <v>805</v>
      </c>
      <c r="C47" s="750"/>
      <c r="D47" s="751">
        <f>SUM(D33:D46)</f>
        <v>19551056.552223939</v>
      </c>
      <c r="E47" s="751">
        <f t="shared" ref="E47:H47" si="8">SUM(E33:E46)</f>
        <v>19551056.552223939</v>
      </c>
      <c r="F47" s="751">
        <f t="shared" si="8"/>
        <v>0</v>
      </c>
      <c r="G47" s="751">
        <f t="shared" si="8"/>
        <v>8031923.03318753</v>
      </c>
      <c r="H47" s="751">
        <f t="shared" si="8"/>
        <v>-11519133.519036409</v>
      </c>
      <c r="K47"/>
      <c r="L47"/>
    </row>
    <row r="48" spans="1:12" ht="15" customHeight="1">
      <c r="A48" s="600">
        <f t="shared" si="0"/>
        <v>36</v>
      </c>
      <c r="K48"/>
      <c r="L48"/>
    </row>
    <row r="49" spans="1:14" ht="15" customHeight="1">
      <c r="A49" s="600">
        <f t="shared" si="0"/>
        <v>37</v>
      </c>
      <c r="B49" s="750" t="s">
        <v>806</v>
      </c>
      <c r="C49" s="750"/>
      <c r="G49" s="752"/>
      <c r="H49" s="753">
        <f>H47</f>
        <v>-11519133.519036409</v>
      </c>
      <c r="K49"/>
      <c r="L49"/>
    </row>
    <row r="50" spans="1:14" ht="15" customHeight="1">
      <c r="A50" s="600">
        <f t="shared" si="0"/>
        <v>38</v>
      </c>
      <c r="B50" s="750"/>
      <c r="C50" s="750"/>
      <c r="G50" s="752"/>
      <c r="H50" s="754"/>
      <c r="K50"/>
      <c r="L50"/>
      <c r="N50" s="1"/>
    </row>
    <row r="51" spans="1:14" ht="15" customHeight="1">
      <c r="A51" s="600">
        <f t="shared" si="0"/>
        <v>39</v>
      </c>
      <c r="B51" s="750" t="s">
        <v>807</v>
      </c>
      <c r="C51" s="755">
        <v>0.21</v>
      </c>
      <c r="H51" s="756">
        <f>-H49*C51</f>
        <v>2419018.0389976455</v>
      </c>
      <c r="K51"/>
      <c r="L51"/>
      <c r="N51" s="1"/>
    </row>
    <row r="52" spans="1:14" ht="15" customHeight="1">
      <c r="A52" s="600">
        <f t="shared" si="0"/>
        <v>40</v>
      </c>
      <c r="B52" s="750"/>
      <c r="C52" s="750"/>
      <c r="G52" s="750"/>
      <c r="H52" s="750"/>
      <c r="K52"/>
      <c r="L52"/>
      <c r="N52" s="1"/>
    </row>
    <row r="53" spans="1:14" ht="15" customHeight="1" thickBot="1">
      <c r="A53" s="600">
        <f t="shared" si="0"/>
        <v>41</v>
      </c>
      <c r="B53" s="750" t="s">
        <v>808</v>
      </c>
      <c r="C53" s="750"/>
      <c r="G53" s="750"/>
      <c r="H53" s="757">
        <f>-H49-H51</f>
        <v>9100115.4800387621</v>
      </c>
      <c r="K53"/>
      <c r="L53"/>
      <c r="N53" s="1"/>
    </row>
    <row r="54" spans="1:14" ht="15" customHeight="1" thickTop="1">
      <c r="A54" s="600">
        <f t="shared" si="0"/>
        <v>42</v>
      </c>
      <c r="K54"/>
      <c r="L54"/>
      <c r="N54" s="1"/>
    </row>
    <row r="55" spans="1:14" ht="15" customHeight="1">
      <c r="A55" s="600">
        <f t="shared" si="0"/>
        <v>43</v>
      </c>
      <c r="B55" s="758" t="s">
        <v>811</v>
      </c>
      <c r="C55" s="758"/>
      <c r="K55"/>
      <c r="L55"/>
      <c r="N55" s="1"/>
    </row>
    <row r="56" spans="1:14" ht="15" customHeight="1">
      <c r="A56" s="600">
        <f t="shared" si="0"/>
        <v>44</v>
      </c>
      <c r="B56" s="758" t="s">
        <v>812</v>
      </c>
      <c r="C56" s="758"/>
      <c r="K56"/>
      <c r="L56"/>
      <c r="N56" s="1"/>
    </row>
    <row r="57" spans="1:14">
      <c r="A57" s="600">
        <f t="shared" si="0"/>
        <v>45</v>
      </c>
      <c r="B57" s="761"/>
      <c r="C57" s="761"/>
      <c r="K57"/>
      <c r="L57"/>
      <c r="N57" s="1"/>
    </row>
    <row r="58" spans="1:14" ht="12.75" customHeight="1">
      <c r="A58" s="600">
        <f t="shared" si="0"/>
        <v>46</v>
      </c>
      <c r="B58" s="758" t="s">
        <v>813</v>
      </c>
      <c r="C58" s="758"/>
      <c r="D58" s="759" t="s">
        <v>814</v>
      </c>
      <c r="E58" s="759"/>
      <c r="F58" s="759"/>
      <c r="G58" s="759"/>
      <c r="H58" s="759"/>
      <c r="I58"/>
      <c r="J58"/>
      <c r="K58"/>
      <c r="L58"/>
      <c r="M58" s="605"/>
      <c r="N58" s="1"/>
    </row>
    <row r="59" spans="1:14" ht="12.75" customHeight="1">
      <c r="A59" s="600">
        <f t="shared" si="0"/>
        <v>47</v>
      </c>
      <c r="B59" s="762" t="s">
        <v>815</v>
      </c>
      <c r="C59" s="762"/>
      <c r="D59" s="763">
        <f>SUMIF('RB-IS by FERC'!$F$4:$F$88,"RA/L",'RB-IS by FERC'!$E$4:$E$88)</f>
        <v>-31039847.298310034</v>
      </c>
      <c r="E59" s="758"/>
      <c r="F59" s="758"/>
      <c r="G59" s="758"/>
      <c r="H59" s="758"/>
      <c r="I59"/>
      <c r="J59"/>
      <c r="K59"/>
      <c r="L59"/>
      <c r="M59" s="1"/>
      <c r="N59" s="1"/>
    </row>
    <row r="60" spans="1:14" ht="12.75" customHeight="1">
      <c r="A60" s="600">
        <f t="shared" si="0"/>
        <v>48</v>
      </c>
      <c r="B60" s="762" t="s">
        <v>816</v>
      </c>
      <c r="C60" s="762"/>
      <c r="D60" s="763">
        <f>SUMIF('RB-IS by FERC'!$F$4:$F$88,"DFIT",'RB-IS by FERC'!$E$4:$E$88)</f>
        <v>7647955.3945128955</v>
      </c>
      <c r="I60"/>
      <c r="J60"/>
      <c r="K60"/>
      <c r="L60"/>
    </row>
    <row r="61" spans="1:14" ht="12.75" customHeight="1" thickBot="1">
      <c r="A61" s="600">
        <f t="shared" si="0"/>
        <v>49</v>
      </c>
      <c r="B61" s="762" t="s">
        <v>817</v>
      </c>
      <c r="C61" s="762"/>
      <c r="D61" s="765">
        <f>SUM(D59:D60)</f>
        <v>-23391891.903797138</v>
      </c>
      <c r="I61"/>
      <c r="J61"/>
      <c r="K61"/>
      <c r="L61"/>
    </row>
    <row r="62" spans="1:14" ht="12.75" customHeight="1" thickTop="1">
      <c r="A62"/>
      <c r="B62"/>
      <c r="C62"/>
      <c r="D62"/>
      <c r="E62"/>
      <c r="F62"/>
      <c r="G62"/>
      <c r="H62"/>
      <c r="I62"/>
      <c r="J62"/>
    </row>
    <row r="63" spans="1:14" ht="12.75" customHeight="1">
      <c r="A63"/>
      <c r="B63"/>
      <c r="C63"/>
      <c r="D63" s="763"/>
      <c r="E63"/>
      <c r="F63"/>
      <c r="G63"/>
      <c r="H63"/>
      <c r="I63"/>
      <c r="J63"/>
    </row>
    <row r="64" spans="1:14" ht="12.75" customHeight="1">
      <c r="A64"/>
      <c r="B64"/>
      <c r="C64"/>
      <c r="D64" s="764"/>
      <c r="E64"/>
      <c r="F64"/>
      <c r="G64"/>
      <c r="H64"/>
      <c r="I64"/>
      <c r="J64"/>
    </row>
    <row r="65" spans="1:10" ht="12.75" customHeight="1">
      <c r="A65"/>
      <c r="B65"/>
      <c r="C65"/>
      <c r="D65"/>
      <c r="E65"/>
      <c r="F65"/>
      <c r="G65"/>
      <c r="H65"/>
      <c r="I65"/>
      <c r="J65"/>
    </row>
  </sheetData>
  <pageMargins left="0.92" right="0.5" top="1" bottom="1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zoomScaleNormal="100" workbookViewId="0">
      <pane ySplit="2" topLeftCell="A63" activePane="bottomLeft" state="frozen"/>
      <selection activeCell="C105" sqref="C105"/>
      <selection pane="bottomLeft" activeCell="J20" sqref="J20"/>
    </sheetView>
  </sheetViews>
  <sheetFormatPr defaultColWidth="9.33203125" defaultRowHeight="12.75"/>
  <cols>
    <col min="1" max="1" width="13.33203125" style="609" customWidth="1"/>
    <col min="2" max="2" width="47.83203125" style="609" customWidth="1"/>
    <col min="3" max="4" width="21.33203125" style="609" bestFit="1" customWidth="1"/>
    <col min="5" max="5" width="10.83203125" style="819" bestFit="1" customWidth="1"/>
    <col min="6" max="6" width="11.83203125" style="609" bestFit="1" customWidth="1"/>
    <col min="7" max="7" width="4.5" style="609" customWidth="1"/>
    <col min="8" max="8" width="17" bestFit="1" customWidth="1"/>
    <col min="9" max="9" width="13.5" customWidth="1"/>
    <col min="19" max="16384" width="9.33203125" style="609"/>
  </cols>
  <sheetData>
    <row r="1" spans="1:7" ht="13.5" thickBot="1">
      <c r="A1" s="606"/>
      <c r="B1" s="607"/>
      <c r="C1" s="607"/>
      <c r="D1" s="607"/>
      <c r="E1" s="607"/>
      <c r="F1" s="608"/>
    </row>
    <row r="2" spans="1:7" ht="26.25" thickBot="1">
      <c r="A2" s="610" t="s">
        <v>663</v>
      </c>
      <c r="B2" s="610" t="s">
        <v>662</v>
      </c>
      <c r="C2" s="611">
        <v>43464</v>
      </c>
      <c r="D2" s="611" t="s">
        <v>809</v>
      </c>
      <c r="E2" s="612" t="s">
        <v>665</v>
      </c>
      <c r="F2" s="612" t="s">
        <v>664</v>
      </c>
    </row>
    <row r="3" spans="1:7" ht="13.5" thickTop="1">
      <c r="A3" s="613"/>
      <c r="B3" s="614" t="s">
        <v>132</v>
      </c>
      <c r="C3" s="615"/>
      <c r="D3" s="616"/>
      <c r="E3" s="853"/>
      <c r="F3" s="617"/>
    </row>
    <row r="4" spans="1:7">
      <c r="A4" s="618">
        <v>25300601</v>
      </c>
      <c r="B4" s="619" t="s">
        <v>661</v>
      </c>
      <c r="C4" s="254">
        <v>0</v>
      </c>
      <c r="D4" s="254">
        <v>0</v>
      </c>
      <c r="E4" s="856"/>
      <c r="F4" s="620"/>
    </row>
    <row r="5" spans="1:7">
      <c r="A5" s="618">
        <v>25400201</v>
      </c>
      <c r="B5" s="619" t="s">
        <v>660</v>
      </c>
      <c r="C5" s="254">
        <f>+'[2]2017 GRC WC Det Format'!$AB$1281</f>
        <v>0</v>
      </c>
      <c r="D5" s="254">
        <f>+'[2]2017 GRC WC Det Format'!$AE$1281</f>
        <v>-136170.19999999998</v>
      </c>
      <c r="E5" s="856" t="s">
        <v>667</v>
      </c>
      <c r="F5" s="620" t="s">
        <v>692</v>
      </c>
      <c r="G5" s="254"/>
    </row>
    <row r="6" spans="1:7">
      <c r="A6" s="618">
        <v>19000151</v>
      </c>
      <c r="B6" s="619" t="s">
        <v>659</v>
      </c>
      <c r="C6" s="254">
        <f>+'[2]2017 GRC WC Det Format'!$AB$831</f>
        <v>45753.08</v>
      </c>
      <c r="D6" s="254">
        <f>+'[2]2017 GRC WC Det Format'!$AE$831</f>
        <v>74348.820000000007</v>
      </c>
      <c r="E6" s="856" t="s">
        <v>688</v>
      </c>
      <c r="F6" s="620" t="s">
        <v>689</v>
      </c>
      <c r="G6" s="254"/>
    </row>
    <row r="7" spans="1:7" ht="13.5" thickBot="1">
      <c r="A7" s="624"/>
      <c r="B7" s="619"/>
      <c r="C7" s="621">
        <f>SUM(C4:C6)</f>
        <v>45753.08</v>
      </c>
      <c r="D7" s="621">
        <f>SUM(D4:D6)</f>
        <v>-61821.379999999976</v>
      </c>
      <c r="E7" s="896"/>
      <c r="F7" s="625"/>
    </row>
    <row r="8" spans="1:7" ht="13.5" thickTop="1">
      <c r="A8" s="624"/>
      <c r="B8" s="614" t="s">
        <v>656</v>
      </c>
      <c r="C8" s="626"/>
      <c r="D8" s="627"/>
      <c r="E8" s="896"/>
      <c r="F8" s="625"/>
    </row>
    <row r="9" spans="1:7">
      <c r="A9" s="628">
        <v>19000711</v>
      </c>
      <c r="B9" s="619" t="s">
        <v>658</v>
      </c>
      <c r="C9" s="254">
        <f>+'[2]2017 GRC WC Det Format'!$AB$863</f>
        <v>62723.02</v>
      </c>
      <c r="D9" s="254">
        <f>+'[2]2017 GRC WC Det Format'!$AE$863</f>
        <v>101925.00041666668</v>
      </c>
      <c r="E9" s="896">
        <v>22</v>
      </c>
      <c r="F9" s="625" t="s">
        <v>691</v>
      </c>
      <c r="G9" s="254"/>
    </row>
    <row r="10" spans="1:7">
      <c r="A10" s="628">
        <v>25400191</v>
      </c>
      <c r="B10" s="619" t="s">
        <v>657</v>
      </c>
      <c r="C10" s="254">
        <f>+'[2]2017 GRC WC Det Format'!$AB$1280</f>
        <v>0</v>
      </c>
      <c r="D10" s="254">
        <f>+'[2]2017 GRC WC Det Format'!$AE$1280</f>
        <v>-186676.11416666667</v>
      </c>
      <c r="E10" s="896">
        <v>23</v>
      </c>
      <c r="F10" s="625">
        <v>29.1</v>
      </c>
      <c r="G10" s="254"/>
    </row>
    <row r="11" spans="1:7">
      <c r="A11" s="628">
        <v>25302121</v>
      </c>
      <c r="B11" s="619" t="s">
        <v>655</v>
      </c>
      <c r="C11" s="254">
        <v>0</v>
      </c>
      <c r="D11" s="254">
        <v>0</v>
      </c>
      <c r="E11" s="896"/>
      <c r="F11" s="625"/>
    </row>
    <row r="12" spans="1:7" ht="13.5" thickBot="1">
      <c r="A12" s="624"/>
      <c r="B12" s="619"/>
      <c r="C12" s="621">
        <f>SUM(C9:C11)</f>
        <v>62723.02</v>
      </c>
      <c r="D12" s="621">
        <f>SUM(D9:D11)</f>
        <v>-84751.11374999999</v>
      </c>
      <c r="E12" s="896"/>
      <c r="F12" s="625"/>
    </row>
    <row r="13" spans="1:7" ht="13.5" thickTop="1">
      <c r="A13" s="624"/>
      <c r="B13" s="614" t="s">
        <v>770</v>
      </c>
      <c r="C13" s="626"/>
      <c r="D13" s="627"/>
      <c r="E13" s="896"/>
      <c r="F13" s="625"/>
    </row>
    <row r="14" spans="1:7">
      <c r="A14" s="628">
        <v>18600351</v>
      </c>
      <c r="B14" s="619" t="s">
        <v>654</v>
      </c>
      <c r="C14" s="254">
        <v>0</v>
      </c>
      <c r="D14" s="254">
        <v>0</v>
      </c>
      <c r="E14" s="896"/>
      <c r="F14" s="625"/>
    </row>
    <row r="15" spans="1:7">
      <c r="A15" s="628">
        <v>18600361</v>
      </c>
      <c r="B15" s="619" t="s">
        <v>653</v>
      </c>
      <c r="C15" s="254">
        <v>0</v>
      </c>
      <c r="D15" s="254">
        <v>0</v>
      </c>
      <c r="E15" s="896"/>
      <c r="F15" s="625"/>
      <c r="G15" s="629"/>
    </row>
    <row r="16" spans="1:7">
      <c r="A16" s="628">
        <v>18600371</v>
      </c>
      <c r="B16" s="619" t="s">
        <v>652</v>
      </c>
      <c r="C16" s="254">
        <v>0</v>
      </c>
      <c r="D16" s="254">
        <v>0</v>
      </c>
      <c r="E16" s="896"/>
      <c r="F16" s="625"/>
      <c r="G16" s="629"/>
    </row>
    <row r="17" spans="1:7">
      <c r="A17" s="628">
        <v>18235521</v>
      </c>
      <c r="B17" s="619" t="s">
        <v>651</v>
      </c>
      <c r="C17" s="254">
        <f>+'[2]2017 GRC WC Det Format'!$AB$540</f>
        <v>17865334.879999999</v>
      </c>
      <c r="D17" s="254">
        <f>+'[2]2017 GRC WC Det Format'!$AE$540</f>
        <v>19307860.879999999</v>
      </c>
      <c r="E17" s="896">
        <v>23</v>
      </c>
      <c r="F17" s="625" t="s">
        <v>673</v>
      </c>
      <c r="G17" s="630"/>
    </row>
    <row r="18" spans="1:7">
      <c r="A18" s="618">
        <v>28300601</v>
      </c>
      <c r="B18" s="619" t="s">
        <v>650</v>
      </c>
      <c r="C18" s="254">
        <v>0</v>
      </c>
      <c r="D18" s="254">
        <v>0</v>
      </c>
      <c r="E18" s="896"/>
      <c r="F18" s="625"/>
      <c r="G18" s="629"/>
    </row>
    <row r="19" spans="1:7">
      <c r="A19" s="618">
        <v>28300611</v>
      </c>
      <c r="B19" s="619" t="s">
        <v>649</v>
      </c>
      <c r="C19" s="254">
        <v>0</v>
      </c>
      <c r="D19" s="254">
        <v>0</v>
      </c>
      <c r="E19" s="896"/>
      <c r="F19" s="625"/>
      <c r="G19" s="629"/>
    </row>
    <row r="20" spans="1:7">
      <c r="A20" s="618">
        <v>28300661</v>
      </c>
      <c r="B20" s="619" t="s">
        <v>648</v>
      </c>
      <c r="C20" s="254">
        <f>+'[2]2017 GRC WC Det Format'!$AB$1378</f>
        <v>-6656774.5300000003</v>
      </c>
      <c r="D20" s="254">
        <f>+'[2]2017 GRC WC Det Format'!$AE$1378</f>
        <v>-6959704.9899999993</v>
      </c>
      <c r="E20" s="896">
        <v>22</v>
      </c>
      <c r="F20" s="625" t="s">
        <v>699</v>
      </c>
      <c r="G20" s="630"/>
    </row>
    <row r="21" spans="1:7" ht="13.5" thickBot="1">
      <c r="A21" s="624"/>
      <c r="B21" s="619"/>
      <c r="C21" s="621">
        <f>SUM(C14:C20)</f>
        <v>11208560.349999998</v>
      </c>
      <c r="D21" s="621">
        <f>SUM(D14:D20)</f>
        <v>12348155.890000001</v>
      </c>
      <c r="E21" s="896"/>
      <c r="F21" s="625"/>
    </row>
    <row r="22" spans="1:7" ht="13.5" thickTop="1">
      <c r="A22" s="624"/>
      <c r="B22" s="631" t="s">
        <v>141</v>
      </c>
      <c r="C22" s="626"/>
      <c r="D22" s="623"/>
      <c r="E22" s="896"/>
      <c r="F22" s="625"/>
    </row>
    <row r="23" spans="1:7">
      <c r="A23" s="628">
        <v>18230351</v>
      </c>
      <c r="B23" s="619" t="s">
        <v>645</v>
      </c>
      <c r="C23" s="254">
        <f>+'[2]2017 GRC WC Det Format'!$AB$488</f>
        <v>90963509.170000002</v>
      </c>
      <c r="D23" s="254">
        <f>+'[2]2017 GRC WC Det Format'!$AE$488</f>
        <v>94507541.950000003</v>
      </c>
      <c r="E23" s="896">
        <v>23</v>
      </c>
      <c r="F23" s="625" t="s">
        <v>666</v>
      </c>
      <c r="G23" s="254"/>
    </row>
    <row r="24" spans="1:7">
      <c r="A24" s="628">
        <v>28300561</v>
      </c>
      <c r="B24" s="619" t="s">
        <v>644</v>
      </c>
      <c r="C24" s="254">
        <f>+'[2]2017 GRC WC Det Format'!$AB$1375</f>
        <v>-12218448.32</v>
      </c>
      <c r="D24" s="254">
        <f>+'[2]2017 GRC WC Det Format'!$AE$1375</f>
        <v>-12495445.210833333</v>
      </c>
      <c r="E24" s="896">
        <v>22</v>
      </c>
      <c r="F24" s="625" t="s">
        <v>698</v>
      </c>
      <c r="G24" s="254"/>
    </row>
    <row r="25" spans="1:7" ht="13.5" thickBot="1">
      <c r="A25" s="624"/>
      <c r="B25" s="619"/>
      <c r="C25" s="621">
        <f>SUM(C23:C24)</f>
        <v>78745060.849999994</v>
      </c>
      <c r="D25" s="621">
        <f>SUM(D23:D24)</f>
        <v>82012096.739166677</v>
      </c>
      <c r="E25" s="896"/>
      <c r="F25" s="625"/>
    </row>
    <row r="26" spans="1:7" ht="13.5" thickTop="1">
      <c r="A26" s="624"/>
      <c r="B26" s="614" t="s">
        <v>772</v>
      </c>
      <c r="C26" s="626"/>
      <c r="D26" s="623"/>
      <c r="E26" s="896"/>
      <c r="F26" s="625"/>
    </row>
    <row r="27" spans="1:7">
      <c r="A27" s="628">
        <v>12800001</v>
      </c>
      <c r="B27" s="619" t="s">
        <v>643</v>
      </c>
      <c r="C27" s="254">
        <f>+'[2]2017 GRC WC Det Format'!$AB$91</f>
        <v>18500000</v>
      </c>
      <c r="D27" s="254">
        <f>+'[2]2017 GRC WC Det Format'!$AE$91</f>
        <v>18500000</v>
      </c>
      <c r="E27" s="896">
        <v>23</v>
      </c>
      <c r="F27" s="625" t="s">
        <v>666</v>
      </c>
      <c r="G27" s="254"/>
    </row>
    <row r="28" spans="1:7" ht="13.5" thickBot="1">
      <c r="A28" s="628"/>
      <c r="B28" s="619"/>
      <c r="C28" s="621">
        <f>SUM(C27)</f>
        <v>18500000</v>
      </c>
      <c r="D28" s="621">
        <f>SUM(D27)</f>
        <v>18500000</v>
      </c>
      <c r="E28" s="896"/>
      <c r="F28" s="625"/>
    </row>
    <row r="29" spans="1:7" ht="13.5" thickTop="1">
      <c r="A29" s="624"/>
      <c r="B29" s="632" t="s">
        <v>647</v>
      </c>
      <c r="C29" s="626"/>
      <c r="D29" s="627"/>
      <c r="E29" s="896"/>
      <c r="F29" s="625"/>
    </row>
    <row r="30" spans="1:7">
      <c r="A30" s="628">
        <v>16599011</v>
      </c>
      <c r="B30" s="619" t="s">
        <v>646</v>
      </c>
      <c r="C30" s="254">
        <v>0</v>
      </c>
      <c r="D30" s="254">
        <v>0</v>
      </c>
      <c r="E30" s="896"/>
      <c r="F30" s="625"/>
    </row>
    <row r="31" spans="1:7">
      <c r="A31" s="628">
        <v>18232321</v>
      </c>
      <c r="B31" s="619" t="s">
        <v>646</v>
      </c>
      <c r="C31" s="254">
        <f>+'[2]2017 GRC WC Det Format'!$AB$536</f>
        <v>499999.67</v>
      </c>
      <c r="D31" s="254">
        <f>+'[2]2017 GRC WC Det Format'!$AE$536</f>
        <v>749999.69</v>
      </c>
      <c r="E31" s="896">
        <v>23</v>
      </c>
      <c r="F31" s="625" t="s">
        <v>668</v>
      </c>
      <c r="G31" s="254"/>
    </row>
    <row r="32" spans="1:7" ht="13.5" thickBot="1">
      <c r="A32" s="628"/>
      <c r="B32" s="619"/>
      <c r="C32" s="621">
        <f>SUM(C30:C31)</f>
        <v>499999.67</v>
      </c>
      <c r="D32" s="621">
        <f>SUM(D30:D31)</f>
        <v>749999.69</v>
      </c>
      <c r="E32" s="896"/>
      <c r="F32" s="625"/>
    </row>
    <row r="33" spans="1:7" ht="13.5" thickTop="1">
      <c r="A33" s="628"/>
      <c r="B33" s="632" t="s">
        <v>773</v>
      </c>
      <c r="C33" s="626"/>
      <c r="D33" s="627"/>
      <c r="E33" s="896"/>
      <c r="F33" s="625"/>
    </row>
    <row r="34" spans="1:7">
      <c r="A34" s="628">
        <v>18600581</v>
      </c>
      <c r="B34" s="619" t="s">
        <v>681</v>
      </c>
      <c r="C34" s="254">
        <v>0</v>
      </c>
      <c r="D34" s="254">
        <v>0</v>
      </c>
      <c r="E34" s="896"/>
      <c r="F34" s="625"/>
    </row>
    <row r="35" spans="1:7">
      <c r="A35" s="628">
        <v>18232301</v>
      </c>
      <c r="B35" s="619" t="s">
        <v>642</v>
      </c>
      <c r="C35" s="254">
        <f>+'[2]2017 GRC WC Det Format'!$AB$534</f>
        <v>59411377.369999997</v>
      </c>
      <c r="D35" s="254">
        <f>+'[2]2017 GRC WC Det Format'!$AE$534</f>
        <v>61188732.369999997</v>
      </c>
      <c r="E35" s="896">
        <v>23</v>
      </c>
      <c r="F35" s="625" t="s">
        <v>672</v>
      </c>
      <c r="G35" s="254"/>
    </row>
    <row r="36" spans="1:7" ht="13.5" thickBot="1">
      <c r="A36" s="628"/>
      <c r="B36" s="619"/>
      <c r="C36" s="621">
        <f>SUM(C34:C35)</f>
        <v>59411377.369999997</v>
      </c>
      <c r="D36" s="621">
        <f>SUM(D34:D35)</f>
        <v>61188732.369999997</v>
      </c>
      <c r="E36" s="896"/>
      <c r="F36" s="625"/>
    </row>
    <row r="37" spans="1:7" ht="13.5" thickTop="1">
      <c r="A37" s="628"/>
      <c r="B37" s="632" t="s">
        <v>774</v>
      </c>
      <c r="C37" s="626"/>
      <c r="D37" s="626"/>
      <c r="E37" s="896"/>
      <c r="F37" s="625"/>
    </row>
    <row r="38" spans="1:7">
      <c r="A38" s="628">
        <v>18600591</v>
      </c>
      <c r="B38" s="619" t="s">
        <v>682</v>
      </c>
      <c r="C38" s="254"/>
      <c r="D38" s="254">
        <v>0</v>
      </c>
      <c r="E38" s="896"/>
      <c r="F38" s="625"/>
    </row>
    <row r="39" spans="1:7">
      <c r="A39" s="628">
        <v>18232311</v>
      </c>
      <c r="B39" s="619" t="s">
        <v>641</v>
      </c>
      <c r="C39" s="254">
        <f>+'[2]2017 GRC WC Det Format'!$AB$535</f>
        <v>12681984</v>
      </c>
      <c r="D39" s="254">
        <f>+'[2]2017 GRC WC Det Format'!$AE$535</f>
        <v>13025694</v>
      </c>
      <c r="E39" s="896"/>
      <c r="F39" s="625" t="s">
        <v>672</v>
      </c>
      <c r="G39" s="254"/>
    </row>
    <row r="40" spans="1:7">
      <c r="A40" s="628">
        <v>28300081</v>
      </c>
      <c r="B40" s="619" t="s">
        <v>640</v>
      </c>
      <c r="C40" s="254">
        <f>+'[2]2017 GRC WC Det Format'!$AB$1352</f>
        <v>-4534933.2</v>
      </c>
      <c r="D40" s="254">
        <f>+'[2]2017 GRC WC Det Format'!$AE$1352</f>
        <v>-4607112.3</v>
      </c>
      <c r="E40" s="896">
        <v>22</v>
      </c>
      <c r="F40" s="625" t="s">
        <v>693</v>
      </c>
      <c r="G40" s="254"/>
    </row>
    <row r="41" spans="1:7" ht="13.5" thickBot="1">
      <c r="A41" s="628"/>
      <c r="B41" s="619"/>
      <c r="C41" s="621">
        <f>SUM(C38:C40)</f>
        <v>8147050.7999999998</v>
      </c>
      <c r="D41" s="621">
        <f>SUM(D38:D40)</f>
        <v>8418581.6999999993</v>
      </c>
      <c r="E41" s="896"/>
      <c r="F41" s="625"/>
    </row>
    <row r="42" spans="1:7" ht="13.5" thickTop="1">
      <c r="A42" s="628"/>
      <c r="B42" s="633" t="s">
        <v>775</v>
      </c>
      <c r="C42" s="623"/>
      <c r="D42" s="623"/>
      <c r="E42" s="896"/>
      <c r="F42" s="625"/>
    </row>
    <row r="43" spans="1:7">
      <c r="A43" s="628">
        <v>18600801</v>
      </c>
      <c r="B43" s="619" t="s">
        <v>686</v>
      </c>
      <c r="C43" s="254">
        <v>0</v>
      </c>
      <c r="D43" s="254">
        <v>0</v>
      </c>
      <c r="E43" s="896"/>
      <c r="F43" s="625"/>
    </row>
    <row r="44" spans="1:7">
      <c r="A44" s="628">
        <v>18600811</v>
      </c>
      <c r="B44" s="619" t="s">
        <v>687</v>
      </c>
      <c r="C44" s="254">
        <v>0</v>
      </c>
      <c r="D44" s="254">
        <v>0</v>
      </c>
      <c r="E44" s="896"/>
      <c r="F44" s="625"/>
    </row>
    <row r="45" spans="1:7">
      <c r="A45" s="628">
        <v>18238321</v>
      </c>
      <c r="B45" s="619" t="s">
        <v>675</v>
      </c>
      <c r="C45" s="254">
        <f>+'[2]2017 GRC WC Det Format'!$AB$609</f>
        <v>0</v>
      </c>
      <c r="D45" s="254">
        <f>+'[2]2017 GRC WC Det Format'!$AE$609</f>
        <v>233790.62916666665</v>
      </c>
      <c r="E45" s="896">
        <v>23</v>
      </c>
      <c r="F45" s="625" t="s">
        <v>670</v>
      </c>
      <c r="G45" s="254"/>
    </row>
    <row r="46" spans="1:7">
      <c r="A46" s="628">
        <v>28300741</v>
      </c>
      <c r="B46" s="619" t="s">
        <v>703</v>
      </c>
      <c r="C46" s="254">
        <f>+'[2]2017 GRC WC Det Format'!$AB$1381</f>
        <v>-78555.81</v>
      </c>
      <c r="D46" s="254">
        <f>+'[2]2017 GRC WC Det Format'!$AE$1381</f>
        <v>-127651.84291666666</v>
      </c>
      <c r="E46" s="896">
        <v>22</v>
      </c>
      <c r="F46" s="625" t="s">
        <v>696</v>
      </c>
      <c r="G46" s="254"/>
    </row>
    <row r="47" spans="1:7" ht="13.5" thickBot="1">
      <c r="A47" s="628"/>
      <c r="B47" s="619"/>
      <c r="C47" s="621">
        <f>SUM(C43:C46)</f>
        <v>-78555.81</v>
      </c>
      <c r="D47" s="621">
        <f>SUM(D43:D46)</f>
        <v>106138.78624999999</v>
      </c>
      <c r="E47" s="896"/>
      <c r="F47" s="625"/>
    </row>
    <row r="48" spans="1:7" ht="13.5" thickTop="1">
      <c r="A48" s="628"/>
      <c r="B48" s="633" t="s">
        <v>625</v>
      </c>
      <c r="C48" s="623"/>
      <c r="D48" s="623"/>
      <c r="E48" s="896"/>
      <c r="F48" s="625"/>
    </row>
    <row r="49" spans="1:7">
      <c r="A49" s="628">
        <v>18600001</v>
      </c>
      <c r="B49" s="619" t="s">
        <v>677</v>
      </c>
      <c r="C49" s="254">
        <v>0</v>
      </c>
      <c r="D49" s="254">
        <v>0</v>
      </c>
      <c r="E49" s="896"/>
      <c r="F49" s="625"/>
    </row>
    <row r="50" spans="1:7">
      <c r="A50" s="628">
        <v>18600451</v>
      </c>
      <c r="B50" s="619" t="s">
        <v>678</v>
      </c>
      <c r="C50" s="254">
        <v>0</v>
      </c>
      <c r="D50" s="254">
        <v>0</v>
      </c>
      <c r="E50" s="896"/>
      <c r="F50" s="625"/>
    </row>
    <row r="51" spans="1:7">
      <c r="A51" s="628">
        <v>18600461</v>
      </c>
      <c r="B51" s="619" t="s">
        <v>679</v>
      </c>
      <c r="C51" s="254">
        <v>0</v>
      </c>
      <c r="D51" s="254">
        <v>0</v>
      </c>
      <c r="E51" s="896"/>
      <c r="F51" s="625"/>
    </row>
    <row r="52" spans="1:7">
      <c r="A52" s="628">
        <v>18238331</v>
      </c>
      <c r="B52" s="619" t="s">
        <v>676</v>
      </c>
      <c r="C52" s="766">
        <f>+'[2]2017 GRC WC Det Format'!$AB$610</f>
        <v>0</v>
      </c>
      <c r="D52" s="254">
        <f>+'[2]2017 GRC WC Det Format'!$AE$610</f>
        <v>918085.52833333344</v>
      </c>
      <c r="E52" s="896">
        <v>23</v>
      </c>
      <c r="F52" s="625" t="s">
        <v>669</v>
      </c>
      <c r="G52" s="254"/>
    </row>
    <row r="53" spans="1:7">
      <c r="A53" s="628">
        <v>28300091</v>
      </c>
      <c r="B53" s="619" t="s">
        <v>694</v>
      </c>
      <c r="C53" s="254">
        <f>+'[2]2017 GRC WC Det Format'!$AB$1353</f>
        <v>-308479.03999999998</v>
      </c>
      <c r="D53" s="254">
        <f>+'[2]2017 GRC WC Det Format'!$AE$1353</f>
        <v>-1029888.5287499996</v>
      </c>
      <c r="E53" s="896">
        <v>22</v>
      </c>
      <c r="F53" s="625" t="s">
        <v>695</v>
      </c>
      <c r="G53" s="254"/>
    </row>
    <row r="54" spans="1:7" ht="13.5" thickBot="1">
      <c r="A54" s="628"/>
      <c r="B54" s="619"/>
      <c r="C54" s="621">
        <f>SUM(C49:C53)</f>
        <v>-308479.03999999998</v>
      </c>
      <c r="D54" s="621">
        <f>SUM(D49:D53)</f>
        <v>-111803.00041666615</v>
      </c>
      <c r="E54" s="896"/>
      <c r="F54" s="625"/>
    </row>
    <row r="55" spans="1:7" ht="13.5" thickTop="1">
      <c r="A55" s="628"/>
      <c r="B55" s="633" t="s">
        <v>624</v>
      </c>
      <c r="C55" s="623"/>
      <c r="D55" s="623"/>
      <c r="E55" s="896"/>
      <c r="F55" s="625"/>
    </row>
    <row r="56" spans="1:7">
      <c r="A56" s="628">
        <v>18600531</v>
      </c>
      <c r="B56" s="619" t="s">
        <v>680</v>
      </c>
      <c r="C56" s="254">
        <v>0</v>
      </c>
      <c r="D56" s="254">
        <v>0</v>
      </c>
      <c r="E56" s="896"/>
      <c r="F56" s="625"/>
    </row>
    <row r="57" spans="1:7">
      <c r="A57" s="628">
        <v>18600671</v>
      </c>
      <c r="B57" s="619" t="s">
        <v>683</v>
      </c>
      <c r="C57" s="254">
        <v>0</v>
      </c>
      <c r="D57" s="254">
        <v>0</v>
      </c>
      <c r="E57" s="896"/>
      <c r="F57" s="625"/>
    </row>
    <row r="58" spans="1:7">
      <c r="A58" s="628">
        <v>18600691</v>
      </c>
      <c r="B58" s="619" t="s">
        <v>684</v>
      </c>
      <c r="C58" s="254">
        <v>0</v>
      </c>
      <c r="D58" s="254">
        <v>0</v>
      </c>
      <c r="E58" s="896"/>
      <c r="F58" s="625"/>
    </row>
    <row r="59" spans="1:7">
      <c r="A59" s="628">
        <v>18600791</v>
      </c>
      <c r="B59" s="619" t="s">
        <v>685</v>
      </c>
      <c r="C59" s="254">
        <v>0</v>
      </c>
      <c r="D59" s="254">
        <v>0</v>
      </c>
      <c r="E59" s="896"/>
      <c r="F59" s="625"/>
    </row>
    <row r="60" spans="1:7">
      <c r="A60" s="628">
        <v>18238311</v>
      </c>
      <c r="B60" s="619" t="s">
        <v>674</v>
      </c>
      <c r="C60" s="254">
        <f>+'[2]2017 GRC WC Det Format'!$AB$608</f>
        <v>3767013.76</v>
      </c>
      <c r="D60" s="254">
        <f>+'[2]2017 GRC WC Det Format'!$AE$608</f>
        <v>6027225.7599999988</v>
      </c>
      <c r="E60" s="896">
        <v>23</v>
      </c>
      <c r="F60" s="625" t="s">
        <v>671</v>
      </c>
      <c r="G60" s="254"/>
    </row>
    <row r="61" spans="1:7">
      <c r="A61" s="628">
        <v>28300731</v>
      </c>
      <c r="B61" s="619" t="s">
        <v>702</v>
      </c>
      <c r="C61" s="254">
        <f>+'[2]2017 GRC WC Det Format'!$AB$1380</f>
        <v>-1951314.18</v>
      </c>
      <c r="D61" s="254">
        <f>+'[2]2017 GRC WC Det Format'!$AE$1380</f>
        <v>-2425958.7000000002</v>
      </c>
      <c r="E61" s="896">
        <v>22</v>
      </c>
      <c r="F61" s="625" t="s">
        <v>690</v>
      </c>
      <c r="G61" s="254"/>
    </row>
    <row r="62" spans="1:7" ht="13.5" thickBot="1">
      <c r="A62" s="628"/>
      <c r="B62" s="619"/>
      <c r="C62" s="621">
        <f>SUM(C56:C61)</f>
        <v>1815699.5799999998</v>
      </c>
      <c r="D62" s="621">
        <f>SUM(D56:D61)</f>
        <v>3601267.0599999987</v>
      </c>
      <c r="E62" s="858"/>
      <c r="F62" s="634"/>
    </row>
    <row r="63" spans="1:7" ht="13.5" thickTop="1">
      <c r="A63" s="628"/>
      <c r="B63" s="633" t="s">
        <v>776</v>
      </c>
      <c r="C63" s="623"/>
      <c r="D63" s="623"/>
      <c r="E63" s="858"/>
      <c r="F63" s="634"/>
    </row>
    <row r="64" spans="1:7">
      <c r="A64" s="635">
        <v>25400501</v>
      </c>
      <c r="B64" s="622" t="s">
        <v>730</v>
      </c>
      <c r="C64" s="254">
        <f>+'[2]2017 GRC WC Det Format'!$AB$1304</f>
        <v>0</v>
      </c>
      <c r="D64" s="254">
        <f>+'[2]2017 GRC WC Det Format'!$AE$1304</f>
        <v>-166682.125</v>
      </c>
      <c r="E64" s="896">
        <v>25</v>
      </c>
      <c r="F64" s="625">
        <v>22</v>
      </c>
    </row>
    <row r="65" spans="1:6">
      <c r="A65" s="628">
        <v>19003021</v>
      </c>
      <c r="B65" s="622" t="s">
        <v>729</v>
      </c>
      <c r="C65" s="254">
        <f>+'[2]2017 GRC WC Det Format'!$AB$887</f>
        <v>56004.06</v>
      </c>
      <c r="D65" s="254">
        <f>+'[2]2017 GRC WC Det Format'!$AE$887</f>
        <v>91007.306250000009</v>
      </c>
      <c r="E65" s="896">
        <v>25</v>
      </c>
      <c r="F65" s="625">
        <v>22</v>
      </c>
    </row>
    <row r="66" spans="1:6" ht="13.5" thickBot="1">
      <c r="A66" s="628"/>
      <c r="B66" s="619"/>
      <c r="C66" s="621">
        <f>SUM(C64:C65)</f>
        <v>56004.06</v>
      </c>
      <c r="D66" s="621">
        <f>SUM(D64:D65)</f>
        <v>-75674.818749999991</v>
      </c>
      <c r="E66" s="858"/>
      <c r="F66" s="634"/>
    </row>
    <row r="67" spans="1:6" ht="13.5" thickTop="1">
      <c r="A67" s="628"/>
      <c r="B67" s="633" t="s">
        <v>779</v>
      </c>
      <c r="C67" s="623"/>
      <c r="D67" s="623"/>
      <c r="E67" s="858"/>
      <c r="F67" s="634"/>
    </row>
    <row r="68" spans="1:6">
      <c r="A68" s="628">
        <v>25400491</v>
      </c>
      <c r="B68" s="622" t="s">
        <v>728</v>
      </c>
      <c r="C68" s="254">
        <f>+'[2]2017 GRC WC Det Format'!$AB$1303</f>
        <v>0</v>
      </c>
      <c r="D68" s="254">
        <f>+'[2]2017 GRC WC Det Format'!$AE$1303</f>
        <v>-575775.58333333337</v>
      </c>
      <c r="E68" s="896">
        <v>25</v>
      </c>
      <c r="F68" s="625">
        <v>22</v>
      </c>
    </row>
    <row r="69" spans="1:6">
      <c r="A69" s="628">
        <v>19003011</v>
      </c>
      <c r="B69" s="622" t="s">
        <v>727</v>
      </c>
      <c r="C69" s="254">
        <f>+'[2]2017 GRC WC Det Format'!$AB$886</f>
        <v>193459.84</v>
      </c>
      <c r="D69" s="254">
        <f>+'[2]2017 GRC WC Det Format'!$AE$886</f>
        <v>314372.71249999997</v>
      </c>
      <c r="E69" s="896">
        <v>25</v>
      </c>
      <c r="F69" s="625">
        <v>22</v>
      </c>
    </row>
    <row r="70" spans="1:6" ht="13.5" thickBot="1">
      <c r="A70" s="628"/>
      <c r="B70" s="619"/>
      <c r="C70" s="621">
        <f>SUM(C68:C69)</f>
        <v>193459.84</v>
      </c>
      <c r="D70" s="621">
        <f>SUM(D68:D69)</f>
        <v>-261402.87083333341</v>
      </c>
      <c r="E70" s="858"/>
      <c r="F70" s="625"/>
    </row>
    <row r="71" spans="1:6" ht="13.5" thickTop="1">
      <c r="A71" s="628"/>
      <c r="B71" s="633" t="s">
        <v>733</v>
      </c>
      <c r="C71" s="623"/>
      <c r="D71" s="623"/>
      <c r="E71" s="858"/>
      <c r="F71" s="634"/>
    </row>
    <row r="72" spans="1:6">
      <c r="A72" s="628">
        <v>18220101</v>
      </c>
      <c r="B72" s="622" t="s">
        <v>733</v>
      </c>
      <c r="C72" s="254">
        <f>+'[2]2017 GRC WC Det Format'!$AB$473</f>
        <v>0</v>
      </c>
      <c r="D72" s="254">
        <f>+'[2]2017 GRC WC Det Format'!$AE$473</f>
        <v>1874784.6933333334</v>
      </c>
      <c r="E72" s="896">
        <v>23</v>
      </c>
      <c r="F72" s="625" t="s">
        <v>734</v>
      </c>
    </row>
    <row r="73" spans="1:6">
      <c r="A73" s="628">
        <v>28302061</v>
      </c>
      <c r="B73" s="622" t="s">
        <v>749</v>
      </c>
      <c r="C73" s="254">
        <f>+'[2]2017 GRC WC Det Format'!$AB$1394</f>
        <v>-530083.09</v>
      </c>
      <c r="D73" s="254">
        <f>+'[2]2017 GRC WC Det Format'!$AE$1394</f>
        <v>-923787.87875000015</v>
      </c>
      <c r="E73" s="896">
        <v>22</v>
      </c>
      <c r="F73" s="625" t="s">
        <v>697</v>
      </c>
    </row>
    <row r="74" spans="1:6" ht="13.5" thickBot="1">
      <c r="A74" s="628"/>
      <c r="B74" s="619"/>
      <c r="C74" s="621">
        <f>SUM(C72:C73)</f>
        <v>-530083.09</v>
      </c>
      <c r="D74" s="621">
        <f>SUM(D72:D73)</f>
        <v>950996.81458333321</v>
      </c>
      <c r="E74" s="858"/>
      <c r="F74" s="634"/>
    </row>
    <row r="75" spans="1:6" ht="13.5" thickTop="1">
      <c r="A75" s="613"/>
      <c r="B75" s="850" t="s">
        <v>863</v>
      </c>
      <c r="C75" s="851"/>
      <c r="D75" s="852"/>
      <c r="E75" s="858"/>
      <c r="F75" s="634"/>
    </row>
    <row r="76" spans="1:6">
      <c r="A76" s="618">
        <v>18220011</v>
      </c>
      <c r="B76" s="854" t="s">
        <v>864</v>
      </c>
      <c r="C76" s="855">
        <f>'[2]2017 GRC WC Det Format'!$AB467</f>
        <v>0</v>
      </c>
      <c r="D76" s="855">
        <f>'[2]2017 GRC WC Det Format'!$AE467</f>
        <v>0</v>
      </c>
      <c r="E76" s="856">
        <v>23</v>
      </c>
      <c r="F76" s="634"/>
    </row>
    <row r="77" spans="1:6">
      <c r="A77" s="618">
        <v>18220021</v>
      </c>
      <c r="B77" s="854" t="s">
        <v>865</v>
      </c>
      <c r="C77" s="855">
        <f>'[2]2017 GRC WC Det Format'!$AB468</f>
        <v>0</v>
      </c>
      <c r="D77" s="855">
        <f>'[2]2017 GRC WC Det Format'!$AE468</f>
        <v>0</v>
      </c>
      <c r="E77" s="856">
        <v>23</v>
      </c>
      <c r="F77" s="634"/>
    </row>
    <row r="78" spans="1:6">
      <c r="A78" s="618">
        <v>18220031</v>
      </c>
      <c r="B78" s="854" t="s">
        <v>866</v>
      </c>
      <c r="C78" s="855">
        <f>'[2]2017 GRC WC Det Format'!$AB469</f>
        <v>0</v>
      </c>
      <c r="D78" s="855">
        <f>'[2]2017 GRC WC Det Format'!$AE469</f>
        <v>0</v>
      </c>
      <c r="E78" s="856">
        <v>23</v>
      </c>
      <c r="F78" s="634"/>
    </row>
    <row r="79" spans="1:6">
      <c r="A79" s="618">
        <v>18220041</v>
      </c>
      <c r="B79" s="854" t="s">
        <v>867</v>
      </c>
      <c r="C79" s="855">
        <f>'[2]2017 GRC WC Det Format'!$AB470</f>
        <v>0</v>
      </c>
      <c r="D79" s="855">
        <f>'[2]2017 GRC WC Det Format'!$AE470</f>
        <v>0</v>
      </c>
      <c r="E79" s="856">
        <v>23</v>
      </c>
      <c r="F79" s="634"/>
    </row>
    <row r="80" spans="1:6">
      <c r="A80" s="857" t="s">
        <v>868</v>
      </c>
      <c r="B80" s="858" t="s">
        <v>869</v>
      </c>
      <c r="C80" s="855">
        <f>'WRPC 2004 GRC'!L57</f>
        <v>-5453015.8817438316</v>
      </c>
      <c r="D80" s="859">
        <f>'WRPC 2004 GRC'!Q57</f>
        <v>-6140527.3817438325</v>
      </c>
      <c r="E80" s="856" t="s">
        <v>688</v>
      </c>
      <c r="F80" s="634"/>
    </row>
    <row r="81" spans="1:7" ht="13.5" thickBot="1">
      <c r="A81" s="613"/>
      <c r="B81" s="850"/>
      <c r="C81" s="860">
        <f>SUM(C76:C80)</f>
        <v>-5453015.8817438316</v>
      </c>
      <c r="D81" s="860">
        <f>SUM(D76:D80)</f>
        <v>-6140527.3817438325</v>
      </c>
      <c r="E81" s="897"/>
      <c r="F81" s="639"/>
    </row>
    <row r="82" spans="1:7" ht="14.25" thickTop="1" thickBot="1">
      <c r="A82" s="640"/>
      <c r="B82" s="641" t="s">
        <v>7</v>
      </c>
      <c r="C82" s="642">
        <f>C7+C12+C21+C32+C36+C41+C25+C28+C47+C54+C62+C66+C70+C74+C81</f>
        <v>172315554.79825619</v>
      </c>
      <c r="D82" s="642">
        <f>D7+D12+D21+D32+D36+D41+D25+D28+D47+D54+D62+D66+D70+D74+D81</f>
        <v>181139988.48450619</v>
      </c>
    </row>
    <row r="83" spans="1:7">
      <c r="B83" s="81"/>
      <c r="C83" s="644"/>
      <c r="D83" s="645"/>
      <c r="G83" s="254"/>
    </row>
    <row r="84" spans="1:7">
      <c r="B84"/>
      <c r="C84"/>
      <c r="D84"/>
    </row>
    <row r="85" spans="1:7">
      <c r="B85"/>
      <c r="C85"/>
      <c r="D85"/>
    </row>
    <row r="86" spans="1:7">
      <c r="B86"/>
      <c r="C86"/>
      <c r="D86"/>
      <c r="F86" s="853"/>
    </row>
    <row r="87" spans="1:7">
      <c r="B87"/>
      <c r="C87"/>
      <c r="D87"/>
      <c r="F87" s="856"/>
      <c r="G87" s="643"/>
    </row>
    <row r="93" spans="1:7">
      <c r="E93" s="853"/>
    </row>
  </sheetData>
  <sortState ref="N3:N79">
    <sortCondition ref="N3:N79"/>
  </sortState>
  <pageMargins left="0.7" right="0.7" top="0.75" bottom="0.75" header="0.3" footer="0.3"/>
  <pageSetup scale="77" fitToHeight="0" orientation="portrait" r:id="rId1"/>
  <rowBreaks count="3" manualBreakCount="3">
    <brk id="25" max="5" man="1"/>
    <brk id="82" max="5" man="1"/>
    <brk id="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pane xSplit="2" ySplit="2" topLeftCell="C3" activePane="bottomRight" state="frozen"/>
      <selection activeCell="E26" sqref="E26"/>
      <selection pane="topRight" activeCell="E26" sqref="E26"/>
      <selection pane="bottomLeft" activeCell="E26" sqref="E26"/>
      <selection pane="bottomRight" activeCell="C20" sqref="C20"/>
    </sheetView>
  </sheetViews>
  <sheetFormatPr defaultColWidth="9.1640625" defaultRowHeight="12.75"/>
  <cols>
    <col min="1" max="1" width="18.5" style="609" customWidth="1"/>
    <col min="2" max="2" width="64.1640625" style="609" customWidth="1"/>
    <col min="3" max="3" width="21.33203125" style="609" bestFit="1" customWidth="1"/>
    <col min="4" max="5" width="21.33203125" style="819" bestFit="1" customWidth="1"/>
    <col min="6" max="7" width="9.1640625" style="81"/>
    <col min="8" max="8" width="10.5" style="81" bestFit="1" customWidth="1"/>
    <col min="9" max="9" width="9.1640625" style="81"/>
    <col min="10" max="10" width="19" style="251" bestFit="1" customWidth="1"/>
    <col min="11" max="12" width="9.1640625" style="81"/>
    <col min="13" max="13" width="14.33203125" style="81" bestFit="1" customWidth="1"/>
    <col min="14" max="16384" width="9.1640625" style="81"/>
  </cols>
  <sheetData>
    <row r="1" spans="1:10" ht="13.5" thickBot="1">
      <c r="A1" s="606"/>
      <c r="B1" s="607"/>
      <c r="C1" s="607"/>
      <c r="D1" s="607"/>
      <c r="E1" s="607"/>
      <c r="J1" s="714"/>
    </row>
    <row r="2" spans="1:10" ht="13.5" thickBot="1">
      <c r="A2" s="610" t="s">
        <v>663</v>
      </c>
      <c r="B2" s="610" t="s">
        <v>662</v>
      </c>
      <c r="C2" s="611" t="s">
        <v>794</v>
      </c>
      <c r="D2" s="611" t="s">
        <v>795</v>
      </c>
      <c r="E2" s="611" t="s">
        <v>796</v>
      </c>
      <c r="J2" s="715"/>
    </row>
    <row r="3" spans="1:10" ht="13.5" thickTop="1">
      <c r="A3" s="613"/>
      <c r="B3" s="614" t="s">
        <v>132</v>
      </c>
      <c r="C3" s="616"/>
      <c r="D3" s="616"/>
      <c r="E3" s="658"/>
      <c r="G3"/>
      <c r="H3"/>
      <c r="I3"/>
    </row>
    <row r="4" spans="1:10">
      <c r="A4" s="618" t="s">
        <v>767</v>
      </c>
      <c r="B4" s="619" t="s">
        <v>661</v>
      </c>
      <c r="C4" s="626">
        <f>'TY Reg Assets RB'!C4</f>
        <v>0</v>
      </c>
      <c r="D4" s="626">
        <f>'TY Reg Assets RB'!D4</f>
        <v>0</v>
      </c>
      <c r="E4" s="656"/>
      <c r="F4" s="81" t="s">
        <v>797</v>
      </c>
      <c r="G4"/>
      <c r="H4"/>
      <c r="I4"/>
    </row>
    <row r="5" spans="1:10">
      <c r="A5" s="618" t="s">
        <v>768</v>
      </c>
      <c r="B5" s="619" t="s">
        <v>660</v>
      </c>
      <c r="C5" s="626">
        <f>'TY Reg Assets RB'!C5</f>
        <v>0</v>
      </c>
      <c r="D5" s="626">
        <f>'FB Energy'!S163</f>
        <v>2.6666662190109491E-2</v>
      </c>
      <c r="E5" s="656">
        <f t="shared" ref="E5:E6" si="0">D5-C5</f>
        <v>2.6666662190109491E-2</v>
      </c>
      <c r="F5" s="81" t="s">
        <v>797</v>
      </c>
      <c r="G5"/>
      <c r="H5"/>
      <c r="I5"/>
      <c r="J5" s="716"/>
    </row>
    <row r="6" spans="1:10">
      <c r="A6" s="618">
        <v>19000151</v>
      </c>
      <c r="B6" s="619" t="s">
        <v>659</v>
      </c>
      <c r="C6" s="626">
        <f>'TY Reg Assets RB'!C6</f>
        <v>45753.08</v>
      </c>
      <c r="D6" s="626">
        <f>'FB Energy'!T163</f>
        <v>45753.11844444587</v>
      </c>
      <c r="E6" s="656">
        <f t="shared" si="0"/>
        <v>3.8444445868663024E-2</v>
      </c>
      <c r="F6" s="81" t="s">
        <v>17</v>
      </c>
      <c r="G6"/>
      <c r="H6"/>
      <c r="I6"/>
      <c r="J6" s="716"/>
    </row>
    <row r="7" spans="1:10" ht="13.5" thickBot="1">
      <c r="A7" s="624"/>
      <c r="B7" s="619"/>
      <c r="C7" s="621">
        <f>SUM(C4:C6)</f>
        <v>45753.08</v>
      </c>
      <c r="D7" s="621">
        <f>SUM(D4:D6)</f>
        <v>45753.145111108061</v>
      </c>
      <c r="E7" s="657">
        <f>SUM(E4:E6)</f>
        <v>6.5111108058772516E-2</v>
      </c>
      <c r="G7"/>
      <c r="H7"/>
      <c r="I7"/>
    </row>
    <row r="8" spans="1:10" ht="13.5" thickTop="1">
      <c r="A8" s="624"/>
      <c r="B8" s="614" t="s">
        <v>656</v>
      </c>
      <c r="C8" s="627"/>
      <c r="D8" s="627"/>
      <c r="E8" s="659"/>
      <c r="G8"/>
      <c r="H8"/>
      <c r="I8"/>
    </row>
    <row r="9" spans="1:10">
      <c r="A9" s="628">
        <v>19000711</v>
      </c>
      <c r="B9" s="619" t="s">
        <v>658</v>
      </c>
      <c r="C9" s="626">
        <f>'TY Reg Assets RB'!C9</f>
        <v>62723.02</v>
      </c>
      <c r="D9" s="626">
        <f>BNP!T147</f>
        <v>62723.058252429</v>
      </c>
      <c r="E9" s="656">
        <f t="shared" ref="E9" si="1">D9-C9</f>
        <v>3.8252429003478028E-2</v>
      </c>
      <c r="F9" s="81" t="s">
        <v>17</v>
      </c>
      <c r="G9"/>
      <c r="H9"/>
      <c r="I9"/>
      <c r="J9" s="716"/>
    </row>
    <row r="10" spans="1:10">
      <c r="A10" s="618" t="s">
        <v>769</v>
      </c>
      <c r="B10" s="619" t="s">
        <v>657</v>
      </c>
      <c r="C10" s="626">
        <f>'TY Reg Assets RB'!C10</f>
        <v>0</v>
      </c>
      <c r="D10" s="626">
        <f>BNP!S147</f>
        <v>0</v>
      </c>
      <c r="E10" s="656">
        <f t="shared" ref="E10" si="2">D10-C10</f>
        <v>0</v>
      </c>
      <c r="F10" s="81" t="s">
        <v>797</v>
      </c>
      <c r="G10"/>
      <c r="H10"/>
      <c r="I10"/>
      <c r="J10" s="716"/>
    </row>
    <row r="11" spans="1:10">
      <c r="A11" s="628">
        <v>25302121</v>
      </c>
      <c r="B11" s="619" t="s">
        <v>655</v>
      </c>
      <c r="C11" s="626">
        <f>'TY Reg Assets RB'!C11</f>
        <v>0</v>
      </c>
      <c r="D11" s="626">
        <f>'TY Reg Assets RB'!D11</f>
        <v>0</v>
      </c>
      <c r="E11" s="656"/>
      <c r="F11" s="81" t="s">
        <v>797</v>
      </c>
      <c r="G11"/>
      <c r="H11"/>
      <c r="I11"/>
      <c r="J11" s="716"/>
    </row>
    <row r="12" spans="1:10" ht="13.5" thickBot="1">
      <c r="A12" s="624"/>
      <c r="B12" s="619"/>
      <c r="C12" s="621">
        <f>SUM(C9:C11)</f>
        <v>62723.02</v>
      </c>
      <c r="D12" s="621">
        <f t="shared" ref="D12:E12" si="3">SUM(D9:D11)</f>
        <v>62723.058252429</v>
      </c>
      <c r="E12" s="657">
        <f t="shared" si="3"/>
        <v>3.8252429003478028E-2</v>
      </c>
      <c r="G12"/>
      <c r="H12"/>
      <c r="I12"/>
      <c r="J12" s="716"/>
    </row>
    <row r="13" spans="1:10" ht="13.5" thickTop="1">
      <c r="A13" s="624"/>
      <c r="B13" s="614" t="s">
        <v>770</v>
      </c>
      <c r="C13" s="627"/>
      <c r="D13" s="627"/>
      <c r="E13" s="659"/>
      <c r="G13"/>
      <c r="H13"/>
      <c r="I13"/>
      <c r="J13" s="716"/>
    </row>
    <row r="14" spans="1:10">
      <c r="A14" s="628">
        <v>18600351</v>
      </c>
      <c r="B14" s="619" t="s">
        <v>654</v>
      </c>
      <c r="C14" s="626">
        <f>'TY Reg Assets RB'!C14</f>
        <v>0</v>
      </c>
      <c r="D14" s="626">
        <f>'TY Reg Assets RB'!D14</f>
        <v>0</v>
      </c>
      <c r="E14" s="656"/>
      <c r="F14" s="81" t="s">
        <v>797</v>
      </c>
      <c r="G14"/>
      <c r="H14"/>
      <c r="I14"/>
      <c r="J14" s="716"/>
    </row>
    <row r="15" spans="1:10">
      <c r="A15" s="628">
        <v>18600361</v>
      </c>
      <c r="B15" s="619" t="s">
        <v>653</v>
      </c>
      <c r="C15" s="626">
        <f>'TY Reg Assets RB'!C15</f>
        <v>0</v>
      </c>
      <c r="D15" s="626">
        <f>'TY Reg Assets RB'!D15</f>
        <v>0</v>
      </c>
      <c r="E15" s="656"/>
      <c r="F15" s="81" t="s">
        <v>797</v>
      </c>
      <c r="G15"/>
      <c r="H15"/>
      <c r="I15"/>
      <c r="J15" s="716"/>
    </row>
    <row r="16" spans="1:10">
      <c r="A16" s="628">
        <v>18600371</v>
      </c>
      <c r="B16" s="619" t="s">
        <v>652</v>
      </c>
      <c r="C16" s="626">
        <f>'TY Reg Assets RB'!C16</f>
        <v>0</v>
      </c>
      <c r="D16" s="626">
        <f>'TY Reg Assets RB'!D16</f>
        <v>0</v>
      </c>
      <c r="E16" s="656"/>
      <c r="F16" s="81" t="s">
        <v>797</v>
      </c>
      <c r="G16"/>
      <c r="H16"/>
      <c r="I16"/>
      <c r="J16" s="716"/>
    </row>
    <row r="17" spans="1:10">
      <c r="A17" s="618">
        <v>18235521</v>
      </c>
      <c r="B17" s="619" t="s">
        <v>651</v>
      </c>
      <c r="C17" s="626">
        <f>'TY Reg Assets RB'!C17</f>
        <v>17865334.879999999</v>
      </c>
      <c r="D17" s="626">
        <f>'Mint Farm Def'!J161</f>
        <v>12576073.375022307</v>
      </c>
      <c r="E17" s="656">
        <f t="shared" ref="E17" si="4">D17-C17</f>
        <v>-5289261.5049776919</v>
      </c>
      <c r="F17" s="81" t="s">
        <v>797</v>
      </c>
      <c r="G17"/>
      <c r="H17"/>
      <c r="I17"/>
      <c r="J17" s="716"/>
    </row>
    <row r="18" spans="1:10">
      <c r="A18" s="618" t="s">
        <v>771</v>
      </c>
      <c r="B18" s="619" t="s">
        <v>650</v>
      </c>
      <c r="C18" s="626">
        <f>'TY Reg Assets RB'!C18</f>
        <v>0</v>
      </c>
      <c r="D18" s="626">
        <f>'TY Reg Assets RB'!D18</f>
        <v>0</v>
      </c>
      <c r="E18" s="656"/>
      <c r="F18" s="81" t="s">
        <v>17</v>
      </c>
      <c r="G18"/>
      <c r="H18"/>
      <c r="I18"/>
      <c r="J18" s="716"/>
    </row>
    <row r="19" spans="1:10">
      <c r="A19" s="618" t="s">
        <v>700</v>
      </c>
      <c r="B19" s="619" t="s">
        <v>649</v>
      </c>
      <c r="C19" s="626">
        <f>'TY Reg Assets RB'!C19</f>
        <v>0</v>
      </c>
      <c r="D19" s="626">
        <f>'TY Reg Assets RB'!D19</f>
        <v>0</v>
      </c>
      <c r="E19" s="656"/>
      <c r="F19" s="81" t="s">
        <v>17</v>
      </c>
      <c r="G19"/>
      <c r="H19"/>
      <c r="I19"/>
      <c r="J19" s="716"/>
    </row>
    <row r="20" spans="1:10">
      <c r="A20" s="618" t="s">
        <v>701</v>
      </c>
      <c r="B20" s="619" t="s">
        <v>648</v>
      </c>
      <c r="C20" s="626">
        <f>'TY Reg Assets RB'!C20</f>
        <v>-6656774.5300000003</v>
      </c>
      <c r="D20" s="626">
        <f>'Mint Farm Def'!M161</f>
        <v>-5523589.950827118</v>
      </c>
      <c r="E20" s="656">
        <f t="shared" ref="E20" si="5">D20-C20</f>
        <v>1133184.5791728823</v>
      </c>
      <c r="F20" s="81" t="s">
        <v>17</v>
      </c>
      <c r="J20" s="716"/>
    </row>
    <row r="21" spans="1:10" ht="13.5" thickBot="1">
      <c r="A21" s="624"/>
      <c r="B21" s="619"/>
      <c r="C21" s="621">
        <f>SUM(C14:C20)</f>
        <v>11208560.349999998</v>
      </c>
      <c r="D21" s="621">
        <f>SUM(D14:D20)</f>
        <v>7052483.424195189</v>
      </c>
      <c r="E21" s="657">
        <f>SUM(E14:E20)</f>
        <v>-4156076.9258048097</v>
      </c>
      <c r="J21" s="716"/>
    </row>
    <row r="22" spans="1:10" ht="13.5" thickTop="1">
      <c r="A22" s="624"/>
      <c r="B22" s="631" t="s">
        <v>141</v>
      </c>
      <c r="C22" s="623"/>
      <c r="D22" s="627"/>
      <c r="E22" s="659"/>
      <c r="J22" s="716"/>
    </row>
    <row r="23" spans="1:10">
      <c r="A23" s="618">
        <v>18230351</v>
      </c>
      <c r="B23" s="619" t="s">
        <v>645</v>
      </c>
      <c r="C23" s="626">
        <f>'TY Reg Assets RB'!C23</f>
        <v>90963509.170000002</v>
      </c>
      <c r="D23" s="626">
        <f>'$89M Chelan PUD'!K192</f>
        <v>77968721.48450011</v>
      </c>
      <c r="E23" s="656">
        <f t="shared" ref="E23:E24" si="6">D23-C23</f>
        <v>-12994787.685499892</v>
      </c>
      <c r="F23" s="81" t="s">
        <v>797</v>
      </c>
      <c r="J23" s="716"/>
    </row>
    <row r="24" spans="1:10">
      <c r="A24" s="628">
        <v>28300561</v>
      </c>
      <c r="B24" s="619" t="s">
        <v>644</v>
      </c>
      <c r="C24" s="626">
        <f>'TY Reg Assets RB'!C24</f>
        <v>-12218448.32</v>
      </c>
      <c r="D24" s="626">
        <f>'$89M Chelan PUD'!N192</f>
        <v>-10925796.179512538</v>
      </c>
      <c r="E24" s="656">
        <f t="shared" si="6"/>
        <v>1292652.1404874623</v>
      </c>
      <c r="F24" s="81" t="s">
        <v>17</v>
      </c>
      <c r="J24" s="716"/>
    </row>
    <row r="25" spans="1:10" ht="13.5" thickBot="1">
      <c r="A25" s="624"/>
      <c r="B25" s="619"/>
      <c r="C25" s="621">
        <f>SUM(C23:C24)</f>
        <v>78745060.849999994</v>
      </c>
      <c r="D25" s="621">
        <f>SUM(D23:D24)</f>
        <v>67042925.304987572</v>
      </c>
      <c r="E25" s="657">
        <f>SUM(E23:E24)</f>
        <v>-11702135.545012429</v>
      </c>
      <c r="J25" s="716"/>
    </row>
    <row r="26" spans="1:10" ht="13.5" thickTop="1">
      <c r="A26" s="624"/>
      <c r="B26" s="614" t="s">
        <v>772</v>
      </c>
      <c r="C26" s="623"/>
      <c r="D26" s="627"/>
      <c r="E26" s="659"/>
      <c r="J26" s="716"/>
    </row>
    <row r="27" spans="1:10">
      <c r="A27" s="628">
        <v>12800001</v>
      </c>
      <c r="B27" s="619" t="s">
        <v>643</v>
      </c>
      <c r="C27" s="626">
        <f>'TY Reg Assets RB'!C27</f>
        <v>18500000</v>
      </c>
      <c r="D27" s="626">
        <f>+'$18.5M Chelan'!E140</f>
        <v>18500000</v>
      </c>
      <c r="E27" s="656">
        <f t="shared" ref="E27" si="7">D27-C27</f>
        <v>0</v>
      </c>
      <c r="F27" s="81" t="s">
        <v>797</v>
      </c>
      <c r="J27" s="716"/>
    </row>
    <row r="28" spans="1:10" ht="13.5" thickBot="1">
      <c r="A28" s="628"/>
      <c r="B28" s="619"/>
      <c r="C28" s="621">
        <f>SUM(C27)</f>
        <v>18500000</v>
      </c>
      <c r="D28" s="621">
        <f>SUM(D27)</f>
        <v>18500000</v>
      </c>
      <c r="E28" s="657">
        <f>SUM(E27)</f>
        <v>0</v>
      </c>
      <c r="J28" s="716"/>
    </row>
    <row r="29" spans="1:10" ht="13.5" thickTop="1">
      <c r="A29" s="624"/>
      <c r="B29" s="632" t="s">
        <v>647</v>
      </c>
      <c r="C29" s="627"/>
      <c r="D29" s="627"/>
      <c r="E29" s="659"/>
      <c r="J29" s="716"/>
    </row>
    <row r="30" spans="1:10">
      <c r="A30" s="628">
        <v>16599011</v>
      </c>
      <c r="B30" s="619" t="s">
        <v>646</v>
      </c>
      <c r="C30" s="626">
        <f>'TY Reg Assets RB'!C30</f>
        <v>0</v>
      </c>
      <c r="D30" s="626">
        <f>'TY Reg Assets RB'!D30</f>
        <v>0</v>
      </c>
      <c r="E30" s="656"/>
      <c r="F30" s="81" t="s">
        <v>797</v>
      </c>
      <c r="J30" s="716"/>
    </row>
    <row r="31" spans="1:10">
      <c r="A31" s="628">
        <v>18232321</v>
      </c>
      <c r="B31" s="619" t="s">
        <v>646</v>
      </c>
      <c r="C31" s="626">
        <f>'TY Reg Assets RB'!C31</f>
        <v>499999.67</v>
      </c>
      <c r="D31" s="626">
        <f>'Colstrip 1&amp;2 Prepaid'!J145</f>
        <v>0</v>
      </c>
      <c r="E31" s="656">
        <f t="shared" ref="E31" si="8">D31-C31</f>
        <v>-499999.67</v>
      </c>
      <c r="F31" s="81" t="s">
        <v>797</v>
      </c>
      <c r="J31" s="716"/>
    </row>
    <row r="32" spans="1:10" ht="13.5" thickBot="1">
      <c r="A32" s="628"/>
      <c r="B32" s="619"/>
      <c r="C32" s="621">
        <f>SUM(C30:C31)</f>
        <v>499999.67</v>
      </c>
      <c r="D32" s="621">
        <f>SUM(D30:D31)</f>
        <v>0</v>
      </c>
      <c r="E32" s="657">
        <f>SUM(E31)</f>
        <v>-499999.67</v>
      </c>
      <c r="J32" s="716"/>
    </row>
    <row r="33" spans="1:10" ht="13.5" thickTop="1">
      <c r="A33" s="628"/>
      <c r="B33" s="632" t="s">
        <v>773</v>
      </c>
      <c r="C33" s="627"/>
      <c r="D33" s="627"/>
      <c r="E33" s="659"/>
      <c r="J33" s="716"/>
    </row>
    <row r="34" spans="1:10">
      <c r="A34" s="628">
        <v>18600581</v>
      </c>
      <c r="B34" s="619" t="s">
        <v>681</v>
      </c>
      <c r="C34" s="626">
        <f>'TY Reg Assets RB'!C34</f>
        <v>0</v>
      </c>
      <c r="D34" s="626">
        <f>'TY Reg Assets RB'!D34</f>
        <v>0</v>
      </c>
      <c r="E34" s="656"/>
      <c r="F34" s="81" t="s">
        <v>797</v>
      </c>
      <c r="J34" s="716"/>
    </row>
    <row r="35" spans="1:10">
      <c r="A35" s="628">
        <v>18232301</v>
      </c>
      <c r="B35" s="619" t="s">
        <v>642</v>
      </c>
      <c r="C35" s="626">
        <f>'TY Reg Assets RB'!C35</f>
        <v>59411377.369999997</v>
      </c>
      <c r="D35" s="626">
        <f>'LSR Prepaid Principal'!Q162</f>
        <v>52182863.023084156</v>
      </c>
      <c r="E35" s="656">
        <f t="shared" ref="E35" si="9">D35-C35</f>
        <v>-7228514.3469158411</v>
      </c>
      <c r="F35" s="81" t="s">
        <v>797</v>
      </c>
      <c r="J35" s="716"/>
    </row>
    <row r="36" spans="1:10" ht="13.5" thickBot="1">
      <c r="A36" s="628"/>
      <c r="B36" s="619"/>
      <c r="C36" s="621">
        <f>SUM(C34:C35)</f>
        <v>59411377.369999997</v>
      </c>
      <c r="D36" s="621">
        <f>SUM(D34:D35)</f>
        <v>52182863.023084156</v>
      </c>
      <c r="E36" s="657">
        <f>SUM(E35)</f>
        <v>-7228514.3469158411</v>
      </c>
      <c r="J36" s="716"/>
    </row>
    <row r="37" spans="1:10" ht="13.5" thickTop="1">
      <c r="A37" s="628"/>
      <c r="B37" s="632" t="s">
        <v>774</v>
      </c>
      <c r="C37" s="626"/>
      <c r="D37" s="626"/>
      <c r="E37" s="656"/>
      <c r="J37" s="716"/>
    </row>
    <row r="38" spans="1:10">
      <c r="A38" s="628">
        <v>18600591</v>
      </c>
      <c r="B38" s="619" t="s">
        <v>682</v>
      </c>
      <c r="C38" s="626">
        <f>'TY Reg Assets RB'!C38</f>
        <v>0</v>
      </c>
      <c r="D38" s="626">
        <f>'TY Reg Assets RB'!D38</f>
        <v>0</v>
      </c>
      <c r="E38" s="656"/>
      <c r="F38" s="81" t="s">
        <v>797</v>
      </c>
      <c r="J38" s="716"/>
    </row>
    <row r="39" spans="1:10">
      <c r="A39" s="628">
        <v>18232311</v>
      </c>
      <c r="B39" s="619" t="s">
        <v>641</v>
      </c>
      <c r="C39" s="626">
        <f>'TY Reg Assets RB'!C39</f>
        <v>12681984</v>
      </c>
      <c r="D39" s="626">
        <f>'LSR Prepaid carrying charges '!Y164</f>
        <v>11421714.149230771</v>
      </c>
      <c r="E39" s="656">
        <f t="shared" ref="E39:E40" si="10">D39-C39</f>
        <v>-1260269.8507692292</v>
      </c>
      <c r="F39" s="81" t="s">
        <v>797</v>
      </c>
      <c r="J39" s="716"/>
    </row>
    <row r="40" spans="1:10">
      <c r="A40" s="628">
        <v>28300081</v>
      </c>
      <c r="B40" s="619" t="s">
        <v>640</v>
      </c>
      <c r="C40" s="626">
        <f>'TY Reg Assets RB'!C40</f>
        <v>-4534933.2</v>
      </c>
      <c r="D40" s="626">
        <f>'LSR Prepaid carrying charges '!V164</f>
        <v>-3997599.8747564103</v>
      </c>
      <c r="E40" s="656">
        <f t="shared" si="10"/>
        <v>537333.32524358993</v>
      </c>
      <c r="F40" s="81" t="s">
        <v>17</v>
      </c>
      <c r="J40" s="716"/>
    </row>
    <row r="41" spans="1:10" ht="13.5" thickBot="1">
      <c r="A41" s="628"/>
      <c r="B41" s="619"/>
      <c r="C41" s="621">
        <f>SUM(C38:C40)</f>
        <v>8147050.7999999998</v>
      </c>
      <c r="D41" s="621">
        <f>SUM(D38:D40)</f>
        <v>7424114.27447436</v>
      </c>
      <c r="E41" s="657">
        <f>SUM(E38:E40)</f>
        <v>-722936.5255256393</v>
      </c>
      <c r="J41" s="716"/>
    </row>
    <row r="42" spans="1:10" ht="13.5" thickTop="1">
      <c r="A42" s="628"/>
      <c r="B42" s="633" t="s">
        <v>775</v>
      </c>
      <c r="C42" s="623"/>
      <c r="D42" s="627"/>
      <c r="E42" s="659"/>
      <c r="J42" s="716"/>
    </row>
    <row r="43" spans="1:10">
      <c r="A43" s="628">
        <v>18600801</v>
      </c>
      <c r="B43" s="619" t="s">
        <v>686</v>
      </c>
      <c r="C43" s="626">
        <f>'TY Reg Assets RB'!C43</f>
        <v>0</v>
      </c>
      <c r="D43" s="626">
        <f>'TY Reg Assets RB'!D43</f>
        <v>0</v>
      </c>
      <c r="E43" s="656"/>
      <c r="F43" s="81" t="s">
        <v>797</v>
      </c>
      <c r="J43" s="716"/>
    </row>
    <row r="44" spans="1:10">
      <c r="A44" s="628">
        <v>18600811</v>
      </c>
      <c r="B44" s="619" t="s">
        <v>687</v>
      </c>
      <c r="C44" s="626">
        <f>'TY Reg Assets RB'!C44</f>
        <v>0</v>
      </c>
      <c r="D44" s="626">
        <f>'TY Reg Assets RB'!D44</f>
        <v>0</v>
      </c>
      <c r="E44" s="656"/>
      <c r="F44" s="81" t="s">
        <v>797</v>
      </c>
      <c r="J44" s="716"/>
    </row>
    <row r="45" spans="1:10">
      <c r="A45" s="628">
        <v>18238321</v>
      </c>
      <c r="B45" s="619" t="s">
        <v>675</v>
      </c>
      <c r="C45" s="626">
        <f>'TY Reg Assets RB'!C45</f>
        <v>0</v>
      </c>
      <c r="D45" s="626">
        <f>Baker!I106</f>
        <v>0</v>
      </c>
      <c r="E45" s="656">
        <f t="shared" ref="E45:E46" si="11">D45-C45</f>
        <v>0</v>
      </c>
      <c r="F45" s="81" t="s">
        <v>797</v>
      </c>
      <c r="J45" s="716"/>
    </row>
    <row r="46" spans="1:10">
      <c r="A46" s="628">
        <v>28300741</v>
      </c>
      <c r="B46" s="619" t="s">
        <v>703</v>
      </c>
      <c r="C46" s="626">
        <f>'TY Reg Assets RB'!C46</f>
        <v>-78555.81</v>
      </c>
      <c r="D46" s="626">
        <f>Baker!L106</f>
        <v>-78558.319307994898</v>
      </c>
      <c r="E46" s="656">
        <f t="shared" si="11"/>
        <v>-2.5093079949001549</v>
      </c>
      <c r="F46" s="81" t="s">
        <v>17</v>
      </c>
      <c r="J46" s="716"/>
    </row>
    <row r="47" spans="1:10" ht="13.5" thickBot="1">
      <c r="A47" s="628"/>
      <c r="B47" s="619"/>
      <c r="C47" s="621">
        <f>SUM(C43:C46)</f>
        <v>-78555.81</v>
      </c>
      <c r="D47" s="621">
        <f>SUM(D43:D46)</f>
        <v>-78558.319307994898</v>
      </c>
      <c r="E47" s="657">
        <f>SUM(E44:E46)</f>
        <v>-2.5093079949001549</v>
      </c>
      <c r="J47" s="716"/>
    </row>
    <row r="48" spans="1:10" ht="13.5" thickTop="1">
      <c r="A48" s="628"/>
      <c r="B48" s="633" t="s">
        <v>625</v>
      </c>
      <c r="C48" s="623"/>
      <c r="D48" s="627"/>
      <c r="E48" s="659"/>
      <c r="J48" s="716"/>
    </row>
    <row r="49" spans="1:10">
      <c r="A49" s="628">
        <v>18600001</v>
      </c>
      <c r="B49" s="619" t="s">
        <v>677</v>
      </c>
      <c r="C49" s="626">
        <f>'TY Reg Assets RB'!C49</f>
        <v>0</v>
      </c>
      <c r="D49" s="626">
        <f>'TY Reg Assets RB'!D49</f>
        <v>0</v>
      </c>
      <c r="E49" s="656"/>
      <c r="F49" s="81" t="s">
        <v>797</v>
      </c>
      <c r="J49" s="716"/>
    </row>
    <row r="50" spans="1:10">
      <c r="A50" s="628">
        <v>18600451</v>
      </c>
      <c r="B50" s="619" t="s">
        <v>678</v>
      </c>
      <c r="C50" s="626">
        <f>'TY Reg Assets RB'!C50</f>
        <v>0</v>
      </c>
      <c r="D50" s="626">
        <f>'TY Reg Assets RB'!D50</f>
        <v>0</v>
      </c>
      <c r="E50" s="656"/>
      <c r="F50" s="81" t="s">
        <v>797</v>
      </c>
      <c r="J50" s="716"/>
    </row>
    <row r="51" spans="1:10">
      <c r="A51" s="628">
        <v>18600461</v>
      </c>
      <c r="B51" s="619" t="s">
        <v>679</v>
      </c>
      <c r="C51" s="626">
        <f>'TY Reg Assets RB'!C51</f>
        <v>0</v>
      </c>
      <c r="D51" s="626">
        <f>'TY Reg Assets RB'!D51</f>
        <v>0</v>
      </c>
      <c r="E51" s="656"/>
      <c r="F51" s="81" t="s">
        <v>797</v>
      </c>
      <c r="J51" s="716"/>
    </row>
    <row r="52" spans="1:10">
      <c r="A52" s="628">
        <v>18238331</v>
      </c>
      <c r="B52" s="619" t="s">
        <v>676</v>
      </c>
      <c r="C52" s="626">
        <f>'TY Reg Assets RB'!C52</f>
        <v>0</v>
      </c>
      <c r="D52" s="626">
        <f>Snoq!J108</f>
        <v>0</v>
      </c>
      <c r="E52" s="656">
        <f t="shared" ref="E52:E53" si="12">D52-C52</f>
        <v>0</v>
      </c>
      <c r="F52" s="81" t="s">
        <v>797</v>
      </c>
      <c r="J52" s="716"/>
    </row>
    <row r="53" spans="1:10">
      <c r="A53" s="628">
        <v>28300091</v>
      </c>
      <c r="B53" s="619" t="s">
        <v>694</v>
      </c>
      <c r="C53" s="626">
        <f>'TY Reg Assets RB'!C53</f>
        <v>-308479.03999999998</v>
      </c>
      <c r="D53" s="626">
        <f>Snoq!M108</f>
        <v>-308483.94047545741</v>
      </c>
      <c r="E53" s="656">
        <f t="shared" si="12"/>
        <v>-4.9004754574270919</v>
      </c>
      <c r="F53" s="81" t="s">
        <v>17</v>
      </c>
      <c r="J53" s="716"/>
    </row>
    <row r="54" spans="1:10" ht="13.5" thickBot="1">
      <c r="A54" s="628"/>
      <c r="B54" s="619"/>
      <c r="C54" s="621">
        <f>SUM(C49:C53)</f>
        <v>-308479.03999999998</v>
      </c>
      <c r="D54" s="621">
        <f>SUM(D49:D53)</f>
        <v>-308483.94047545741</v>
      </c>
      <c r="E54" s="657">
        <f>SUM(E51:E53)</f>
        <v>-4.9004754574270919</v>
      </c>
      <c r="J54" s="716"/>
    </row>
    <row r="55" spans="1:10" ht="13.5" thickTop="1">
      <c r="A55" s="628"/>
      <c r="B55" s="633" t="s">
        <v>624</v>
      </c>
      <c r="C55" s="623"/>
      <c r="D55" s="627"/>
      <c r="E55" s="659"/>
      <c r="J55" s="716"/>
    </row>
    <row r="56" spans="1:10">
      <c r="A56" s="628">
        <v>18600531</v>
      </c>
      <c r="B56" s="619" t="s">
        <v>680</v>
      </c>
      <c r="C56" s="626">
        <f>'TY Reg Assets RB'!C56</f>
        <v>0</v>
      </c>
      <c r="D56" s="626">
        <f>'TY Reg Assets RB'!D56</f>
        <v>0</v>
      </c>
      <c r="E56" s="656"/>
      <c r="F56" s="81" t="s">
        <v>797</v>
      </c>
      <c r="J56" s="716"/>
    </row>
    <row r="57" spans="1:10">
      <c r="A57" s="628">
        <v>18600671</v>
      </c>
      <c r="B57" s="619" t="s">
        <v>683</v>
      </c>
      <c r="C57" s="626">
        <f>'TY Reg Assets RB'!C57</f>
        <v>0</v>
      </c>
      <c r="D57" s="626">
        <f>'TY Reg Assets RB'!D57</f>
        <v>0</v>
      </c>
      <c r="E57" s="656"/>
      <c r="F57" s="81" t="s">
        <v>797</v>
      </c>
      <c r="J57" s="716"/>
    </row>
    <row r="58" spans="1:10">
      <c r="A58" s="628">
        <v>18600691</v>
      </c>
      <c r="B58" s="619" t="s">
        <v>684</v>
      </c>
      <c r="C58" s="626">
        <f>'TY Reg Assets RB'!C58</f>
        <v>0</v>
      </c>
      <c r="D58" s="626">
        <f>'TY Reg Assets RB'!D58</f>
        <v>0</v>
      </c>
      <c r="E58" s="656"/>
      <c r="F58" s="81" t="s">
        <v>797</v>
      </c>
      <c r="J58" s="716"/>
    </row>
    <row r="59" spans="1:10">
      <c r="A59" s="628">
        <v>18600791</v>
      </c>
      <c r="B59" s="619" t="s">
        <v>685</v>
      </c>
      <c r="C59" s="626">
        <f>'TY Reg Assets RB'!C59</f>
        <v>0</v>
      </c>
      <c r="D59" s="626">
        <f>'TY Reg Assets RB'!D59</f>
        <v>0</v>
      </c>
      <c r="E59" s="656"/>
      <c r="F59" s="81" t="s">
        <v>797</v>
      </c>
      <c r="J59" s="716"/>
    </row>
    <row r="60" spans="1:10">
      <c r="A60" s="628">
        <v>18238311</v>
      </c>
      <c r="B60" s="619" t="s">
        <v>674</v>
      </c>
      <c r="C60" s="626">
        <f>'TY Reg Assets RB'!C60</f>
        <v>3767013.76</v>
      </c>
      <c r="D60" s="626">
        <f>Ferndale!J113</f>
        <v>0</v>
      </c>
      <c r="E60" s="656">
        <f t="shared" ref="E60:E61" si="13">D60-C60</f>
        <v>-3767013.76</v>
      </c>
      <c r="F60" s="81" t="s">
        <v>797</v>
      </c>
      <c r="J60" s="716"/>
    </row>
    <row r="61" spans="1:10">
      <c r="A61" s="628">
        <v>28300731</v>
      </c>
      <c r="B61" s="619" t="s">
        <v>702</v>
      </c>
      <c r="C61" s="626">
        <f>'TY Reg Assets RB'!C61</f>
        <v>-1951314.18</v>
      </c>
      <c r="D61" s="626">
        <f>Ferndale!M113</f>
        <v>-1160240.5572003927</v>
      </c>
      <c r="E61" s="656">
        <f t="shared" si="13"/>
        <v>791073.62279960723</v>
      </c>
      <c r="F61" s="81" t="s">
        <v>17</v>
      </c>
      <c r="J61" s="716"/>
    </row>
    <row r="62" spans="1:10" ht="13.5" thickBot="1">
      <c r="A62" s="628"/>
      <c r="B62" s="619"/>
      <c r="C62" s="621">
        <f>SUM(C56:C61)</f>
        <v>1815699.5799999998</v>
      </c>
      <c r="D62" s="621">
        <f>SUM(D56:D61)</f>
        <v>-1160240.5572003927</v>
      </c>
      <c r="E62" s="657">
        <f>SUM(E59:E61)</f>
        <v>-2975940.1372003928</v>
      </c>
      <c r="J62" s="716"/>
    </row>
    <row r="63" spans="1:10" ht="13.5" thickTop="1">
      <c r="A63" s="628"/>
      <c r="B63" s="633" t="s">
        <v>776</v>
      </c>
      <c r="C63" s="623"/>
      <c r="D63" s="627"/>
      <c r="E63" s="659"/>
      <c r="J63" s="716"/>
    </row>
    <row r="64" spans="1:10">
      <c r="A64" s="628" t="s">
        <v>777</v>
      </c>
      <c r="B64" s="619" t="s">
        <v>730</v>
      </c>
      <c r="C64" s="626">
        <f>'TY Reg Assets RB'!C64</f>
        <v>0</v>
      </c>
      <c r="D64" s="626">
        <f>'T-Grant Baker Deferral'!J99</f>
        <v>-0.15212960774078965</v>
      </c>
      <c r="E64" s="656">
        <f t="shared" ref="E64:E65" si="14">D64-C64</f>
        <v>-0.15212960774078965</v>
      </c>
      <c r="F64" s="81" t="s">
        <v>797</v>
      </c>
      <c r="J64" s="716"/>
    </row>
    <row r="65" spans="1:10">
      <c r="A65" s="628" t="s">
        <v>778</v>
      </c>
      <c r="B65" s="622" t="s">
        <v>729</v>
      </c>
      <c r="C65" s="626">
        <f>'TY Reg Assets RB'!C65</f>
        <v>56004.06</v>
      </c>
      <c r="D65" s="626">
        <f>'T-Grant Baker Deferral'!M99</f>
        <v>56004.46492866968</v>
      </c>
      <c r="E65" s="656">
        <f t="shared" si="14"/>
        <v>0.40492866968270391</v>
      </c>
      <c r="F65" s="81" t="s">
        <v>797</v>
      </c>
      <c r="J65" s="716"/>
    </row>
    <row r="66" spans="1:10" ht="13.5" thickBot="1">
      <c r="A66" s="628"/>
      <c r="B66" s="619"/>
      <c r="C66" s="621">
        <f>SUM(C64:C65)</f>
        <v>56004.06</v>
      </c>
      <c r="D66" s="621">
        <f>SUM(D64:D65)</f>
        <v>56004.31279906194</v>
      </c>
      <c r="E66" s="657">
        <f>SUM(E63:E65)</f>
        <v>0.25279906194191426</v>
      </c>
      <c r="J66" s="716"/>
    </row>
    <row r="67" spans="1:10" ht="13.5" thickTop="1">
      <c r="A67" s="628"/>
      <c r="B67" s="633" t="s">
        <v>779</v>
      </c>
      <c r="C67" s="623"/>
      <c r="D67" s="627"/>
      <c r="E67" s="659"/>
      <c r="J67" s="716"/>
    </row>
    <row r="68" spans="1:10">
      <c r="A68" s="628" t="s">
        <v>780</v>
      </c>
      <c r="B68" s="619" t="s">
        <v>728</v>
      </c>
      <c r="C68" s="626">
        <f>'TY Reg Assets RB'!C68</f>
        <v>0</v>
      </c>
      <c r="D68" s="626">
        <f>'T-Grant Snoq Deferral'!J99</f>
        <v>0</v>
      </c>
      <c r="E68" s="656">
        <f t="shared" ref="E68:E69" si="15">D68-C68</f>
        <v>0</v>
      </c>
      <c r="F68" s="81" t="s">
        <v>797</v>
      </c>
      <c r="J68" s="716"/>
    </row>
    <row r="69" spans="1:10">
      <c r="A69" s="628" t="s">
        <v>781</v>
      </c>
      <c r="B69" s="622" t="s">
        <v>727</v>
      </c>
      <c r="C69" s="626">
        <f>'TY Reg Assets RB'!C69</f>
        <v>193459.84</v>
      </c>
      <c r="D69" s="626">
        <f>'T-Grant Snoq Deferral'!M99</f>
        <v>193459.2403868956</v>
      </c>
      <c r="E69" s="656">
        <f t="shared" si="15"/>
        <v>-0.59961310439393856</v>
      </c>
      <c r="F69" s="81" t="s">
        <v>797</v>
      </c>
      <c r="J69" s="716"/>
    </row>
    <row r="70" spans="1:10" ht="13.5" thickBot="1">
      <c r="A70" s="628"/>
      <c r="B70" s="619"/>
      <c r="C70" s="621">
        <f>SUM(C68:C69)</f>
        <v>193459.84</v>
      </c>
      <c r="D70" s="621">
        <f>SUM(D68:D69)</f>
        <v>193459.2403868956</v>
      </c>
      <c r="E70" s="657">
        <f>SUM(E67:E69)</f>
        <v>-0.59961310439393856</v>
      </c>
      <c r="J70" s="716"/>
    </row>
    <row r="71" spans="1:10" ht="13.5" thickTop="1">
      <c r="A71" s="628"/>
      <c r="B71" s="633" t="s">
        <v>733</v>
      </c>
      <c r="C71" s="623"/>
      <c r="D71" s="627"/>
      <c r="E71" s="659"/>
      <c r="J71" s="716"/>
    </row>
    <row r="72" spans="1:10">
      <c r="A72" s="628">
        <v>18220101</v>
      </c>
      <c r="B72" s="622" t="s">
        <v>733</v>
      </c>
      <c r="C72" s="626">
        <f>'TY Reg Assets RB'!C72</f>
        <v>0</v>
      </c>
      <c r="D72" s="626">
        <f>'Electron Deferral'!H98</f>
        <v>-0.15999999828636646</v>
      </c>
      <c r="E72" s="656">
        <f t="shared" ref="E72:E73" si="16">D72-C72</f>
        <v>-0.15999999828636646</v>
      </c>
      <c r="F72" s="81" t="s">
        <v>797</v>
      </c>
      <c r="J72" s="716"/>
    </row>
    <row r="73" spans="1:10">
      <c r="A73" s="628" t="s">
        <v>782</v>
      </c>
      <c r="B73" s="622" t="s">
        <v>749</v>
      </c>
      <c r="C73" s="626">
        <f>'TY Reg Assets RB'!C73</f>
        <v>-530083.09</v>
      </c>
      <c r="D73" s="626">
        <f>'Electron Deferral'!K98</f>
        <v>-530082.99950000062</v>
      </c>
      <c r="E73" s="656">
        <f t="shared" si="16"/>
        <v>9.0499999350868165E-2</v>
      </c>
      <c r="F73" s="81" t="s">
        <v>17</v>
      </c>
      <c r="J73" s="716"/>
    </row>
    <row r="74" spans="1:10" ht="13.5" thickBot="1">
      <c r="A74" s="628"/>
      <c r="B74" s="619"/>
      <c r="C74" s="621">
        <f>SUM(C72:C73)</f>
        <v>-530083.09</v>
      </c>
      <c r="D74" s="621">
        <f>SUM(D72:D73)</f>
        <v>-530083.1594999989</v>
      </c>
      <c r="E74" s="657">
        <f>SUM(E71:E73)</f>
        <v>-6.9499998935498297E-2</v>
      </c>
      <c r="J74" s="716"/>
    </row>
    <row r="75" spans="1:10" ht="13.5" thickTop="1">
      <c r="A75" s="628"/>
      <c r="B75" s="619"/>
      <c r="C75" s="623"/>
      <c r="D75" s="627"/>
      <c r="E75" s="659"/>
      <c r="J75" s="716"/>
    </row>
    <row r="76" spans="1:10">
      <c r="A76" s="613"/>
      <c r="B76" s="850" t="s">
        <v>863</v>
      </c>
      <c r="C76" s="851"/>
      <c r="D76" s="852"/>
      <c r="E76" s="659"/>
      <c r="J76" s="716"/>
    </row>
    <row r="77" spans="1:10">
      <c r="A77" s="618">
        <v>18220011</v>
      </c>
      <c r="B77" s="854" t="s">
        <v>864</v>
      </c>
      <c r="C77" s="855">
        <f>'[2]2017 GRC WC Det Format'!$AB468</f>
        <v>0</v>
      </c>
      <c r="D77" s="855">
        <f>'[2]2017 GRC WC Det Format'!$AE468</f>
        <v>0</v>
      </c>
      <c r="E77" s="659"/>
      <c r="J77" s="716"/>
    </row>
    <row r="78" spans="1:10">
      <c r="A78" s="618">
        <v>18220021</v>
      </c>
      <c r="B78" s="854" t="s">
        <v>865</v>
      </c>
      <c r="C78" s="855">
        <f>'[2]2017 GRC WC Det Format'!$AB469</f>
        <v>0</v>
      </c>
      <c r="D78" s="855">
        <f>'[2]2017 GRC WC Det Format'!$AE469</f>
        <v>0</v>
      </c>
      <c r="E78" s="659"/>
      <c r="J78" s="716"/>
    </row>
    <row r="79" spans="1:10">
      <c r="A79" s="618">
        <v>18220031</v>
      </c>
      <c r="B79" s="854" t="s">
        <v>866</v>
      </c>
      <c r="C79" s="855">
        <f>'[2]2017 GRC WC Det Format'!$AB470</f>
        <v>0</v>
      </c>
      <c r="D79" s="855">
        <f>'[2]2017 GRC WC Det Format'!$AE470</f>
        <v>0</v>
      </c>
      <c r="E79" s="659"/>
      <c r="J79" s="716"/>
    </row>
    <row r="80" spans="1:10">
      <c r="A80" s="618">
        <v>18220041</v>
      </c>
      <c r="B80" s="854" t="s">
        <v>867</v>
      </c>
      <c r="C80" s="855">
        <f>'[2]2017 GRC WC Det Format'!$AB471</f>
        <v>0</v>
      </c>
      <c r="D80" s="855">
        <f>'[2]2017 GRC WC Det Format'!$AE471</f>
        <v>0</v>
      </c>
      <c r="E80" s="659"/>
      <c r="J80" s="716"/>
    </row>
    <row r="81" spans="1:10">
      <c r="A81" s="857" t="s">
        <v>868</v>
      </c>
      <c r="B81" s="858" t="s">
        <v>869</v>
      </c>
      <c r="C81" s="855">
        <f>'TY Reg Assets RB'!C80</f>
        <v>-5453015.8817438316</v>
      </c>
      <c r="D81" s="859">
        <f>'WRPC 2004 GRC'!O85</f>
        <v>-1559296.9123478986</v>
      </c>
      <c r="E81" s="656">
        <f t="shared" ref="E81:E82" si="17">D81-C81</f>
        <v>3893718.9693959327</v>
      </c>
      <c r="F81" s="81" t="s">
        <v>17</v>
      </c>
      <c r="J81" s="716"/>
    </row>
    <row r="82" spans="1:10" ht="13.5" thickBot="1">
      <c r="A82" s="613"/>
      <c r="B82" s="850"/>
      <c r="C82" s="860">
        <f>SUM(C77:C81)</f>
        <v>-5453015.8817438316</v>
      </c>
      <c r="D82" s="860">
        <f>SUM(D77:D81)</f>
        <v>-1559296.9123478986</v>
      </c>
      <c r="E82" s="860">
        <f t="shared" si="17"/>
        <v>3893718.9693959327</v>
      </c>
      <c r="J82" s="716"/>
    </row>
    <row r="83" spans="1:10" ht="14.25" thickTop="1" thickBot="1">
      <c r="A83" s="636"/>
      <c r="B83" s="637"/>
      <c r="C83" s="638"/>
      <c r="D83" s="638"/>
      <c r="E83" s="660"/>
      <c r="J83" s="716"/>
    </row>
    <row r="84" spans="1:10" ht="13.5" thickBot="1">
      <c r="A84" s="640"/>
      <c r="B84" s="641" t="s">
        <v>7</v>
      </c>
      <c r="C84" s="642">
        <f>C7+C12+C21+C32+C36+C41+C25+C28+C47+C54+C62+C66+C70+C74+C82</f>
        <v>172315554.79825619</v>
      </c>
      <c r="D84" s="642">
        <f>D7+D12+D21+D32+D36+D41+D25+D28+D47+D54+D62+D66+D70+D74+D82</f>
        <v>148923662.89445901</v>
      </c>
      <c r="E84" s="642">
        <f t="shared" ref="E84" si="18">E7+E12+E21+E32+E36+E41+E25+E28+E47+E54+E62+E66+E70+E74</f>
        <v>-27285610.87319307</v>
      </c>
      <c r="J84" s="716"/>
    </row>
    <row r="85" spans="1:10">
      <c r="B85" s="81"/>
      <c r="C85"/>
      <c r="D85"/>
      <c r="E85" s="645"/>
      <c r="J85" s="716"/>
    </row>
    <row r="86" spans="1:10">
      <c r="C86"/>
      <c r="D86"/>
      <c r="E86" s="646"/>
      <c r="J86" s="716"/>
    </row>
    <row r="87" spans="1:10" ht="10.5">
      <c r="A87"/>
      <c r="B87"/>
      <c r="C87"/>
      <c r="D87"/>
      <c r="E87"/>
      <c r="F87"/>
      <c r="J87" s="716"/>
    </row>
    <row r="88" spans="1:10" ht="10.5">
      <c r="A88"/>
      <c r="B88"/>
      <c r="C88"/>
      <c r="D88"/>
      <c r="E88"/>
      <c r="F88"/>
      <c r="J88" s="716"/>
    </row>
    <row r="89" spans="1:10" ht="10.5">
      <c r="A89"/>
      <c r="B89"/>
      <c r="C89"/>
      <c r="D89"/>
      <c r="E89"/>
      <c r="F89"/>
    </row>
    <row r="90" spans="1:10" ht="11.25">
      <c r="A90"/>
      <c r="B90"/>
      <c r="C90"/>
      <c r="D90"/>
      <c r="E90"/>
      <c r="F90"/>
      <c r="J90" s="717"/>
    </row>
    <row r="91" spans="1:10" ht="10.5">
      <c r="A91"/>
      <c r="B91"/>
      <c r="C91"/>
      <c r="D91"/>
      <c r="E91"/>
      <c r="F91"/>
      <c r="J91" s="81"/>
    </row>
    <row r="92" spans="1:10" ht="10.5">
      <c r="A92"/>
      <c r="B92"/>
      <c r="C92"/>
      <c r="D92"/>
      <c r="E92"/>
      <c r="F92"/>
      <c r="J92" s="81"/>
    </row>
    <row r="93" spans="1:10" ht="10.5">
      <c r="A93"/>
      <c r="B93"/>
      <c r="C93"/>
      <c r="D93"/>
      <c r="E93"/>
      <c r="F93"/>
      <c r="J93" s="81"/>
    </row>
    <row r="94" spans="1:10" ht="10.5">
      <c r="A94"/>
      <c r="B94"/>
      <c r="C94"/>
      <c r="D94"/>
      <c r="E94"/>
      <c r="F94"/>
    </row>
    <row r="95" spans="1:10" ht="10.5">
      <c r="A95"/>
      <c r="B95"/>
      <c r="C95"/>
      <c r="D95"/>
      <c r="E95"/>
      <c r="F95"/>
    </row>
    <row r="96" spans="1:10" ht="10.5">
      <c r="A96"/>
      <c r="B96"/>
      <c r="C96"/>
      <c r="D96"/>
      <c r="E96"/>
      <c r="F96"/>
    </row>
    <row r="97" spans="1:6" ht="10.5">
      <c r="A97"/>
      <c r="B97"/>
      <c r="C97"/>
      <c r="D97"/>
      <c r="E97"/>
      <c r="F97"/>
    </row>
  </sheetData>
  <sortState ref="G6:H88">
    <sortCondition ref="G6:G88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6"/>
  <sheetViews>
    <sheetView zoomScale="40" zoomScaleNormal="4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00" sqref="B100"/>
    </sheetView>
  </sheetViews>
  <sheetFormatPr defaultColWidth="10.6640625" defaultRowHeight="12.75" outlineLevelRow="1"/>
  <cols>
    <col min="1" max="1" width="20" style="769" customWidth="1"/>
    <col min="2" max="2" width="6" style="769" customWidth="1"/>
    <col min="3" max="3" width="11.5" style="769" bestFit="1" customWidth="1"/>
    <col min="4" max="4" width="15.33203125" style="769" customWidth="1"/>
    <col min="5" max="5" width="4.1640625" style="769" customWidth="1"/>
    <col min="6" max="6" width="16.1640625" style="769" customWidth="1"/>
    <col min="7" max="7" width="19.1640625" style="769" customWidth="1"/>
    <col min="8" max="8" width="16.1640625" style="769" customWidth="1"/>
    <col min="9" max="9" width="16.83203125" style="769" customWidth="1"/>
    <col min="10" max="10" width="20.83203125" style="769" customWidth="1"/>
    <col min="11" max="11" width="16.1640625" style="769" customWidth="1"/>
    <col min="12" max="12" width="15.6640625" style="769" bestFit="1" customWidth="1"/>
    <col min="13" max="13" width="16.1640625" style="769" bestFit="1" customWidth="1"/>
    <col min="14" max="14" width="2.83203125" style="771" customWidth="1"/>
    <col min="15" max="15" width="16.1640625" style="769" bestFit="1" customWidth="1"/>
    <col min="16" max="16" width="15.83203125" style="769" customWidth="1"/>
    <col min="17" max="17" width="16.5" style="769" customWidth="1"/>
    <col min="18" max="18" width="13.5" style="769" bestFit="1" customWidth="1"/>
    <col min="19" max="19" width="20.33203125" style="769" customWidth="1"/>
    <col min="20" max="20" width="24.33203125" style="769" customWidth="1"/>
    <col min="21" max="22" width="10.6640625" style="769"/>
    <col min="23" max="23" width="21.83203125" style="769" customWidth="1"/>
    <col min="24" max="16384" width="10.6640625" style="769"/>
  </cols>
  <sheetData>
    <row r="1" spans="2:17">
      <c r="B1" s="767" t="s">
        <v>818</v>
      </c>
      <c r="C1" s="768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</row>
    <row r="2" spans="2:17">
      <c r="B2" s="767" t="s">
        <v>819</v>
      </c>
      <c r="C2" s="768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</row>
    <row r="3" spans="2:17">
      <c r="B3" s="767" t="s">
        <v>820</v>
      </c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8"/>
      <c r="O3" s="768"/>
      <c r="P3" s="768"/>
      <c r="Q3" s="768"/>
    </row>
    <row r="4" spans="2:17">
      <c r="B4" s="767"/>
      <c r="C4" s="768"/>
      <c r="D4" s="768"/>
      <c r="E4" s="768"/>
      <c r="F4" s="768"/>
      <c r="G4" s="768"/>
      <c r="H4" s="768"/>
      <c r="I4" s="768"/>
      <c r="J4" s="768"/>
      <c r="K4" s="768"/>
      <c r="L4" s="768"/>
      <c r="M4" s="768"/>
      <c r="N4" s="768"/>
      <c r="O4" s="768"/>
      <c r="P4" s="768"/>
      <c r="Q4" s="768"/>
    </row>
    <row r="5" spans="2:17">
      <c r="D5" s="770"/>
      <c r="E5" s="770"/>
      <c r="I5" s="770"/>
      <c r="O5" s="772"/>
    </row>
    <row r="6" spans="2:17">
      <c r="B6" s="773" t="s">
        <v>821</v>
      </c>
      <c r="C6" s="774"/>
      <c r="D6" s="774"/>
      <c r="E6" s="774"/>
      <c r="F6" s="774"/>
      <c r="G6" s="774"/>
      <c r="H6" s="774"/>
      <c r="I6" s="774"/>
      <c r="J6" s="774"/>
      <c r="K6" s="774"/>
      <c r="L6" s="774"/>
      <c r="M6" s="775"/>
      <c r="N6" s="776"/>
      <c r="O6" s="773"/>
      <c r="P6" s="773" t="s">
        <v>822</v>
      </c>
      <c r="Q6" s="775"/>
    </row>
    <row r="7" spans="2:17">
      <c r="B7" s="777"/>
      <c r="C7" s="777"/>
      <c r="D7" s="777"/>
      <c r="E7" s="777"/>
      <c r="F7" s="778" t="s">
        <v>823</v>
      </c>
      <c r="G7" s="779" t="s">
        <v>824</v>
      </c>
      <c r="H7" s="780"/>
      <c r="I7" s="777"/>
      <c r="K7" s="777"/>
      <c r="L7" s="777"/>
      <c r="M7" s="777"/>
      <c r="N7" s="781"/>
      <c r="O7" s="780"/>
      <c r="P7" s="780"/>
      <c r="Q7" s="782"/>
    </row>
    <row r="8" spans="2:17">
      <c r="B8" s="973" t="s">
        <v>825</v>
      </c>
      <c r="C8" s="975" t="s">
        <v>15</v>
      </c>
      <c r="D8" s="977" t="s">
        <v>826</v>
      </c>
      <c r="E8" s="783"/>
      <c r="F8" s="784" t="s">
        <v>827</v>
      </c>
      <c r="G8" s="784" t="s">
        <v>828</v>
      </c>
      <c r="H8" s="785" t="s">
        <v>829</v>
      </c>
      <c r="I8" s="786" t="s">
        <v>830</v>
      </c>
      <c r="J8" s="784" t="s">
        <v>831</v>
      </c>
      <c r="K8" s="784" t="s">
        <v>832</v>
      </c>
      <c r="L8" s="784" t="s">
        <v>833</v>
      </c>
      <c r="M8" s="784" t="s">
        <v>834</v>
      </c>
      <c r="N8" s="787"/>
      <c r="O8" s="788" t="s">
        <v>11</v>
      </c>
      <c r="P8" s="788" t="s">
        <v>835</v>
      </c>
      <c r="Q8" s="788" t="s">
        <v>836</v>
      </c>
    </row>
    <row r="9" spans="2:17">
      <c r="B9" s="974" t="s">
        <v>825</v>
      </c>
      <c r="C9" s="976"/>
      <c r="D9" s="978"/>
      <c r="E9" s="789"/>
      <c r="F9" s="790" t="s">
        <v>837</v>
      </c>
      <c r="G9" s="790" t="s">
        <v>838</v>
      </c>
      <c r="H9" s="790" t="s">
        <v>834</v>
      </c>
      <c r="I9" s="790" t="s">
        <v>3</v>
      </c>
      <c r="J9" s="790" t="s">
        <v>16</v>
      </c>
      <c r="K9" s="790" t="s">
        <v>20</v>
      </c>
      <c r="L9" s="790" t="s">
        <v>839</v>
      </c>
      <c r="M9" s="790" t="s">
        <v>840</v>
      </c>
      <c r="N9" s="787"/>
      <c r="O9" s="790" t="s">
        <v>26</v>
      </c>
      <c r="P9" s="790" t="s">
        <v>1</v>
      </c>
      <c r="Q9" s="790" t="s">
        <v>2</v>
      </c>
    </row>
    <row r="10" spans="2:17" ht="25.15" customHeight="1">
      <c r="B10" s="791"/>
      <c r="C10" s="898"/>
      <c r="D10" s="899" t="s">
        <v>841</v>
      </c>
      <c r="E10" s="899"/>
      <c r="F10" s="899" t="s">
        <v>842</v>
      </c>
      <c r="G10" s="900" t="s">
        <v>843</v>
      </c>
      <c r="H10" s="898"/>
      <c r="I10" s="900" t="s">
        <v>844</v>
      </c>
      <c r="J10" s="898"/>
      <c r="K10" s="898"/>
      <c r="L10" s="899" t="s">
        <v>845</v>
      </c>
      <c r="M10" s="898"/>
      <c r="N10" s="787"/>
      <c r="O10" s="792"/>
      <c r="P10" s="792"/>
      <c r="Q10" s="793"/>
    </row>
    <row r="11" spans="2:17">
      <c r="B11" s="794"/>
      <c r="C11" s="795"/>
      <c r="D11" s="796"/>
      <c r="E11" s="795"/>
      <c r="F11" s="795"/>
      <c r="G11" s="795"/>
      <c r="H11" s="796"/>
      <c r="I11" s="797"/>
      <c r="J11" s="794"/>
      <c r="K11" s="795"/>
      <c r="L11" s="795"/>
      <c r="M11" s="796"/>
      <c r="N11" s="787"/>
      <c r="O11" s="794"/>
      <c r="P11" s="795"/>
      <c r="Q11" s="796"/>
    </row>
    <row r="12" spans="2:17">
      <c r="B12" s="798"/>
      <c r="C12" s="799"/>
      <c r="D12" s="800"/>
      <c r="E12" s="799"/>
      <c r="F12" s="799"/>
      <c r="G12" s="799"/>
      <c r="H12" s="800"/>
      <c r="I12" s="801"/>
      <c r="J12" s="798"/>
      <c r="K12" s="799"/>
      <c r="L12" s="799"/>
      <c r="M12" s="800"/>
      <c r="N12" s="787"/>
      <c r="O12" s="798"/>
      <c r="P12" s="799"/>
      <c r="Q12" s="800"/>
    </row>
    <row r="13" spans="2:17">
      <c r="B13" s="798"/>
      <c r="C13" s="799"/>
      <c r="D13" s="800"/>
      <c r="E13" s="799"/>
      <c r="F13" s="799"/>
      <c r="G13" s="799"/>
      <c r="H13" s="800"/>
      <c r="I13" s="801" t="s">
        <v>830</v>
      </c>
      <c r="J13" s="798"/>
      <c r="K13" s="799"/>
      <c r="L13" s="799"/>
      <c r="M13" s="800"/>
      <c r="N13" s="787"/>
      <c r="O13" s="798"/>
      <c r="P13" s="799"/>
      <c r="Q13" s="800"/>
    </row>
    <row r="14" spans="2:17">
      <c r="B14" s="798"/>
      <c r="C14" s="799"/>
      <c r="D14" s="800"/>
      <c r="E14" s="799"/>
      <c r="F14" s="799"/>
      <c r="G14" s="799"/>
      <c r="H14" s="800"/>
      <c r="I14" s="785" t="s">
        <v>834</v>
      </c>
      <c r="J14" s="798"/>
      <c r="K14" s="799"/>
      <c r="L14" s="799"/>
      <c r="M14" s="800"/>
      <c r="N14" s="787"/>
      <c r="O14" s="798"/>
      <c r="P14" s="799"/>
      <c r="Q14" s="800"/>
    </row>
    <row r="15" spans="2:17">
      <c r="B15" s="798"/>
      <c r="C15" s="799"/>
      <c r="D15" s="800"/>
      <c r="E15" s="799"/>
      <c r="F15" s="799"/>
      <c r="G15" s="799"/>
      <c r="H15" s="800"/>
      <c r="I15" s="802" t="s">
        <v>846</v>
      </c>
      <c r="J15" s="798"/>
      <c r="K15" s="799"/>
      <c r="L15" s="799"/>
      <c r="M15" s="800"/>
      <c r="N15" s="787"/>
      <c r="O15" s="798"/>
      <c r="P15" s="799"/>
      <c r="Q15" s="800"/>
    </row>
    <row r="16" spans="2:17" s="792" customFormat="1">
      <c r="B16" s="798"/>
      <c r="C16" s="799"/>
      <c r="D16" s="800"/>
      <c r="E16" s="799"/>
      <c r="F16" s="799"/>
      <c r="G16" s="799"/>
      <c r="H16" s="800"/>
      <c r="I16" s="803">
        <v>124558.47683925001</v>
      </c>
      <c r="J16" s="804" t="s">
        <v>847</v>
      </c>
      <c r="K16" s="805" t="s">
        <v>848</v>
      </c>
      <c r="L16" s="799"/>
      <c r="M16" s="800"/>
      <c r="N16" s="787"/>
      <c r="O16" s="798"/>
      <c r="P16" s="799"/>
      <c r="Q16" s="800"/>
    </row>
    <row r="17" spans="2:20" s="792" customFormat="1">
      <c r="B17" s="806"/>
      <c r="C17" s="807"/>
      <c r="D17" s="808"/>
      <c r="E17" s="807"/>
      <c r="F17" s="807"/>
      <c r="G17" s="807"/>
      <c r="H17" s="808"/>
      <c r="I17" s="803">
        <f>P46</f>
        <v>-557431.37914844125</v>
      </c>
      <c r="J17" s="809" t="s">
        <v>849</v>
      </c>
      <c r="K17" s="810" t="s">
        <v>848</v>
      </c>
      <c r="L17" s="807"/>
      <c r="M17" s="808"/>
      <c r="N17" s="811"/>
      <c r="O17" s="806"/>
      <c r="P17" s="807"/>
      <c r="Q17" s="808"/>
    </row>
    <row r="18" spans="2:20" s="819" customFormat="1" hidden="1" outlineLevel="1">
      <c r="B18" s="812">
        <f>ROW()</f>
        <v>18</v>
      </c>
      <c r="C18" s="813">
        <v>42277</v>
      </c>
      <c r="D18" s="814">
        <v>66451966.469999999</v>
      </c>
      <c r="E18" s="814"/>
      <c r="F18" s="814">
        <v>-30211680.350000001</v>
      </c>
      <c r="G18" s="814">
        <v>23854017.560000002</v>
      </c>
      <c r="H18" s="814">
        <f t="shared" ref="H18:H69" si="0">SUM(D18:G18)</f>
        <v>60094303.68</v>
      </c>
      <c r="I18" s="814">
        <v>-36319051.185996309</v>
      </c>
      <c r="J18" s="815">
        <f t="shared" ref="J18:J69" si="1">SUM(H18:I18)</f>
        <v>23775252.494003691</v>
      </c>
      <c r="K18" s="814">
        <v>681836.39</v>
      </c>
      <c r="L18" s="814">
        <v>-8321338.0599999977</v>
      </c>
      <c r="M18" s="815">
        <f>J18+L18</f>
        <v>15453914.434003692</v>
      </c>
      <c r="N18" s="816"/>
      <c r="O18" s="817">
        <v>17093641.339622535</v>
      </c>
      <c r="P18" s="814">
        <v>-124558.47683925182</v>
      </c>
      <c r="Q18" s="818">
        <v>-9204267.5937499963</v>
      </c>
      <c r="S18" s="817"/>
      <c r="T18" s="817"/>
    </row>
    <row r="19" spans="2:20" s="819" customFormat="1" hidden="1" outlineLevel="1">
      <c r="B19" s="812">
        <f>ROW()</f>
        <v>19</v>
      </c>
      <c r="C19" s="813">
        <v>42308</v>
      </c>
      <c r="D19" s="814">
        <f t="shared" ref="D19:D82" si="2">D18</f>
        <v>66451966.469999999</v>
      </c>
      <c r="E19" s="814"/>
      <c r="F19" s="814">
        <f t="shared" ref="F19:G71" si="3">F18</f>
        <v>-30211680.350000001</v>
      </c>
      <c r="G19" s="814">
        <v>23857686.560000002</v>
      </c>
      <c r="H19" s="814">
        <f>SUM(D19:G19)</f>
        <v>60097972.68</v>
      </c>
      <c r="I19" s="814">
        <f>I18-$I$16</f>
        <v>-36443609.662835561</v>
      </c>
      <c r="J19" s="814">
        <f t="shared" si="1"/>
        <v>23654363.017164439</v>
      </c>
      <c r="K19" s="814">
        <v>42310.76</v>
      </c>
      <c r="L19" s="814">
        <f>L18+K19</f>
        <v>-8279027.299999998</v>
      </c>
      <c r="M19" s="814">
        <f t="shared" ref="M19:M82" si="4">J19+L19</f>
        <v>15375335.717164442</v>
      </c>
      <c r="N19" s="816"/>
      <c r="O19" s="901">
        <v>16909299.899866614</v>
      </c>
      <c r="P19" s="814">
        <v>-124558.47683925182</v>
      </c>
      <c r="Q19" s="818">
        <v>-9105006.980833333</v>
      </c>
      <c r="S19" s="817"/>
      <c r="T19" s="817"/>
    </row>
    <row r="20" spans="2:20" hidden="1" outlineLevel="1">
      <c r="B20" s="812">
        <f>ROW()</f>
        <v>20</v>
      </c>
      <c r="C20" s="813">
        <v>42338</v>
      </c>
      <c r="D20" s="814">
        <f t="shared" si="2"/>
        <v>66451966.469999999</v>
      </c>
      <c r="E20" s="814"/>
      <c r="F20" s="814">
        <f t="shared" si="3"/>
        <v>-30211680.350000001</v>
      </c>
      <c r="G20" s="814">
        <v>23861952.560000002</v>
      </c>
      <c r="H20" s="814">
        <f t="shared" si="0"/>
        <v>60102238.68</v>
      </c>
      <c r="I20" s="814">
        <f t="shared" ref="I20:I44" si="5">I19-$I$16</f>
        <v>-36568168.139674813</v>
      </c>
      <c r="J20" s="814">
        <f t="shared" si="1"/>
        <v>23534070.540325187</v>
      </c>
      <c r="K20" s="814">
        <v>42102.92</v>
      </c>
      <c r="L20" s="814">
        <f t="shared" ref="L20:L71" si="6">L19+K20</f>
        <v>-8236924.379999998</v>
      </c>
      <c r="M20" s="814">
        <f t="shared" si="4"/>
        <v>15297146.160325188</v>
      </c>
      <c r="N20" s="816"/>
      <c r="O20" s="901">
        <v>16723976.291360699</v>
      </c>
      <c r="P20" s="814">
        <v>-124558.47683925182</v>
      </c>
      <c r="Q20" s="818">
        <v>-9005217.4808333311</v>
      </c>
      <c r="S20" s="817"/>
      <c r="T20" s="817"/>
    </row>
    <row r="21" spans="2:20" s="819" customFormat="1" hidden="1" outlineLevel="1">
      <c r="B21" s="812">
        <f>ROW()</f>
        <v>21</v>
      </c>
      <c r="C21" s="813">
        <v>42369</v>
      </c>
      <c r="D21" s="814">
        <f t="shared" si="2"/>
        <v>66451966.469999999</v>
      </c>
      <c r="E21" s="814"/>
      <c r="F21" s="814">
        <f t="shared" si="3"/>
        <v>-30211680.350000001</v>
      </c>
      <c r="G21" s="814">
        <v>23506374.670000002</v>
      </c>
      <c r="H21" s="814">
        <f t="shared" si="0"/>
        <v>59746660.789999999</v>
      </c>
      <c r="I21" s="814">
        <f t="shared" si="5"/>
        <v>-36692726.616514064</v>
      </c>
      <c r="J21" s="814">
        <f t="shared" si="1"/>
        <v>23053934.173485935</v>
      </c>
      <c r="K21" s="814">
        <v>168047.74</v>
      </c>
      <c r="L21" s="814">
        <f t="shared" si="6"/>
        <v>-8068876.6399999978</v>
      </c>
      <c r="M21" s="814">
        <f t="shared" si="4"/>
        <v>14985057.533485938</v>
      </c>
      <c r="N21" s="816"/>
      <c r="O21" s="901">
        <v>16532837.50410478</v>
      </c>
      <c r="P21" s="814">
        <v>-124558.47683925182</v>
      </c>
      <c r="Q21" s="818">
        <v>-8902296.666666666</v>
      </c>
      <c r="S21" s="817"/>
      <c r="T21" s="817"/>
    </row>
    <row r="22" spans="2:20" hidden="1" outlineLevel="1">
      <c r="B22" s="812">
        <f>ROW()</f>
        <v>22</v>
      </c>
      <c r="C22" s="813">
        <v>42400</v>
      </c>
      <c r="D22" s="814">
        <f t="shared" si="2"/>
        <v>66451966.469999999</v>
      </c>
      <c r="E22" s="814"/>
      <c r="F22" s="814">
        <f t="shared" si="3"/>
        <v>-30211680.350000001</v>
      </c>
      <c r="G22" s="814">
        <v>23517844.330000002</v>
      </c>
      <c r="H22" s="814">
        <f t="shared" si="0"/>
        <v>59758130.450000003</v>
      </c>
      <c r="I22" s="814">
        <f t="shared" si="5"/>
        <v>-36817285.093353316</v>
      </c>
      <c r="J22" s="814">
        <f t="shared" si="1"/>
        <v>22940845.356646687</v>
      </c>
      <c r="K22" s="814">
        <v>39580.83</v>
      </c>
      <c r="L22" s="814">
        <f t="shared" si="6"/>
        <v>-8029295.8099999977</v>
      </c>
      <c r="M22" s="814">
        <f t="shared" si="4"/>
        <v>14911549.546646688</v>
      </c>
      <c r="N22" s="816"/>
      <c r="O22" s="901">
        <v>16336411.373515531</v>
      </c>
      <c r="P22" s="814">
        <v>-124558.47683925182</v>
      </c>
      <c r="Q22" s="818">
        <v>-8796528.7720833309</v>
      </c>
      <c r="S22" s="817"/>
      <c r="T22" s="817"/>
    </row>
    <row r="23" spans="2:20" s="819" customFormat="1" hidden="1" outlineLevel="1">
      <c r="B23" s="812">
        <f>ROW()</f>
        <v>23</v>
      </c>
      <c r="C23" s="902">
        <v>42428</v>
      </c>
      <c r="D23" s="814">
        <f t="shared" si="2"/>
        <v>66451966.469999999</v>
      </c>
      <c r="E23" s="814"/>
      <c r="F23" s="814">
        <f t="shared" si="3"/>
        <v>-30211680.350000001</v>
      </c>
      <c r="G23" s="814">
        <v>23523166.830000002</v>
      </c>
      <c r="H23" s="814">
        <f t="shared" si="0"/>
        <v>59763452.950000003</v>
      </c>
      <c r="I23" s="814">
        <f t="shared" si="5"/>
        <v>-36941843.570192568</v>
      </c>
      <c r="J23" s="814">
        <f t="shared" si="1"/>
        <v>22821609.379807435</v>
      </c>
      <c r="K23" s="814">
        <v>41732.730000000003</v>
      </c>
      <c r="L23" s="814">
        <f t="shared" si="6"/>
        <v>-7987563.0799999973</v>
      </c>
      <c r="M23" s="814">
        <f t="shared" si="4"/>
        <v>14834046.299807437</v>
      </c>
      <c r="N23" s="816"/>
      <c r="O23" s="901">
        <v>16140058.830009611</v>
      </c>
      <c r="P23" s="814">
        <v>-124558.47683925182</v>
      </c>
      <c r="Q23" s="818">
        <v>-8690800.4887499977</v>
      </c>
      <c r="S23" s="817"/>
      <c r="T23" s="817"/>
    </row>
    <row r="24" spans="2:20" s="819" customFormat="1" hidden="1" outlineLevel="1">
      <c r="B24" s="812">
        <f>ROW()</f>
        <v>24</v>
      </c>
      <c r="C24" s="813">
        <v>42460</v>
      </c>
      <c r="D24" s="814">
        <f t="shared" si="2"/>
        <v>66451966.469999999</v>
      </c>
      <c r="E24" s="814"/>
      <c r="F24" s="814">
        <f t="shared" si="3"/>
        <v>-30211680.350000001</v>
      </c>
      <c r="G24" s="814">
        <v>23529205.73</v>
      </c>
      <c r="H24" s="814">
        <f t="shared" si="0"/>
        <v>59769491.849999994</v>
      </c>
      <c r="I24" s="814">
        <f t="shared" si="5"/>
        <v>-37066402.04703182</v>
      </c>
      <c r="J24" s="814">
        <f t="shared" si="1"/>
        <v>22703089.802968174</v>
      </c>
      <c r="K24" s="814">
        <v>41481.72</v>
      </c>
      <c r="L24" s="814">
        <f t="shared" si="6"/>
        <v>-7946081.3599999975</v>
      </c>
      <c r="M24" s="814">
        <f t="shared" si="4"/>
        <v>14757008.442968177</v>
      </c>
      <c r="N24" s="816"/>
      <c r="O24" s="901">
        <v>15942854.170670358</v>
      </c>
      <c r="P24" s="814">
        <v>-124558.47683925182</v>
      </c>
      <c r="Q24" s="818">
        <v>-8584613.4124999978</v>
      </c>
      <c r="S24" s="817"/>
      <c r="T24" s="817"/>
    </row>
    <row r="25" spans="2:20" hidden="1" outlineLevel="1">
      <c r="B25" s="812">
        <f>ROW()</f>
        <v>25</v>
      </c>
      <c r="C25" s="813">
        <v>42490</v>
      </c>
      <c r="D25" s="814">
        <f t="shared" si="2"/>
        <v>66451966.469999999</v>
      </c>
      <c r="E25" s="814"/>
      <c r="F25" s="814">
        <f t="shared" si="3"/>
        <v>-30211680.350000001</v>
      </c>
      <c r="G25" s="814">
        <v>23534354.550000001</v>
      </c>
      <c r="H25" s="814">
        <f t="shared" si="0"/>
        <v>59774640.670000002</v>
      </c>
      <c r="I25" s="814">
        <f t="shared" si="5"/>
        <v>-37190960.523871072</v>
      </c>
      <c r="J25" s="814">
        <f t="shared" si="1"/>
        <v>22583680.14612893</v>
      </c>
      <c r="K25" s="814">
        <v>41793.71</v>
      </c>
      <c r="L25" s="814">
        <f t="shared" si="6"/>
        <v>-7904287.6499999976</v>
      </c>
      <c r="M25" s="814">
        <f t="shared" si="4"/>
        <v>14679392.496128932</v>
      </c>
      <c r="N25" s="816"/>
      <c r="O25" s="901">
        <v>15744771.683831109</v>
      </c>
      <c r="P25" s="814">
        <v>-124558.47683925182</v>
      </c>
      <c r="Q25" s="818">
        <v>-8477953.6391666643</v>
      </c>
      <c r="S25" s="817"/>
      <c r="T25" s="817"/>
    </row>
    <row r="26" spans="2:20" s="819" customFormat="1" hidden="1" outlineLevel="1">
      <c r="B26" s="812">
        <f>ROW()</f>
        <v>26</v>
      </c>
      <c r="C26" s="813">
        <v>42521</v>
      </c>
      <c r="D26" s="814">
        <f t="shared" si="2"/>
        <v>66451966.469999999</v>
      </c>
      <c r="E26" s="814"/>
      <c r="F26" s="814">
        <f t="shared" si="3"/>
        <v>-30211680.350000001</v>
      </c>
      <c r="G26" s="814">
        <v>23540919.880000003</v>
      </c>
      <c r="H26" s="814">
        <f t="shared" si="0"/>
        <v>59781206</v>
      </c>
      <c r="I26" s="814">
        <f t="shared" si="5"/>
        <v>-37315519.000710323</v>
      </c>
      <c r="J26" s="814">
        <f t="shared" si="1"/>
        <v>22465686.999289677</v>
      </c>
      <c r="K26" s="814">
        <v>41297.79</v>
      </c>
      <c r="L26" s="814">
        <f t="shared" si="6"/>
        <v>-7862989.8599999975</v>
      </c>
      <c r="M26" s="814">
        <f t="shared" si="4"/>
        <v>14602697.139289679</v>
      </c>
      <c r="N26" s="816"/>
      <c r="O26" s="901">
        <v>15546325.756575191</v>
      </c>
      <c r="P26" s="814">
        <v>-124558.47683925182</v>
      </c>
      <c r="Q26" s="818">
        <v>-8371098.13333333</v>
      </c>
      <c r="S26" s="817"/>
      <c r="T26" s="817"/>
    </row>
    <row r="27" spans="2:20" hidden="1" outlineLevel="1">
      <c r="B27" s="812">
        <f>ROW()</f>
        <v>27</v>
      </c>
      <c r="C27" s="813">
        <v>42551</v>
      </c>
      <c r="D27" s="814">
        <f t="shared" si="2"/>
        <v>66451966.469999999</v>
      </c>
      <c r="E27" s="814"/>
      <c r="F27" s="814">
        <f t="shared" si="3"/>
        <v>-30211680.350000001</v>
      </c>
      <c r="G27" s="814">
        <v>23542716.98</v>
      </c>
      <c r="H27" s="814">
        <f t="shared" si="0"/>
        <v>59783003.099999994</v>
      </c>
      <c r="I27" s="814">
        <f t="shared" si="5"/>
        <v>-37440077.477549575</v>
      </c>
      <c r="J27" s="814">
        <f t="shared" si="1"/>
        <v>22342925.622450419</v>
      </c>
      <c r="K27" s="814">
        <v>42966.31</v>
      </c>
      <c r="L27" s="814">
        <f t="shared" si="6"/>
        <v>-7820023.549999998</v>
      </c>
      <c r="M27" s="814">
        <f t="shared" si="4"/>
        <v>14522902.072450422</v>
      </c>
      <c r="N27" s="816"/>
      <c r="O27" s="901">
        <v>15347529.096819274</v>
      </c>
      <c r="P27" s="814">
        <v>-124558.47683925182</v>
      </c>
      <c r="Q27" s="818">
        <v>-8264053.7612499967</v>
      </c>
      <c r="S27" s="817"/>
      <c r="T27" s="817"/>
    </row>
    <row r="28" spans="2:20" s="819" customFormat="1" hidden="1" outlineLevel="1">
      <c r="B28" s="812">
        <f>ROW()</f>
        <v>28</v>
      </c>
      <c r="C28" s="813">
        <v>42582</v>
      </c>
      <c r="D28" s="814">
        <f t="shared" si="2"/>
        <v>66451966.469999999</v>
      </c>
      <c r="E28" s="814"/>
      <c r="F28" s="814">
        <f t="shared" si="3"/>
        <v>-30211680.350000001</v>
      </c>
      <c r="G28" s="814">
        <v>23544635.330000002</v>
      </c>
      <c r="H28" s="814">
        <f t="shared" si="0"/>
        <v>59784921.450000003</v>
      </c>
      <c r="I28" s="814">
        <f t="shared" si="5"/>
        <v>-37564635.954388827</v>
      </c>
      <c r="J28" s="814">
        <f t="shared" si="1"/>
        <v>22220285.495611176</v>
      </c>
      <c r="K28" s="814">
        <v>42924.14</v>
      </c>
      <c r="L28" s="814">
        <f t="shared" si="6"/>
        <v>-7777099.4099999983</v>
      </c>
      <c r="M28" s="814">
        <f t="shared" si="4"/>
        <v>14443186.085611178</v>
      </c>
      <c r="N28" s="816"/>
      <c r="O28" s="901">
        <v>15148280.641646683</v>
      </c>
      <c r="P28" s="814">
        <v>-124558.47683925182</v>
      </c>
      <c r="Q28" s="818">
        <v>-8156766.10208333</v>
      </c>
      <c r="S28" s="817"/>
      <c r="T28" s="817"/>
    </row>
    <row r="29" spans="2:20" hidden="1" outlineLevel="1">
      <c r="B29" s="812">
        <f>ROW()</f>
        <v>29</v>
      </c>
      <c r="C29" s="813">
        <v>42613</v>
      </c>
      <c r="D29" s="814">
        <f t="shared" si="2"/>
        <v>66451966.469999999</v>
      </c>
      <c r="E29" s="814"/>
      <c r="F29" s="814">
        <f t="shared" si="3"/>
        <v>-30211680.350000001</v>
      </c>
      <c r="G29" s="814">
        <v>23551458.330000002</v>
      </c>
      <c r="H29" s="814">
        <f t="shared" si="0"/>
        <v>59791744.450000003</v>
      </c>
      <c r="I29" s="814">
        <f t="shared" si="5"/>
        <v>-37689194.431228079</v>
      </c>
      <c r="J29" s="814">
        <f t="shared" si="1"/>
        <v>22102550.018771924</v>
      </c>
      <c r="K29" s="814">
        <v>41207.18</v>
      </c>
      <c r="L29" s="814">
        <f t="shared" si="6"/>
        <v>-7735892.2299999986</v>
      </c>
      <c r="M29" s="814">
        <f t="shared" si="4"/>
        <v>14366657.788771925</v>
      </c>
      <c r="N29" s="816"/>
      <c r="O29" s="901">
        <v>14950471.318140766</v>
      </c>
      <c r="P29" s="814">
        <v>-124558.47683925182</v>
      </c>
      <c r="Q29" s="818">
        <v>-8050253.3699999982</v>
      </c>
      <c r="S29" s="817"/>
      <c r="T29" s="817"/>
    </row>
    <row r="30" spans="2:20" hidden="1" outlineLevel="1">
      <c r="B30" s="812">
        <f>ROW()</f>
        <v>30</v>
      </c>
      <c r="C30" s="813">
        <v>42643</v>
      </c>
      <c r="D30" s="814">
        <f t="shared" si="2"/>
        <v>66451966.469999999</v>
      </c>
      <c r="E30" s="814"/>
      <c r="F30" s="814">
        <f t="shared" si="3"/>
        <v>-30211680.350000001</v>
      </c>
      <c r="G30" s="814">
        <v>23554805.610000003</v>
      </c>
      <c r="H30" s="814">
        <f>SUM(D30:G30)</f>
        <v>59795091.730000004</v>
      </c>
      <c r="I30" s="814">
        <f>I29-$I$16</f>
        <v>-37813752.908067331</v>
      </c>
      <c r="J30" s="814">
        <f t="shared" si="1"/>
        <v>21981338.821932673</v>
      </c>
      <c r="K30" s="814">
        <v>42424.08</v>
      </c>
      <c r="L30" s="814">
        <f t="shared" si="6"/>
        <v>-7693468.1499999985</v>
      </c>
      <c r="M30" s="814">
        <f>J30+L30</f>
        <v>14287870.671932675</v>
      </c>
      <c r="N30" s="816"/>
      <c r="O30" s="814">
        <f>(M18+M30+SUM(M19:M29)*2)/24</f>
        <v>14803822.652968181</v>
      </c>
      <c r="P30" s="814">
        <v>-124558.47683925182</v>
      </c>
      <c r="Q30" s="818">
        <f>(L30+L18+SUM(L19:L29)*2)/24</f>
        <v>-7971288.6979166651</v>
      </c>
      <c r="S30" s="817"/>
      <c r="T30" s="817"/>
    </row>
    <row r="31" spans="2:20" hidden="1" outlineLevel="1">
      <c r="B31" s="812">
        <f>ROW()</f>
        <v>31</v>
      </c>
      <c r="C31" s="813">
        <v>42674</v>
      </c>
      <c r="D31" s="814">
        <f t="shared" si="2"/>
        <v>66451966.469999999</v>
      </c>
      <c r="E31" s="814"/>
      <c r="F31" s="814">
        <f t="shared" si="3"/>
        <v>-30211680.350000001</v>
      </c>
      <c r="G31" s="814">
        <v>23554805.610000003</v>
      </c>
      <c r="H31" s="814">
        <f t="shared" si="0"/>
        <v>59795091.730000004</v>
      </c>
      <c r="I31" s="814">
        <f t="shared" si="5"/>
        <v>-37938311.384906583</v>
      </c>
      <c r="J31" s="814">
        <f t="shared" si="1"/>
        <v>21856780.345093422</v>
      </c>
      <c r="K31" s="814">
        <v>40363</v>
      </c>
      <c r="L31" s="814">
        <f t="shared" si="6"/>
        <v>-7653105.1499999985</v>
      </c>
      <c r="M31" s="814">
        <f t="shared" si="4"/>
        <v>14203675.195093423</v>
      </c>
      <c r="N31" s="816"/>
      <c r="O31" s="814">
        <f t="shared" ref="O31:O93" si="7">(M19+M31+SUM(M20:M30)*2)/24</f>
        <v>14706418.307795597</v>
      </c>
      <c r="P31" s="814">
        <v>-124558.47683925182</v>
      </c>
      <c r="Q31" s="818">
        <f t="shared" ref="Q31:Q91" si="8">(L31+L19+SUM(L20:L30)*2)/24</f>
        <v>-7919047.3620833308</v>
      </c>
      <c r="R31" s="822"/>
      <c r="S31" s="817"/>
      <c r="T31" s="817"/>
    </row>
    <row r="32" spans="2:20" hidden="1" outlineLevel="1">
      <c r="B32" s="812">
        <f>ROW()</f>
        <v>32</v>
      </c>
      <c r="C32" s="813">
        <v>42704</v>
      </c>
      <c r="D32" s="814">
        <f t="shared" si="2"/>
        <v>66451966.469999999</v>
      </c>
      <c r="E32" s="814"/>
      <c r="F32" s="814">
        <f t="shared" si="3"/>
        <v>-30211680.350000001</v>
      </c>
      <c r="G32" s="814">
        <v>23554805.610000003</v>
      </c>
      <c r="H32" s="814">
        <f t="shared" si="0"/>
        <v>59795091.730000004</v>
      </c>
      <c r="I32" s="814">
        <f t="shared" si="5"/>
        <v>-38062869.861745834</v>
      </c>
      <c r="J32" s="814">
        <f t="shared" si="1"/>
        <v>21732221.86825417</v>
      </c>
      <c r="K32" s="814">
        <v>41959</v>
      </c>
      <c r="L32" s="814">
        <f t="shared" si="6"/>
        <v>-7611146.1499999985</v>
      </c>
      <c r="M32" s="814">
        <f t="shared" si="4"/>
        <v>14121075.718254171</v>
      </c>
      <c r="N32" s="816"/>
      <c r="O32" s="814">
        <f t="shared" si="7"/>
        <v>14608596.184289681</v>
      </c>
      <c r="P32" s="814">
        <v>-124558.47683925182</v>
      </c>
      <c r="Q32" s="818">
        <f t="shared" si="8"/>
        <v>-7866893.1795833325</v>
      </c>
      <c r="R32" s="822"/>
      <c r="S32" s="817"/>
      <c r="T32" s="817"/>
    </row>
    <row r="33" spans="1:20" hidden="1" outlineLevel="1">
      <c r="B33" s="812">
        <f>ROW()</f>
        <v>33</v>
      </c>
      <c r="C33" s="813">
        <v>42735</v>
      </c>
      <c r="D33" s="814">
        <f t="shared" si="2"/>
        <v>66451966.469999999</v>
      </c>
      <c r="E33" s="814"/>
      <c r="F33" s="814">
        <f t="shared" si="3"/>
        <v>-30211680.350000001</v>
      </c>
      <c r="G33" s="814">
        <v>23554805.610000003</v>
      </c>
      <c r="H33" s="814">
        <f t="shared" si="0"/>
        <v>59795091.730000004</v>
      </c>
      <c r="I33" s="814">
        <f t="shared" si="5"/>
        <v>-38187428.338585086</v>
      </c>
      <c r="J33" s="814">
        <f t="shared" si="1"/>
        <v>21607663.391414918</v>
      </c>
      <c r="K33" s="814">
        <v>41848</v>
      </c>
      <c r="L33" s="814">
        <f t="shared" si="6"/>
        <v>-7569298.1499999985</v>
      </c>
      <c r="M33" s="814">
        <f t="shared" si="4"/>
        <v>14038365.241414919</v>
      </c>
      <c r="N33" s="816"/>
      <c r="O33" s="814">
        <f t="shared" si="7"/>
        <v>14520147.737033762</v>
      </c>
      <c r="P33" s="814">
        <v>-124558.47683925182</v>
      </c>
      <c r="Q33" s="818">
        <f t="shared" si="8"/>
        <v>-7820003.3162499974</v>
      </c>
      <c r="R33" s="822"/>
      <c r="S33" s="817"/>
      <c r="T33" s="817"/>
    </row>
    <row r="34" spans="1:20" hidden="1" outlineLevel="1">
      <c r="B34" s="812">
        <f>ROW()</f>
        <v>34</v>
      </c>
      <c r="C34" s="813">
        <v>42766</v>
      </c>
      <c r="D34" s="814">
        <f t="shared" si="2"/>
        <v>66451966.469999999</v>
      </c>
      <c r="E34" s="814"/>
      <c r="F34" s="814">
        <f t="shared" si="3"/>
        <v>-30211680.350000001</v>
      </c>
      <c r="G34" s="814">
        <v>23554805.610000003</v>
      </c>
      <c r="H34" s="814">
        <f t="shared" si="0"/>
        <v>59795091.730000004</v>
      </c>
      <c r="I34" s="814">
        <f t="shared" si="5"/>
        <v>-38311986.815424338</v>
      </c>
      <c r="J34" s="814">
        <f t="shared" si="1"/>
        <v>21483104.914575666</v>
      </c>
      <c r="K34" s="814">
        <v>201333</v>
      </c>
      <c r="L34" s="814">
        <f t="shared" si="6"/>
        <v>-7367965.1499999985</v>
      </c>
      <c r="M34" s="814">
        <f t="shared" si="4"/>
        <v>14115139.764575668</v>
      </c>
      <c r="N34" s="816"/>
      <c r="O34" s="814">
        <f t="shared" si="7"/>
        <v>14447518.483944513</v>
      </c>
      <c r="P34" s="814">
        <v>-124558.47683925182</v>
      </c>
      <c r="Q34" s="818">
        <f t="shared" si="8"/>
        <v>-7771632.1016666656</v>
      </c>
      <c r="R34" s="822"/>
      <c r="S34" s="817"/>
      <c r="T34" s="817"/>
    </row>
    <row r="35" spans="1:20" hidden="1" outlineLevel="1">
      <c r="B35" s="812">
        <f>ROW()</f>
        <v>35</v>
      </c>
      <c r="C35" s="902">
        <v>42794</v>
      </c>
      <c r="D35" s="814">
        <f t="shared" si="2"/>
        <v>66451966.469999999</v>
      </c>
      <c r="E35" s="814"/>
      <c r="F35" s="814">
        <f t="shared" si="3"/>
        <v>-30211680.350000001</v>
      </c>
      <c r="G35" s="814">
        <v>23554805.610000003</v>
      </c>
      <c r="H35" s="814">
        <f t="shared" si="0"/>
        <v>59795091.730000004</v>
      </c>
      <c r="I35" s="814">
        <f t="shared" si="5"/>
        <v>-38436545.29226359</v>
      </c>
      <c r="J35" s="814">
        <f t="shared" si="1"/>
        <v>21358546.437736414</v>
      </c>
      <c r="K35" s="814">
        <v>34785</v>
      </c>
      <c r="L35" s="814">
        <f t="shared" si="6"/>
        <v>-7333180.1499999985</v>
      </c>
      <c r="M35" s="814">
        <f t="shared" si="4"/>
        <v>14025366.287736416</v>
      </c>
      <c r="N35" s="816"/>
      <c r="O35" s="814">
        <f t="shared" si="7"/>
        <v>14380639.742521921</v>
      </c>
      <c r="P35" s="814">
        <v>-124558.47683925182</v>
      </c>
      <c r="Q35" s="818">
        <f t="shared" si="8"/>
        <v>-7716810.7020833306</v>
      </c>
      <c r="R35" s="822"/>
      <c r="S35" s="817"/>
      <c r="T35" s="817"/>
    </row>
    <row r="36" spans="1:20" hidden="1" outlineLevel="1">
      <c r="B36" s="812">
        <f>ROW()</f>
        <v>36</v>
      </c>
      <c r="C36" s="813">
        <v>42825</v>
      </c>
      <c r="D36" s="814">
        <f t="shared" si="2"/>
        <v>66451966.469999999</v>
      </c>
      <c r="E36" s="814"/>
      <c r="F36" s="814">
        <f t="shared" si="3"/>
        <v>-30211680.350000001</v>
      </c>
      <c r="G36" s="814">
        <v>23554805.610000003</v>
      </c>
      <c r="H36" s="814">
        <f t="shared" si="0"/>
        <v>59795091.730000004</v>
      </c>
      <c r="I36" s="814">
        <f t="shared" si="5"/>
        <v>-38561103.769102842</v>
      </c>
      <c r="J36" s="814">
        <f t="shared" si="1"/>
        <v>21233987.960897163</v>
      </c>
      <c r="K36" s="814">
        <v>37254</v>
      </c>
      <c r="L36" s="814">
        <f t="shared" si="6"/>
        <v>-7295926.1499999985</v>
      </c>
      <c r="M36" s="814">
        <f t="shared" si="4"/>
        <v>13938061.810897164</v>
      </c>
      <c r="N36" s="816"/>
      <c r="O36" s="814">
        <f t="shared" si="7"/>
        <v>14312821.965682676</v>
      </c>
      <c r="P36" s="814">
        <v>-124558.47683925182</v>
      </c>
      <c r="Q36" s="818">
        <f t="shared" si="8"/>
        <v>-7662454.9462499991</v>
      </c>
      <c r="R36" s="822"/>
      <c r="S36" s="817"/>
      <c r="T36" s="817"/>
    </row>
    <row r="37" spans="1:20" hidden="1" outlineLevel="1">
      <c r="B37" s="812">
        <f>ROW()</f>
        <v>37</v>
      </c>
      <c r="C37" s="813">
        <v>42855</v>
      </c>
      <c r="D37" s="814">
        <f t="shared" si="2"/>
        <v>66451966.469999999</v>
      </c>
      <c r="E37" s="814"/>
      <c r="F37" s="814">
        <f t="shared" si="3"/>
        <v>-30211680.350000001</v>
      </c>
      <c r="G37" s="814">
        <v>23554805.610000003</v>
      </c>
      <c r="H37" s="814">
        <f t="shared" si="0"/>
        <v>59795091.730000004</v>
      </c>
      <c r="I37" s="814">
        <f t="shared" si="5"/>
        <v>-38685662.245942093</v>
      </c>
      <c r="J37" s="814">
        <f t="shared" si="1"/>
        <v>21109429.484057911</v>
      </c>
      <c r="K37" s="814">
        <v>43537</v>
      </c>
      <c r="L37" s="814">
        <f t="shared" si="6"/>
        <v>-7252389.1499999985</v>
      </c>
      <c r="M37" s="814">
        <f t="shared" si="4"/>
        <v>13857040.334057912</v>
      </c>
      <c r="N37" s="816"/>
      <c r="O37" s="814">
        <f t="shared" si="7"/>
        <v>14244434.515926756</v>
      </c>
      <c r="P37" s="814">
        <v>-124558.47683925182</v>
      </c>
      <c r="Q37" s="818">
        <f t="shared" si="8"/>
        <v>-7608202.708333333</v>
      </c>
      <c r="R37" s="822"/>
      <c r="S37" s="817"/>
      <c r="T37" s="817"/>
    </row>
    <row r="38" spans="1:20" hidden="1" outlineLevel="1">
      <c r="B38" s="812">
        <f>ROW()</f>
        <v>38</v>
      </c>
      <c r="C38" s="813">
        <v>42886</v>
      </c>
      <c r="D38" s="814">
        <f t="shared" si="2"/>
        <v>66451966.469999999</v>
      </c>
      <c r="E38" s="814"/>
      <c r="F38" s="814">
        <f t="shared" si="3"/>
        <v>-30211680.350000001</v>
      </c>
      <c r="G38" s="814">
        <v>23554805.610000003</v>
      </c>
      <c r="H38" s="814">
        <f t="shared" si="0"/>
        <v>59795091.730000004</v>
      </c>
      <c r="I38" s="814">
        <f t="shared" si="5"/>
        <v>-38810220.722781345</v>
      </c>
      <c r="J38" s="814">
        <f t="shared" si="1"/>
        <v>20984871.007218659</v>
      </c>
      <c r="K38" s="814">
        <f t="shared" ref="K38:K44" si="9">P38*-0.35</f>
        <v>43595.466893738136</v>
      </c>
      <c r="L38" s="814">
        <f t="shared" si="6"/>
        <v>-7208793.6831062604</v>
      </c>
      <c r="M38" s="814">
        <f t="shared" si="4"/>
        <v>13776077.324112399</v>
      </c>
      <c r="N38" s="816"/>
      <c r="O38" s="814">
        <f t="shared" si="7"/>
        <v>14175727.350208076</v>
      </c>
      <c r="P38" s="814">
        <v>-124558.47683925182</v>
      </c>
      <c r="Q38" s="818">
        <f t="shared" si="8"/>
        <v>-7553782.0967960926</v>
      </c>
      <c r="R38" s="822"/>
      <c r="S38" s="817"/>
      <c r="T38" s="817"/>
    </row>
    <row r="39" spans="1:20" hidden="1" outlineLevel="1">
      <c r="B39" s="820">
        <f>ROW()</f>
        <v>39</v>
      </c>
      <c r="C39" s="821">
        <v>42916</v>
      </c>
      <c r="D39" s="815">
        <f t="shared" si="2"/>
        <v>66451966.469999999</v>
      </c>
      <c r="E39" s="815"/>
      <c r="F39" s="814">
        <f t="shared" si="3"/>
        <v>-30211680.350000001</v>
      </c>
      <c r="G39" s="814">
        <v>23554805.610000003</v>
      </c>
      <c r="H39" s="814">
        <f t="shared" si="0"/>
        <v>59795091.730000004</v>
      </c>
      <c r="I39" s="814">
        <f t="shared" si="5"/>
        <v>-38934779.199620597</v>
      </c>
      <c r="J39" s="815">
        <f t="shared" si="1"/>
        <v>20860312.530379407</v>
      </c>
      <c r="K39" s="815">
        <f t="shared" si="9"/>
        <v>43595.466893738136</v>
      </c>
      <c r="L39" s="814">
        <f t="shared" si="6"/>
        <v>-7165198.2162125222</v>
      </c>
      <c r="M39" s="815">
        <f t="shared" si="4"/>
        <v>13695114.314166885</v>
      </c>
      <c r="N39" s="816"/>
      <c r="O39" s="814">
        <f t="shared" si="7"/>
        <v>14106793.701313876</v>
      </c>
      <c r="P39" s="814">
        <v>-124558.47683925182</v>
      </c>
      <c r="Q39" s="818">
        <f t="shared" si="8"/>
        <v>-7499239.5338510415</v>
      </c>
      <c r="R39" s="822"/>
      <c r="S39" s="817"/>
      <c r="T39" s="817"/>
    </row>
    <row r="40" spans="1:20" hidden="1" outlineLevel="1">
      <c r="B40" s="820">
        <f>ROW()</f>
        <v>40</v>
      </c>
      <c r="C40" s="821">
        <v>42947</v>
      </c>
      <c r="D40" s="815">
        <f t="shared" si="2"/>
        <v>66451966.469999999</v>
      </c>
      <c r="E40" s="815"/>
      <c r="F40" s="814">
        <f t="shared" si="3"/>
        <v>-30211680.350000001</v>
      </c>
      <c r="G40" s="814">
        <v>23554805.610000003</v>
      </c>
      <c r="H40" s="814">
        <f t="shared" si="0"/>
        <v>59795091.730000004</v>
      </c>
      <c r="I40" s="814">
        <f t="shared" si="5"/>
        <v>-39059337.676459849</v>
      </c>
      <c r="J40" s="815">
        <f t="shared" si="1"/>
        <v>20735754.053540155</v>
      </c>
      <c r="K40" s="815">
        <f t="shared" si="9"/>
        <v>43595.466893738136</v>
      </c>
      <c r="L40" s="814">
        <f t="shared" si="6"/>
        <v>-7121602.7493187841</v>
      </c>
      <c r="M40" s="815">
        <f t="shared" si="4"/>
        <v>13614151.304221371</v>
      </c>
      <c r="N40" s="816"/>
      <c r="O40" s="814">
        <f t="shared" si="7"/>
        <v>14037759.428827487</v>
      </c>
      <c r="P40" s="814">
        <v>-124558.47683925182</v>
      </c>
      <c r="Q40" s="818">
        <f t="shared" si="8"/>
        <v>-7444642.7840815121</v>
      </c>
      <c r="R40" s="822"/>
      <c r="S40" s="817"/>
      <c r="T40" s="817"/>
    </row>
    <row r="41" spans="1:20" hidden="1" outlineLevel="1">
      <c r="B41" s="820">
        <f>ROW()</f>
        <v>41</v>
      </c>
      <c r="C41" s="821">
        <v>42978</v>
      </c>
      <c r="D41" s="815">
        <f t="shared" si="2"/>
        <v>66451966.469999999</v>
      </c>
      <c r="E41" s="815"/>
      <c r="F41" s="814">
        <f t="shared" si="3"/>
        <v>-30211680.350000001</v>
      </c>
      <c r="G41" s="814">
        <v>23554805.610000003</v>
      </c>
      <c r="H41" s="814">
        <f t="shared" si="0"/>
        <v>59795091.730000004</v>
      </c>
      <c r="I41" s="814">
        <f t="shared" si="5"/>
        <v>-39183896.153299101</v>
      </c>
      <c r="J41" s="815">
        <f t="shared" si="1"/>
        <v>20611195.576700903</v>
      </c>
      <c r="K41" s="815">
        <f t="shared" si="9"/>
        <v>43595.466893738136</v>
      </c>
      <c r="L41" s="814">
        <f t="shared" si="6"/>
        <v>-7078007.282425046</v>
      </c>
      <c r="M41" s="815">
        <f t="shared" si="4"/>
        <v>13533188.294275858</v>
      </c>
      <c r="N41" s="816"/>
      <c r="O41" s="814">
        <f t="shared" si="7"/>
        <v>13968488.417332241</v>
      </c>
      <c r="P41" s="814">
        <v>-124558.47683925182</v>
      </c>
      <c r="Q41" s="818">
        <f t="shared" si="8"/>
        <v>-7389918.5504041724</v>
      </c>
      <c r="R41" s="822"/>
      <c r="S41" s="817"/>
      <c r="T41" s="817"/>
    </row>
    <row r="42" spans="1:20" hidden="1" outlineLevel="1">
      <c r="B42" s="820">
        <f>ROW()</f>
        <v>42</v>
      </c>
      <c r="C42" s="821">
        <v>43008</v>
      </c>
      <c r="D42" s="815">
        <f t="shared" si="2"/>
        <v>66451966.469999999</v>
      </c>
      <c r="E42" s="815"/>
      <c r="F42" s="814">
        <f t="shared" si="3"/>
        <v>-30211680.350000001</v>
      </c>
      <c r="G42" s="814">
        <v>23554805.610000003</v>
      </c>
      <c r="H42" s="814">
        <f t="shared" si="0"/>
        <v>59795091.730000004</v>
      </c>
      <c r="I42" s="814">
        <f t="shared" si="5"/>
        <v>-39308454.630138353</v>
      </c>
      <c r="J42" s="815">
        <f t="shared" si="1"/>
        <v>20486637.099861652</v>
      </c>
      <c r="K42" s="815">
        <f t="shared" si="9"/>
        <v>43595.466893738136</v>
      </c>
      <c r="L42" s="814">
        <f t="shared" si="6"/>
        <v>-7034411.8155313078</v>
      </c>
      <c r="M42" s="815">
        <f t="shared" si="4"/>
        <v>13452225.284330344</v>
      </c>
      <c r="N42" s="816"/>
      <c r="O42" s="814">
        <f t="shared" si="7"/>
        <v>13898941.963911474</v>
      </c>
      <c r="P42" s="814">
        <v>-124558.47683925182</v>
      </c>
      <c r="Q42" s="818">
        <f t="shared" si="8"/>
        <v>-7335045.9969856879</v>
      </c>
      <c r="R42" s="822"/>
      <c r="S42" s="817"/>
      <c r="T42" s="817"/>
    </row>
    <row r="43" spans="1:20" hidden="1" outlineLevel="1">
      <c r="A43" s="819"/>
      <c r="B43" s="812">
        <f>ROW()</f>
        <v>43</v>
      </c>
      <c r="C43" s="813">
        <v>43039</v>
      </c>
      <c r="D43" s="814">
        <f t="shared" si="2"/>
        <v>66451966.469999999</v>
      </c>
      <c r="E43" s="814"/>
      <c r="F43" s="814">
        <f t="shared" si="3"/>
        <v>-30211680.350000001</v>
      </c>
      <c r="G43" s="814">
        <v>23554805.610000003</v>
      </c>
      <c r="H43" s="814">
        <f t="shared" si="0"/>
        <v>59795091.730000004</v>
      </c>
      <c r="I43" s="814">
        <f t="shared" si="5"/>
        <v>-39433013.106977604</v>
      </c>
      <c r="J43" s="815">
        <f t="shared" si="1"/>
        <v>20362078.6230224</v>
      </c>
      <c r="K43" s="815">
        <f t="shared" si="9"/>
        <v>43595.466893738136</v>
      </c>
      <c r="L43" s="814">
        <f t="shared" si="6"/>
        <v>-6990816.3486375697</v>
      </c>
      <c r="M43" s="815">
        <f t="shared" si="4"/>
        <v>13371262.27438483</v>
      </c>
      <c r="N43" s="816"/>
      <c r="O43" s="814">
        <f t="shared" si="7"/>
        <v>13829439.534398519</v>
      </c>
      <c r="P43" s="814">
        <v>-124558.47683925182</v>
      </c>
      <c r="Q43" s="818">
        <f t="shared" si="8"/>
        <v>-7279989.9496593922</v>
      </c>
      <c r="R43" s="822"/>
      <c r="S43" s="817"/>
      <c r="T43" s="817"/>
    </row>
    <row r="44" spans="1:20" hidden="1" outlineLevel="1">
      <c r="A44" s="640" t="s">
        <v>850</v>
      </c>
      <c r="B44" s="812">
        <f>ROW()</f>
        <v>44</v>
      </c>
      <c r="C44" s="813">
        <v>43069</v>
      </c>
      <c r="D44" s="814">
        <f t="shared" si="2"/>
        <v>66451966.469999999</v>
      </c>
      <c r="E44" s="814"/>
      <c r="F44" s="814">
        <f t="shared" si="3"/>
        <v>-30211680.350000001</v>
      </c>
      <c r="G44" s="814">
        <v>23554805.610000003</v>
      </c>
      <c r="H44" s="814">
        <f t="shared" si="0"/>
        <v>59795091.730000004</v>
      </c>
      <c r="I44" s="814">
        <f t="shared" si="5"/>
        <v>-39557571.583816856</v>
      </c>
      <c r="J44" s="815">
        <f t="shared" si="1"/>
        <v>20237520.146183148</v>
      </c>
      <c r="K44" s="815">
        <f t="shared" si="9"/>
        <v>43595.466893738136</v>
      </c>
      <c r="L44" s="814">
        <f t="shared" si="6"/>
        <v>-6947220.8817438316</v>
      </c>
      <c r="M44" s="815">
        <f t="shared" si="4"/>
        <v>13290299.264439316</v>
      </c>
      <c r="N44" s="816"/>
      <c r="O44" s="814">
        <f t="shared" si="7"/>
        <v>13760139.97712671</v>
      </c>
      <c r="P44" s="814">
        <v>-124558.47683925182</v>
      </c>
      <c r="Q44" s="818">
        <f t="shared" si="8"/>
        <v>-7224731.0300919488</v>
      </c>
      <c r="R44" s="822"/>
      <c r="S44" s="817"/>
      <c r="T44" s="817"/>
    </row>
    <row r="45" spans="1:20" hidden="1" outlineLevel="1">
      <c r="A45" s="62" t="s">
        <v>851</v>
      </c>
      <c r="B45" s="812">
        <f>ROW()</f>
        <v>45</v>
      </c>
      <c r="C45" s="813">
        <v>43100</v>
      </c>
      <c r="D45" s="814">
        <v>66406534.449999996</v>
      </c>
      <c r="E45" s="903" t="s">
        <v>852</v>
      </c>
      <c r="F45" s="814">
        <f t="shared" si="3"/>
        <v>-30211680.350000001</v>
      </c>
      <c r="G45" s="814">
        <v>23554805.610000003</v>
      </c>
      <c r="H45" s="814">
        <f t="shared" si="0"/>
        <v>59749659.709999993</v>
      </c>
      <c r="I45" s="814">
        <f>I44-$I$16</f>
        <v>-39682130.060656108</v>
      </c>
      <c r="J45" s="815">
        <f t="shared" si="1"/>
        <v>20067529.649343885</v>
      </c>
      <c r="K45" s="815">
        <v>121661</v>
      </c>
      <c r="L45" s="814">
        <f>L44+K45</f>
        <v>-6825559.8817438316</v>
      </c>
      <c r="M45" s="815">
        <f t="shared" si="4"/>
        <v>13241969.767600054</v>
      </c>
      <c r="N45" s="816"/>
      <c r="O45" s="814">
        <f t="shared" si="7"/>
        <v>13692341.146808803</v>
      </c>
      <c r="P45" s="814">
        <v>-124558.47683925182</v>
      </c>
      <c r="Q45" s="818">
        <f t="shared" si="8"/>
        <v>-7166078.3827372687</v>
      </c>
      <c r="R45" s="822"/>
      <c r="S45" s="817"/>
      <c r="T45" s="817"/>
    </row>
    <row r="46" spans="1:20" collapsed="1">
      <c r="B46" s="812">
        <f>ROW()</f>
        <v>46</v>
      </c>
      <c r="C46" s="813">
        <v>43131</v>
      </c>
      <c r="D46" s="814">
        <f t="shared" si="2"/>
        <v>66406534.449999996</v>
      </c>
      <c r="E46" s="814"/>
      <c r="F46" s="814">
        <f t="shared" si="3"/>
        <v>-30211680.350000001</v>
      </c>
      <c r="G46" s="814">
        <v>23554805.610000003</v>
      </c>
      <c r="H46" s="814">
        <f t="shared" si="0"/>
        <v>59749659.709999993</v>
      </c>
      <c r="I46" s="814">
        <f>I45+P46</f>
        <v>-40239561.439804547</v>
      </c>
      <c r="J46" s="814">
        <f>SUM(H46:I46)</f>
        <v>19510098.270195447</v>
      </c>
      <c r="K46" s="814">
        <v>113759</v>
      </c>
      <c r="L46" s="814">
        <f>L45+K46</f>
        <v>-6711800.8817438316</v>
      </c>
      <c r="M46" s="814">
        <f t="shared" si="4"/>
        <v>12798297.388451615</v>
      </c>
      <c r="N46" s="816"/>
      <c r="O46" s="814">
        <f t="shared" si="7"/>
        <v>13604289.569728017</v>
      </c>
      <c r="P46" s="814">
        <f>-J45/36</f>
        <v>-557431.37914844125</v>
      </c>
      <c r="Q46" s="818">
        <f t="shared" si="8"/>
        <v>-7107749.1103825876</v>
      </c>
      <c r="R46" s="819"/>
      <c r="S46" s="817"/>
      <c r="T46" s="817"/>
    </row>
    <row r="47" spans="1:20">
      <c r="B47" s="812">
        <f>ROW()</f>
        <v>47</v>
      </c>
      <c r="C47" s="902">
        <v>43159</v>
      </c>
      <c r="D47" s="814">
        <f t="shared" si="2"/>
        <v>66406534.449999996</v>
      </c>
      <c r="E47" s="814"/>
      <c r="F47" s="814">
        <f t="shared" si="3"/>
        <v>-30211680.350000001</v>
      </c>
      <c r="G47" s="814">
        <v>23554805.610000003</v>
      </c>
      <c r="H47" s="814">
        <f t="shared" si="0"/>
        <v>59749659.709999993</v>
      </c>
      <c r="I47" s="814">
        <f t="shared" ref="I47:I81" si="10">I46+P47</f>
        <v>-40796992.818952985</v>
      </c>
      <c r="J47" s="814">
        <f t="shared" si="1"/>
        <v>18952666.891047008</v>
      </c>
      <c r="K47" s="814">
        <f>+K46</f>
        <v>113759</v>
      </c>
      <c r="L47" s="814">
        <f t="shared" si="6"/>
        <v>-6598041.8817438316</v>
      </c>
      <c r="M47" s="814">
        <f t="shared" si="4"/>
        <v>12354625.009303177</v>
      </c>
      <c r="N47" s="816"/>
      <c r="O47" s="814">
        <f t="shared" si="7"/>
        <v>13479806.917454794</v>
      </c>
      <c r="P47" s="814">
        <f>P46</f>
        <v>-557431.37914844125</v>
      </c>
      <c r="Q47" s="818">
        <f t="shared" si="8"/>
        <v>-7049778.1713612415</v>
      </c>
      <c r="R47" s="819"/>
      <c r="S47" s="817"/>
      <c r="T47" s="817"/>
    </row>
    <row r="48" spans="1:20">
      <c r="B48" s="812">
        <f>ROW()</f>
        <v>48</v>
      </c>
      <c r="C48" s="813">
        <v>43190</v>
      </c>
      <c r="D48" s="814">
        <f t="shared" si="2"/>
        <v>66406534.449999996</v>
      </c>
      <c r="E48" s="814"/>
      <c r="F48" s="814">
        <f t="shared" si="3"/>
        <v>-30211680.350000001</v>
      </c>
      <c r="G48" s="814">
        <v>23554805.610000003</v>
      </c>
      <c r="H48" s="814">
        <f t="shared" si="0"/>
        <v>59749659.709999993</v>
      </c>
      <c r="I48" s="814">
        <f t="shared" si="10"/>
        <v>-41354424.198101424</v>
      </c>
      <c r="J48" s="814">
        <f t="shared" si="1"/>
        <v>18395235.51189857</v>
      </c>
      <c r="K48" s="814">
        <f t="shared" ref="K48:K52" si="11">+K47</f>
        <v>113759</v>
      </c>
      <c r="L48" s="814">
        <f t="shared" si="6"/>
        <v>-6484282.8817438316</v>
      </c>
      <c r="M48" s="814">
        <f t="shared" si="4"/>
        <v>11910952.630154738</v>
      </c>
      <c r="N48" s="816"/>
      <c r="O48" s="814">
        <f t="shared" si="7"/>
        <v>13325729.814989142</v>
      </c>
      <c r="P48" s="814">
        <f t="shared" ref="P48:P81" si="12">P47</f>
        <v>-557431.37914844125</v>
      </c>
      <c r="Q48" s="818">
        <f t="shared" si="8"/>
        <v>-6985328.9406732284</v>
      </c>
      <c r="R48" s="819"/>
      <c r="S48" s="817"/>
      <c r="T48" s="817"/>
    </row>
    <row r="49" spans="2:20">
      <c r="B49" s="812">
        <f>ROW()</f>
        <v>49</v>
      </c>
      <c r="C49" s="813">
        <v>43220</v>
      </c>
      <c r="D49" s="814">
        <f t="shared" si="2"/>
        <v>66406534.449999996</v>
      </c>
      <c r="E49" s="814"/>
      <c r="F49" s="814">
        <f t="shared" si="3"/>
        <v>-30211680.350000001</v>
      </c>
      <c r="G49" s="814">
        <v>23554805.610000003</v>
      </c>
      <c r="H49" s="814">
        <f t="shared" si="0"/>
        <v>59749659.709999993</v>
      </c>
      <c r="I49" s="814">
        <f t="shared" si="10"/>
        <v>-41911855.577249862</v>
      </c>
      <c r="J49" s="814">
        <f t="shared" si="1"/>
        <v>17837804.132750131</v>
      </c>
      <c r="K49" s="814">
        <f t="shared" si="11"/>
        <v>113759</v>
      </c>
      <c r="L49" s="814">
        <f t="shared" si="6"/>
        <v>-6370523.8817438316</v>
      </c>
      <c r="M49" s="814">
        <f t="shared" si="4"/>
        <v>11467280.2510063</v>
      </c>
      <c r="N49" s="816"/>
      <c r="O49" s="814">
        <f t="shared" si="7"/>
        <v>13141693.595664391</v>
      </c>
      <c r="P49" s="814">
        <f t="shared" si="12"/>
        <v>-557431.37914844125</v>
      </c>
      <c r="Q49" s="818">
        <f t="shared" si="8"/>
        <v>-6914766.0849852143</v>
      </c>
      <c r="R49" s="819"/>
      <c r="S49" s="817"/>
      <c r="T49" s="817"/>
    </row>
    <row r="50" spans="2:20">
      <c r="B50" s="812">
        <f>ROW()</f>
        <v>50</v>
      </c>
      <c r="C50" s="813">
        <v>43251</v>
      </c>
      <c r="D50" s="814">
        <f t="shared" si="2"/>
        <v>66406534.449999996</v>
      </c>
      <c r="E50" s="814"/>
      <c r="F50" s="814">
        <f t="shared" si="3"/>
        <v>-30211680.350000001</v>
      </c>
      <c r="G50" s="814">
        <v>23554805.610000003</v>
      </c>
      <c r="H50" s="814">
        <f t="shared" si="0"/>
        <v>59749659.709999993</v>
      </c>
      <c r="I50" s="814">
        <f t="shared" si="10"/>
        <v>-42469286.956398301</v>
      </c>
      <c r="J50" s="814">
        <f t="shared" si="1"/>
        <v>17280372.753601693</v>
      </c>
      <c r="K50" s="814">
        <f t="shared" si="11"/>
        <v>113759</v>
      </c>
      <c r="L50" s="814">
        <f t="shared" si="6"/>
        <v>-6256764.8817438316</v>
      </c>
      <c r="M50" s="814">
        <f t="shared" si="4"/>
        <v>11023607.871857861</v>
      </c>
      <c r="N50" s="816"/>
      <c r="O50" s="814">
        <f t="shared" si="7"/>
        <v>12927434.031693302</v>
      </c>
      <c r="P50" s="814">
        <f t="shared" si="12"/>
        <v>-557431.37914844125</v>
      </c>
      <c r="Q50" s="818">
        <f t="shared" si="8"/>
        <v>-6838353.8320844397</v>
      </c>
      <c r="R50" s="819"/>
      <c r="S50" s="817"/>
      <c r="T50" s="817"/>
    </row>
    <row r="51" spans="2:20">
      <c r="B51" s="812">
        <f>ROW()</f>
        <v>51</v>
      </c>
      <c r="C51" s="813">
        <v>43281</v>
      </c>
      <c r="D51" s="814">
        <f t="shared" si="2"/>
        <v>66406534.449999996</v>
      </c>
      <c r="E51" s="814"/>
      <c r="F51" s="814">
        <f t="shared" si="3"/>
        <v>-30211680.350000001</v>
      </c>
      <c r="G51" s="814">
        <v>23554805.610000003</v>
      </c>
      <c r="H51" s="814">
        <f t="shared" si="0"/>
        <v>59749659.709999993</v>
      </c>
      <c r="I51" s="814">
        <f t="shared" si="10"/>
        <v>-43026718.335546739</v>
      </c>
      <c r="J51" s="814">
        <f t="shared" si="1"/>
        <v>16722941.374453254</v>
      </c>
      <c r="K51" s="814">
        <f t="shared" si="11"/>
        <v>113759</v>
      </c>
      <c r="L51" s="814">
        <f t="shared" si="6"/>
        <v>-6143005.8817438316</v>
      </c>
      <c r="M51" s="814">
        <f t="shared" si="4"/>
        <v>10579935.492709422</v>
      </c>
      <c r="N51" s="816"/>
      <c r="O51" s="814">
        <f t="shared" si="7"/>
        <v>12682948.686955303</v>
      </c>
      <c r="P51" s="814">
        <f t="shared" si="12"/>
        <v>-557431.37914844125</v>
      </c>
      <c r="Q51" s="818">
        <f t="shared" si="8"/>
        <v>-6756094.6180914761</v>
      </c>
      <c r="R51" s="819"/>
      <c r="S51" s="817"/>
      <c r="T51" s="817"/>
    </row>
    <row r="52" spans="2:20">
      <c r="B52" s="812">
        <f>ROW()</f>
        <v>52</v>
      </c>
      <c r="C52" s="813">
        <v>43312</v>
      </c>
      <c r="D52" s="814">
        <f t="shared" si="2"/>
        <v>66406534.449999996</v>
      </c>
      <c r="E52" s="814"/>
      <c r="F52" s="814">
        <f t="shared" si="3"/>
        <v>-30211680.350000001</v>
      </c>
      <c r="G52" s="814">
        <v>23554805.610000003</v>
      </c>
      <c r="H52" s="814">
        <f t="shared" si="0"/>
        <v>59749659.709999993</v>
      </c>
      <c r="I52" s="814">
        <f t="shared" si="10"/>
        <v>-43584149.714695178</v>
      </c>
      <c r="J52" s="814">
        <f t="shared" si="1"/>
        <v>16165509.995304815</v>
      </c>
      <c r="K52" s="814">
        <f t="shared" si="11"/>
        <v>113759</v>
      </c>
      <c r="L52" s="814">
        <f t="shared" si="6"/>
        <v>-6029246.8817438316</v>
      </c>
      <c r="M52" s="814">
        <f t="shared" si="4"/>
        <v>10136263.113560984</v>
      </c>
      <c r="N52" s="816"/>
      <c r="O52" s="814">
        <f t="shared" si="7"/>
        <v>12408237.561450392</v>
      </c>
      <c r="P52" s="814">
        <f t="shared" si="12"/>
        <v>-557431.37914844125</v>
      </c>
      <c r="Q52" s="818">
        <f t="shared" si="8"/>
        <v>-6667988.4430063255</v>
      </c>
      <c r="R52" s="819"/>
      <c r="S52" s="817"/>
      <c r="T52" s="817"/>
    </row>
    <row r="53" spans="2:20">
      <c r="B53" s="812">
        <f>ROW()</f>
        <v>53</v>
      </c>
      <c r="C53" s="813">
        <v>43343</v>
      </c>
      <c r="D53" s="814">
        <f t="shared" si="2"/>
        <v>66406534.449999996</v>
      </c>
      <c r="E53" s="814"/>
      <c r="F53" s="814">
        <f t="shared" si="3"/>
        <v>-30211680.350000001</v>
      </c>
      <c r="G53" s="814">
        <v>23554805.610000003</v>
      </c>
      <c r="H53" s="814">
        <f t="shared" si="0"/>
        <v>59749659.709999993</v>
      </c>
      <c r="I53" s="814">
        <f t="shared" si="10"/>
        <v>-44141581.093843617</v>
      </c>
      <c r="J53" s="814">
        <f t="shared" si="1"/>
        <v>15608078.616156377</v>
      </c>
      <c r="K53" s="814">
        <v>120265</v>
      </c>
      <c r="L53" s="814">
        <f t="shared" si="6"/>
        <v>-5908981.8817438316</v>
      </c>
      <c r="M53" s="814">
        <f t="shared" si="4"/>
        <v>9699096.7344125453</v>
      </c>
      <c r="N53" s="816"/>
      <c r="O53" s="814">
        <f t="shared" si="7"/>
        <v>12103571.738511905</v>
      </c>
      <c r="P53" s="814">
        <f t="shared" si="12"/>
        <v>-557431.37914844125</v>
      </c>
      <c r="Q53" s="818">
        <f t="shared" si="8"/>
        <v>-6573764.2234956501</v>
      </c>
      <c r="R53" s="819"/>
      <c r="S53" s="817"/>
      <c r="T53" s="817"/>
    </row>
    <row r="54" spans="2:20">
      <c r="B54" s="812">
        <f>ROW()</f>
        <v>54</v>
      </c>
      <c r="C54" s="813">
        <v>43373</v>
      </c>
      <c r="D54" s="814">
        <f t="shared" si="2"/>
        <v>66406534.449999996</v>
      </c>
      <c r="E54" s="814"/>
      <c r="F54" s="814">
        <f t="shared" si="3"/>
        <v>-30211680.350000001</v>
      </c>
      <c r="G54" s="814">
        <v>23554805.610000003</v>
      </c>
      <c r="H54" s="814">
        <f t="shared" si="0"/>
        <v>59749659.709999993</v>
      </c>
      <c r="I54" s="814">
        <f t="shared" si="10"/>
        <v>-44699012.472992055</v>
      </c>
      <c r="J54" s="814">
        <f t="shared" si="1"/>
        <v>15050647.237007938</v>
      </c>
      <c r="K54" s="814">
        <v>113759</v>
      </c>
      <c r="L54" s="814">
        <f t="shared" si="6"/>
        <v>-5795222.8817438316</v>
      </c>
      <c r="M54" s="814">
        <f t="shared" si="4"/>
        <v>9255424.3552641068</v>
      </c>
      <c r="N54" s="816"/>
      <c r="O54" s="814">
        <f t="shared" si="7"/>
        <v>11768951.218139842</v>
      </c>
      <c r="P54" s="814">
        <f t="shared" si="12"/>
        <v>-557431.37914844125</v>
      </c>
      <c r="Q54" s="818">
        <f t="shared" si="8"/>
        <v>-6473421.9595594555</v>
      </c>
      <c r="R54" s="819"/>
      <c r="S54" s="817"/>
      <c r="T54" s="817"/>
    </row>
    <row r="55" spans="2:20">
      <c r="B55" s="812">
        <f>ROW()</f>
        <v>55</v>
      </c>
      <c r="C55" s="813">
        <v>43404</v>
      </c>
      <c r="D55" s="814">
        <f t="shared" si="2"/>
        <v>66406534.449999996</v>
      </c>
      <c r="E55" s="814"/>
      <c r="F55" s="814">
        <f t="shared" si="3"/>
        <v>-30211680.350000001</v>
      </c>
      <c r="G55" s="814">
        <v>23554805.610000003</v>
      </c>
      <c r="H55" s="814">
        <f t="shared" si="0"/>
        <v>59749659.709999993</v>
      </c>
      <c r="I55" s="814">
        <f t="shared" si="10"/>
        <v>-45256443.852140494</v>
      </c>
      <c r="J55" s="814">
        <f t="shared" si="1"/>
        <v>14493215.8578595</v>
      </c>
      <c r="K55" s="814">
        <f>+K54</f>
        <v>113759</v>
      </c>
      <c r="L55" s="814">
        <f t="shared" si="6"/>
        <v>-5681463.8817438316</v>
      </c>
      <c r="M55" s="814">
        <f t="shared" si="4"/>
        <v>8811751.9761156682</v>
      </c>
      <c r="N55" s="816"/>
      <c r="O55" s="814">
        <f t="shared" si="7"/>
        <v>11404104.917000866</v>
      </c>
      <c r="P55" s="814">
        <f t="shared" si="12"/>
        <v>-557431.37914844125</v>
      </c>
      <c r="Q55" s="818">
        <f t="shared" si="8"/>
        <v>-6367232.734531071</v>
      </c>
      <c r="R55" s="819"/>
      <c r="S55" s="817"/>
      <c r="T55" s="817"/>
    </row>
    <row r="56" spans="2:20">
      <c r="B56" s="812">
        <f>ROW()</f>
        <v>56</v>
      </c>
      <c r="C56" s="813">
        <v>43434</v>
      </c>
      <c r="D56" s="814">
        <f t="shared" si="2"/>
        <v>66406534.449999996</v>
      </c>
      <c r="E56" s="814"/>
      <c r="F56" s="814">
        <f t="shared" si="3"/>
        <v>-30211680.350000001</v>
      </c>
      <c r="G56" s="814">
        <v>23554805.610000003</v>
      </c>
      <c r="H56" s="814">
        <f t="shared" si="0"/>
        <v>59749659.709999993</v>
      </c>
      <c r="I56" s="814">
        <f t="shared" si="10"/>
        <v>-45813875.231288932</v>
      </c>
      <c r="J56" s="814">
        <f t="shared" si="1"/>
        <v>13935784.478711061</v>
      </c>
      <c r="K56" s="814">
        <f>+K55</f>
        <v>113759</v>
      </c>
      <c r="L56" s="814">
        <f t="shared" si="6"/>
        <v>-5567704.8817438316</v>
      </c>
      <c r="M56" s="814">
        <f t="shared" si="4"/>
        <v>8368079.5969672296</v>
      </c>
      <c r="N56" s="816"/>
      <c r="O56" s="814">
        <f t="shared" si="7"/>
        <v>11009032.835094981</v>
      </c>
      <c r="P56" s="814">
        <f t="shared" si="12"/>
        <v>-557431.37914844125</v>
      </c>
      <c r="Q56" s="818">
        <f t="shared" si="8"/>
        <v>-6255196.5484104985</v>
      </c>
      <c r="R56" s="819"/>
      <c r="S56" s="817"/>
      <c r="T56" s="817"/>
    </row>
    <row r="57" spans="2:20" s="819" customFormat="1">
      <c r="B57" s="812">
        <f>ROW()</f>
        <v>57</v>
      </c>
      <c r="C57" s="813">
        <v>43465</v>
      </c>
      <c r="D57" s="814">
        <f t="shared" si="2"/>
        <v>66406534.449999996</v>
      </c>
      <c r="E57" s="814"/>
      <c r="F57" s="814">
        <f t="shared" si="3"/>
        <v>-30211680.350000001</v>
      </c>
      <c r="G57" s="814">
        <v>23554805.610000003</v>
      </c>
      <c r="H57" s="814">
        <f t="shared" si="0"/>
        <v>59749659.709999993</v>
      </c>
      <c r="I57" s="814">
        <f t="shared" si="10"/>
        <v>-46371306.610437371</v>
      </c>
      <c r="J57" s="814">
        <f t="shared" si="1"/>
        <v>13378353.099562623</v>
      </c>
      <c r="K57" s="814">
        <v>114689</v>
      </c>
      <c r="L57" s="814">
        <f t="shared" si="6"/>
        <v>-5453015.8817438316</v>
      </c>
      <c r="M57" s="814">
        <f t="shared" si="4"/>
        <v>7925337.217818791</v>
      </c>
      <c r="N57" s="816"/>
      <c r="O57" s="814">
        <f t="shared" si="7"/>
        <v>10582413.992709426</v>
      </c>
      <c r="P57" s="814">
        <f t="shared" si="12"/>
        <v>-557431.37914844125</v>
      </c>
      <c r="Q57" s="818">
        <f t="shared" si="8"/>
        <v>-6140527.3817438325</v>
      </c>
      <c r="S57" s="901"/>
      <c r="T57" s="901"/>
    </row>
    <row r="58" spans="2:20">
      <c r="B58" s="812">
        <f>ROW()</f>
        <v>58</v>
      </c>
      <c r="C58" s="813">
        <v>43496</v>
      </c>
      <c r="D58" s="814">
        <f t="shared" si="2"/>
        <v>66406534.449999996</v>
      </c>
      <c r="E58" s="814"/>
      <c r="F58" s="814">
        <f t="shared" si="3"/>
        <v>-30211680.350000001</v>
      </c>
      <c r="G58" s="814">
        <v>23554805.610000003</v>
      </c>
      <c r="H58" s="814">
        <f t="shared" si="0"/>
        <v>59749659.709999993</v>
      </c>
      <c r="I58" s="814">
        <f t="shared" si="10"/>
        <v>-46928737.989585809</v>
      </c>
      <c r="J58" s="814">
        <f t="shared" si="1"/>
        <v>12820921.720414184</v>
      </c>
      <c r="K58" s="814">
        <v>118234</v>
      </c>
      <c r="L58" s="814">
        <f t="shared" si="6"/>
        <v>-5334781.8817438316</v>
      </c>
      <c r="M58" s="814">
        <f t="shared" si="4"/>
        <v>7486139.8386703525</v>
      </c>
      <c r="N58" s="816"/>
      <c r="O58" s="814">
        <f t="shared" si="7"/>
        <v>10139547.738560988</v>
      </c>
      <c r="P58" s="814">
        <f t="shared" si="12"/>
        <v>-557431.37914844125</v>
      </c>
      <c r="Q58" s="818">
        <f t="shared" si="8"/>
        <v>-6025962.2567438325</v>
      </c>
      <c r="R58" s="819"/>
      <c r="S58" s="817"/>
      <c r="T58" s="817"/>
    </row>
    <row r="59" spans="2:20">
      <c r="B59" s="820">
        <f>ROW()</f>
        <v>59</v>
      </c>
      <c r="C59" s="823">
        <v>43524</v>
      </c>
      <c r="D59" s="815">
        <f t="shared" si="2"/>
        <v>66406534.449999996</v>
      </c>
      <c r="E59" s="815"/>
      <c r="F59" s="814">
        <f t="shared" si="3"/>
        <v>-30211680.350000001</v>
      </c>
      <c r="G59" s="814">
        <v>23554805.610000003</v>
      </c>
      <c r="H59" s="814">
        <f t="shared" si="0"/>
        <v>59749659.709999993</v>
      </c>
      <c r="I59" s="814">
        <f t="shared" si="10"/>
        <v>-47486169.368734248</v>
      </c>
      <c r="J59" s="815">
        <f t="shared" si="1"/>
        <v>12263490.341265745</v>
      </c>
      <c r="K59" s="815">
        <v>114689</v>
      </c>
      <c r="L59" s="814">
        <f t="shared" si="6"/>
        <v>-5220092.8817438316</v>
      </c>
      <c r="M59" s="815">
        <f t="shared" si="4"/>
        <v>7043397.4595219139</v>
      </c>
      <c r="N59" s="816"/>
      <c r="O59" s="814">
        <f t="shared" si="7"/>
        <v>9696906.6927458812</v>
      </c>
      <c r="P59" s="814">
        <f t="shared" si="12"/>
        <v>-557431.37914844125</v>
      </c>
      <c r="Q59" s="818">
        <f t="shared" si="8"/>
        <v>-5911171.9234104985</v>
      </c>
      <c r="S59" s="817"/>
      <c r="T59" s="817"/>
    </row>
    <row r="60" spans="2:20">
      <c r="B60" s="820">
        <f>ROW()</f>
        <v>60</v>
      </c>
      <c r="C60" s="821">
        <v>43555</v>
      </c>
      <c r="D60" s="815">
        <f t="shared" si="2"/>
        <v>66406534.449999996</v>
      </c>
      <c r="E60" s="815"/>
      <c r="F60" s="814">
        <f t="shared" si="3"/>
        <v>-30211680.350000001</v>
      </c>
      <c r="G60" s="814">
        <v>23554805.610000003</v>
      </c>
      <c r="H60" s="814">
        <f t="shared" si="0"/>
        <v>59749659.709999993</v>
      </c>
      <c r="I60" s="814">
        <f t="shared" si="10"/>
        <v>-48043600.747882687</v>
      </c>
      <c r="J60" s="815">
        <f t="shared" si="1"/>
        <v>11706058.962117307</v>
      </c>
      <c r="K60" s="815">
        <f>+K59</f>
        <v>114689</v>
      </c>
      <c r="L60" s="814">
        <f t="shared" si="6"/>
        <v>-5105403.8817438316</v>
      </c>
      <c r="M60" s="815">
        <f t="shared" si="4"/>
        <v>6600655.0803734753</v>
      </c>
      <c r="N60" s="816"/>
      <c r="O60" s="814">
        <f t="shared" si="7"/>
        <v>9254343.1469307747</v>
      </c>
      <c r="P60" s="814">
        <f t="shared" si="12"/>
        <v>-557431.37914844125</v>
      </c>
      <c r="Q60" s="818">
        <f t="shared" si="8"/>
        <v>-5796304.0900771655</v>
      </c>
      <c r="S60" s="817"/>
      <c r="T60" s="817"/>
    </row>
    <row r="61" spans="2:20">
      <c r="B61" s="820">
        <f>ROW()</f>
        <v>61</v>
      </c>
      <c r="C61" s="821">
        <v>43585</v>
      </c>
      <c r="D61" s="815">
        <f t="shared" si="2"/>
        <v>66406534.449999996</v>
      </c>
      <c r="E61" s="815"/>
      <c r="F61" s="814">
        <f t="shared" si="3"/>
        <v>-30211680.350000001</v>
      </c>
      <c r="G61" s="814">
        <v>23554805.610000003</v>
      </c>
      <c r="H61" s="814">
        <f t="shared" si="0"/>
        <v>59749659.709999993</v>
      </c>
      <c r="I61" s="814">
        <f t="shared" si="10"/>
        <v>-48601032.127031125</v>
      </c>
      <c r="J61" s="815">
        <f t="shared" si="1"/>
        <v>11148627.582968868</v>
      </c>
      <c r="K61" s="815">
        <f t="shared" ref="K61:K80" si="13">+K60</f>
        <v>114689</v>
      </c>
      <c r="L61" s="814">
        <f t="shared" si="6"/>
        <v>-4990714.8817438316</v>
      </c>
      <c r="M61" s="815">
        <f t="shared" si="4"/>
        <v>6157912.7012250368</v>
      </c>
      <c r="N61" s="816"/>
      <c r="O61" s="814">
        <f t="shared" si="7"/>
        <v>8811857.1011156701</v>
      </c>
      <c r="P61" s="814">
        <f t="shared" si="12"/>
        <v>-557431.37914844125</v>
      </c>
      <c r="Q61" s="818">
        <f t="shared" si="8"/>
        <v>-5681358.7567438325</v>
      </c>
      <c r="S61" s="817"/>
      <c r="T61" s="817"/>
    </row>
    <row r="62" spans="2:20">
      <c r="B62" s="820">
        <f>ROW()</f>
        <v>62</v>
      </c>
      <c r="C62" s="821">
        <v>43616</v>
      </c>
      <c r="D62" s="815">
        <f t="shared" si="2"/>
        <v>66406534.449999996</v>
      </c>
      <c r="E62" s="815"/>
      <c r="F62" s="814">
        <f t="shared" si="3"/>
        <v>-30211680.350000001</v>
      </c>
      <c r="G62" s="814">
        <v>23554805.610000003</v>
      </c>
      <c r="H62" s="814">
        <f t="shared" si="0"/>
        <v>59749659.709999993</v>
      </c>
      <c r="I62" s="814">
        <f t="shared" si="10"/>
        <v>-49158463.506179564</v>
      </c>
      <c r="J62" s="815">
        <f t="shared" si="1"/>
        <v>10591196.20382043</v>
      </c>
      <c r="K62" s="815">
        <f t="shared" si="13"/>
        <v>114689</v>
      </c>
      <c r="L62" s="814">
        <f t="shared" si="6"/>
        <v>-4876025.8817438316</v>
      </c>
      <c r="M62" s="815">
        <f t="shared" si="4"/>
        <v>5715170.3220765982</v>
      </c>
      <c r="N62" s="816"/>
      <c r="O62" s="814">
        <f t="shared" si="7"/>
        <v>8369448.5553005645</v>
      </c>
      <c r="P62" s="814">
        <f t="shared" si="12"/>
        <v>-557431.37914844125</v>
      </c>
      <c r="Q62" s="818">
        <f t="shared" si="8"/>
        <v>-5566335.9234104995</v>
      </c>
      <c r="S62" s="817"/>
      <c r="T62" s="817"/>
    </row>
    <row r="63" spans="2:20">
      <c r="B63" s="820">
        <f>ROW()</f>
        <v>63</v>
      </c>
      <c r="C63" s="821">
        <v>43646</v>
      </c>
      <c r="D63" s="815">
        <f t="shared" si="2"/>
        <v>66406534.449999996</v>
      </c>
      <c r="E63" s="815"/>
      <c r="F63" s="814">
        <f t="shared" si="3"/>
        <v>-30211680.350000001</v>
      </c>
      <c r="G63" s="814">
        <v>23554805.610000003</v>
      </c>
      <c r="H63" s="814">
        <f t="shared" si="0"/>
        <v>59749659.709999993</v>
      </c>
      <c r="I63" s="814">
        <f t="shared" si="10"/>
        <v>-49715894.885328002</v>
      </c>
      <c r="J63" s="815">
        <f t="shared" si="1"/>
        <v>10033764.824671991</v>
      </c>
      <c r="K63" s="815">
        <f t="shared" si="13"/>
        <v>114689</v>
      </c>
      <c r="L63" s="814">
        <f t="shared" si="6"/>
        <v>-4761336.8817438316</v>
      </c>
      <c r="M63" s="815">
        <f t="shared" si="4"/>
        <v>5272427.9429281596</v>
      </c>
      <c r="N63" s="816"/>
      <c r="O63" s="814">
        <f t="shared" si="7"/>
        <v>7927117.5094854599</v>
      </c>
      <c r="P63" s="814">
        <f t="shared" si="12"/>
        <v>-557431.37914844125</v>
      </c>
      <c r="Q63" s="818">
        <f t="shared" si="8"/>
        <v>-5451235.5900771664</v>
      </c>
      <c r="S63" s="817"/>
      <c r="T63" s="817"/>
    </row>
    <row r="64" spans="2:20">
      <c r="B64" s="820">
        <f>ROW()</f>
        <v>64</v>
      </c>
      <c r="C64" s="821">
        <v>43677</v>
      </c>
      <c r="D64" s="815">
        <f t="shared" si="2"/>
        <v>66406534.449999996</v>
      </c>
      <c r="E64" s="815"/>
      <c r="F64" s="814">
        <f t="shared" si="3"/>
        <v>-30211680.350000001</v>
      </c>
      <c r="G64" s="814">
        <v>23554805.610000003</v>
      </c>
      <c r="H64" s="814">
        <f t="shared" si="0"/>
        <v>59749659.709999993</v>
      </c>
      <c r="I64" s="814">
        <f t="shared" si="10"/>
        <v>-50273326.264476441</v>
      </c>
      <c r="J64" s="815">
        <f t="shared" si="1"/>
        <v>9476333.4455235526</v>
      </c>
      <c r="K64" s="815">
        <f t="shared" si="13"/>
        <v>114689</v>
      </c>
      <c r="L64" s="814">
        <f t="shared" si="6"/>
        <v>-4646647.8817438316</v>
      </c>
      <c r="M64" s="815">
        <f t="shared" si="4"/>
        <v>4829685.563779721</v>
      </c>
      <c r="N64" s="816"/>
      <c r="O64" s="814">
        <f t="shared" si="7"/>
        <v>7484863.9636703534</v>
      </c>
      <c r="P64" s="814">
        <f t="shared" si="12"/>
        <v>-557431.37914844125</v>
      </c>
      <c r="Q64" s="818">
        <f t="shared" si="8"/>
        <v>-5336057.7567438325</v>
      </c>
      <c r="S64" s="817"/>
      <c r="T64" s="817"/>
    </row>
    <row r="65" spans="2:20">
      <c r="B65" s="820">
        <f>ROW()</f>
        <v>65</v>
      </c>
      <c r="C65" s="821">
        <v>43708</v>
      </c>
      <c r="D65" s="815">
        <f t="shared" si="2"/>
        <v>66406534.449999996</v>
      </c>
      <c r="E65" s="815"/>
      <c r="F65" s="814">
        <f t="shared" si="3"/>
        <v>-30211680.350000001</v>
      </c>
      <c r="G65" s="814">
        <v>23554805.610000003</v>
      </c>
      <c r="H65" s="814">
        <f t="shared" si="0"/>
        <v>59749659.709999993</v>
      </c>
      <c r="I65" s="814">
        <f t="shared" si="10"/>
        <v>-50830757.643624879</v>
      </c>
      <c r="J65" s="815">
        <f t="shared" si="1"/>
        <v>8918902.066375114</v>
      </c>
      <c r="K65" s="815">
        <f t="shared" si="13"/>
        <v>114689</v>
      </c>
      <c r="L65" s="814">
        <f t="shared" si="6"/>
        <v>-4531958.8817438316</v>
      </c>
      <c r="M65" s="815">
        <f t="shared" si="4"/>
        <v>4386943.1846312825</v>
      </c>
      <c r="N65" s="816"/>
      <c r="O65" s="814">
        <f t="shared" si="7"/>
        <v>7042416.8345219148</v>
      </c>
      <c r="P65" s="814">
        <f t="shared" si="12"/>
        <v>-557431.37914844125</v>
      </c>
      <c r="Q65" s="818">
        <f t="shared" si="8"/>
        <v>-5221073.5067438325</v>
      </c>
      <c r="S65" s="817"/>
      <c r="T65" s="817"/>
    </row>
    <row r="66" spans="2:20">
      <c r="B66" s="820">
        <f>ROW()</f>
        <v>66</v>
      </c>
      <c r="C66" s="821">
        <v>43738</v>
      </c>
      <c r="D66" s="815">
        <f t="shared" si="2"/>
        <v>66406534.449999996</v>
      </c>
      <c r="E66" s="815"/>
      <c r="F66" s="814">
        <f t="shared" si="3"/>
        <v>-30211680.350000001</v>
      </c>
      <c r="G66" s="814">
        <v>23554805.610000003</v>
      </c>
      <c r="H66" s="814">
        <f t="shared" si="0"/>
        <v>59749659.709999993</v>
      </c>
      <c r="I66" s="814">
        <f t="shared" si="10"/>
        <v>-51388189.022773318</v>
      </c>
      <c r="J66" s="815">
        <f t="shared" si="1"/>
        <v>8361470.6872266755</v>
      </c>
      <c r="K66" s="815">
        <f t="shared" si="13"/>
        <v>114689</v>
      </c>
      <c r="L66" s="814">
        <f t="shared" si="6"/>
        <v>-4417269.8817438316</v>
      </c>
      <c r="M66" s="815">
        <f t="shared" si="4"/>
        <v>3944200.8054828439</v>
      </c>
      <c r="N66" s="816"/>
      <c r="O66" s="814">
        <f t="shared" si="7"/>
        <v>6599776.1220401423</v>
      </c>
      <c r="P66" s="814">
        <f t="shared" si="12"/>
        <v>-557431.37914844125</v>
      </c>
      <c r="Q66" s="818">
        <f t="shared" si="8"/>
        <v>-5106282.8400771664</v>
      </c>
      <c r="S66" s="817"/>
      <c r="T66" s="817"/>
    </row>
    <row r="67" spans="2:20">
      <c r="B67" s="820">
        <f>ROW()</f>
        <v>67</v>
      </c>
      <c r="C67" s="821">
        <v>43769</v>
      </c>
      <c r="D67" s="815">
        <f t="shared" si="2"/>
        <v>66406534.449999996</v>
      </c>
      <c r="E67" s="815"/>
      <c r="F67" s="814">
        <f t="shared" si="3"/>
        <v>-30211680.350000001</v>
      </c>
      <c r="G67" s="814">
        <v>23554805.610000003</v>
      </c>
      <c r="H67" s="814">
        <f t="shared" si="0"/>
        <v>59749659.709999993</v>
      </c>
      <c r="I67" s="814">
        <f t="shared" si="10"/>
        <v>-51945620.401921757</v>
      </c>
      <c r="J67" s="815">
        <f t="shared" si="1"/>
        <v>7804039.3080782369</v>
      </c>
      <c r="K67" s="815">
        <f t="shared" si="13"/>
        <v>114689</v>
      </c>
      <c r="L67" s="814">
        <f t="shared" si="6"/>
        <v>-4302580.8817438316</v>
      </c>
      <c r="M67" s="815">
        <f t="shared" si="4"/>
        <v>3501458.4263344053</v>
      </c>
      <c r="N67" s="816"/>
      <c r="O67" s="814">
        <f t="shared" si="7"/>
        <v>6157212.9095583698</v>
      </c>
      <c r="P67" s="814">
        <f t="shared" si="12"/>
        <v>-557431.37914844125</v>
      </c>
      <c r="Q67" s="818">
        <f t="shared" si="8"/>
        <v>-4991414.6734104995</v>
      </c>
      <c r="S67" s="817"/>
      <c r="T67" s="817"/>
    </row>
    <row r="68" spans="2:20">
      <c r="B68" s="820">
        <f>ROW()</f>
        <v>68</v>
      </c>
      <c r="C68" s="821">
        <v>43799</v>
      </c>
      <c r="D68" s="815">
        <f t="shared" si="2"/>
        <v>66406534.449999996</v>
      </c>
      <c r="E68" s="815"/>
      <c r="F68" s="814">
        <f t="shared" si="3"/>
        <v>-30211680.350000001</v>
      </c>
      <c r="G68" s="814">
        <v>23554805.610000003</v>
      </c>
      <c r="H68" s="814">
        <f t="shared" si="0"/>
        <v>59749659.709999993</v>
      </c>
      <c r="I68" s="814">
        <f t="shared" si="10"/>
        <v>-52503051.781070195</v>
      </c>
      <c r="J68" s="815">
        <f t="shared" si="1"/>
        <v>7246607.9289297983</v>
      </c>
      <c r="K68" s="815">
        <f t="shared" si="13"/>
        <v>114689</v>
      </c>
      <c r="L68" s="814">
        <f>L67+K68</f>
        <v>-4187891.8817438316</v>
      </c>
      <c r="M68" s="815">
        <f t="shared" si="4"/>
        <v>3058716.0471859667</v>
      </c>
      <c r="N68" s="816"/>
      <c r="O68" s="814">
        <f t="shared" si="7"/>
        <v>5714727.1970765973</v>
      </c>
      <c r="P68" s="814">
        <f t="shared" si="12"/>
        <v>-557431.37914844125</v>
      </c>
      <c r="Q68" s="818">
        <f t="shared" si="8"/>
        <v>-4876469.0067438325</v>
      </c>
      <c r="S68" s="817"/>
      <c r="T68" s="817"/>
    </row>
    <row r="69" spans="2:20">
      <c r="B69" s="820">
        <f>ROW()</f>
        <v>69</v>
      </c>
      <c r="C69" s="821">
        <v>43830</v>
      </c>
      <c r="D69" s="815">
        <f t="shared" si="2"/>
        <v>66406534.449999996</v>
      </c>
      <c r="E69" s="815"/>
      <c r="F69" s="814">
        <f t="shared" si="3"/>
        <v>-30211680.350000001</v>
      </c>
      <c r="G69" s="814">
        <v>23554805.610000003</v>
      </c>
      <c r="H69" s="814">
        <f t="shared" si="0"/>
        <v>59749659.709999993</v>
      </c>
      <c r="I69" s="814">
        <f t="shared" si="10"/>
        <v>-53060483.160218634</v>
      </c>
      <c r="J69" s="815">
        <f t="shared" si="1"/>
        <v>6689176.5497813597</v>
      </c>
      <c r="K69" s="815">
        <f t="shared" si="13"/>
        <v>114689</v>
      </c>
      <c r="L69" s="814">
        <f t="shared" si="6"/>
        <v>-4073202.8817438316</v>
      </c>
      <c r="M69" s="815">
        <f t="shared" si="4"/>
        <v>2615973.6680375282</v>
      </c>
      <c r="N69" s="816"/>
      <c r="O69" s="814">
        <f t="shared" si="7"/>
        <v>5272280.2345948247</v>
      </c>
      <c r="P69" s="814">
        <f t="shared" si="12"/>
        <v>-557431.37914844125</v>
      </c>
      <c r="Q69" s="818">
        <f t="shared" si="8"/>
        <v>-4761484.5900771664</v>
      </c>
      <c r="S69" s="817"/>
      <c r="T69" s="817"/>
    </row>
    <row r="70" spans="2:20">
      <c r="B70" s="820">
        <f>ROW()</f>
        <v>70</v>
      </c>
      <c r="C70" s="821">
        <v>43861</v>
      </c>
      <c r="D70" s="815">
        <f t="shared" si="2"/>
        <v>66406534.449999996</v>
      </c>
      <c r="E70" s="815"/>
      <c r="F70" s="814">
        <f t="shared" si="3"/>
        <v>-30211680.350000001</v>
      </c>
      <c r="G70" s="814">
        <f>G69</f>
        <v>23554805.610000003</v>
      </c>
      <c r="H70" s="814">
        <f t="shared" ref="H70:H93" si="14">SUM(D70:G70)</f>
        <v>59749659.709999993</v>
      </c>
      <c r="I70" s="814">
        <f t="shared" si="10"/>
        <v>-53617914.539367072</v>
      </c>
      <c r="J70" s="815">
        <f t="shared" ref="J70:J93" si="15">SUM(H70:I70)</f>
        <v>6131745.1706329212</v>
      </c>
      <c r="K70" s="815">
        <f t="shared" si="13"/>
        <v>114689</v>
      </c>
      <c r="L70" s="814">
        <f t="shared" si="6"/>
        <v>-3958513.8817438316</v>
      </c>
      <c r="M70" s="815">
        <f t="shared" si="4"/>
        <v>2173231.2888890896</v>
      </c>
      <c r="N70" s="816"/>
      <c r="O70" s="814">
        <f t="shared" si="7"/>
        <v>4829685.5637797201</v>
      </c>
      <c r="P70" s="814">
        <f t="shared" si="12"/>
        <v>-557431.37914844125</v>
      </c>
      <c r="Q70" s="818">
        <f t="shared" si="8"/>
        <v>-4646647.8817438325</v>
      </c>
      <c r="S70" s="817"/>
    </row>
    <row r="71" spans="2:20">
      <c r="B71" s="820">
        <f>ROW()</f>
        <v>71</v>
      </c>
      <c r="C71" s="823">
        <v>43889</v>
      </c>
      <c r="D71" s="815">
        <f t="shared" si="2"/>
        <v>66406534.449999996</v>
      </c>
      <c r="E71" s="815"/>
      <c r="F71" s="814">
        <f t="shared" si="3"/>
        <v>-30211680.350000001</v>
      </c>
      <c r="G71" s="814">
        <f t="shared" si="3"/>
        <v>23554805.610000003</v>
      </c>
      <c r="H71" s="814">
        <f t="shared" si="14"/>
        <v>59749659.709999993</v>
      </c>
      <c r="I71" s="814">
        <f t="shared" si="10"/>
        <v>-54175345.918515511</v>
      </c>
      <c r="J71" s="815">
        <f t="shared" si="15"/>
        <v>5574313.7914844826</v>
      </c>
      <c r="K71" s="815">
        <f t="shared" si="13"/>
        <v>114689</v>
      </c>
      <c r="L71" s="814">
        <f t="shared" si="6"/>
        <v>-3843824.8817438316</v>
      </c>
      <c r="M71" s="815">
        <f t="shared" si="4"/>
        <v>1730488.909740651</v>
      </c>
      <c r="N71" s="816"/>
      <c r="O71" s="814">
        <f t="shared" si="7"/>
        <v>4386943.1846312815</v>
      </c>
      <c r="P71" s="814">
        <f t="shared" si="12"/>
        <v>-557431.37914844125</v>
      </c>
      <c r="Q71" s="818">
        <f t="shared" si="8"/>
        <v>-4531958.8817438325</v>
      </c>
      <c r="S71" s="817"/>
    </row>
    <row r="72" spans="2:20">
      <c r="B72" s="820">
        <f>ROW()</f>
        <v>72</v>
      </c>
      <c r="C72" s="821">
        <v>43921</v>
      </c>
      <c r="D72" s="815">
        <f t="shared" si="2"/>
        <v>66406534.449999996</v>
      </c>
      <c r="E72" s="815"/>
      <c r="F72" s="814">
        <f t="shared" ref="F72:G87" si="16">F71</f>
        <v>-30211680.350000001</v>
      </c>
      <c r="G72" s="814">
        <f t="shared" si="16"/>
        <v>23554805.610000003</v>
      </c>
      <c r="H72" s="814">
        <f t="shared" si="14"/>
        <v>59749659.709999993</v>
      </c>
      <c r="I72" s="814">
        <f t="shared" si="10"/>
        <v>-54732777.297663949</v>
      </c>
      <c r="J72" s="815">
        <f t="shared" si="15"/>
        <v>5016882.412336044</v>
      </c>
      <c r="K72" s="815">
        <f t="shared" si="13"/>
        <v>114689</v>
      </c>
      <c r="L72" s="814">
        <f>L71+K72</f>
        <v>-3729135.8817438316</v>
      </c>
      <c r="M72" s="815">
        <f t="shared" si="4"/>
        <v>1287746.5305922125</v>
      </c>
      <c r="N72" s="816"/>
      <c r="O72" s="814">
        <f t="shared" si="7"/>
        <v>3944200.8054828425</v>
      </c>
      <c r="P72" s="814">
        <f t="shared" si="12"/>
        <v>-557431.37914844125</v>
      </c>
      <c r="Q72" s="818">
        <f t="shared" si="8"/>
        <v>-4417269.8817438325</v>
      </c>
      <c r="S72" s="817"/>
    </row>
    <row r="73" spans="2:20">
      <c r="B73" s="820">
        <f>ROW()</f>
        <v>73</v>
      </c>
      <c r="C73" s="821">
        <v>43951</v>
      </c>
      <c r="D73" s="815">
        <f t="shared" si="2"/>
        <v>66406534.449999996</v>
      </c>
      <c r="E73" s="815"/>
      <c r="F73" s="814">
        <f t="shared" si="16"/>
        <v>-30211680.350000001</v>
      </c>
      <c r="G73" s="814">
        <f t="shared" si="16"/>
        <v>23554805.610000003</v>
      </c>
      <c r="H73" s="814">
        <f t="shared" si="14"/>
        <v>59749659.709999993</v>
      </c>
      <c r="I73" s="814">
        <f t="shared" si="10"/>
        <v>-55290208.676812388</v>
      </c>
      <c r="J73" s="815">
        <f t="shared" si="15"/>
        <v>4459451.0331876054</v>
      </c>
      <c r="K73" s="815">
        <f t="shared" si="13"/>
        <v>114689</v>
      </c>
      <c r="L73" s="814">
        <f t="shared" ref="L73:L80" si="17">L72+K73</f>
        <v>-3614446.8817438316</v>
      </c>
      <c r="M73" s="815">
        <f t="shared" si="4"/>
        <v>845004.15144377388</v>
      </c>
      <c r="N73" s="816"/>
      <c r="O73" s="814">
        <f t="shared" si="7"/>
        <v>3501458.4263344039</v>
      </c>
      <c r="P73" s="814">
        <f t="shared" si="12"/>
        <v>-557431.37914844125</v>
      </c>
      <c r="Q73" s="818">
        <f t="shared" si="8"/>
        <v>-4302580.8817438325</v>
      </c>
      <c r="S73" s="817"/>
    </row>
    <row r="74" spans="2:20">
      <c r="B74" s="820">
        <f>ROW()</f>
        <v>74</v>
      </c>
      <c r="C74" s="821">
        <v>43982</v>
      </c>
      <c r="D74" s="815">
        <f t="shared" si="2"/>
        <v>66406534.449999996</v>
      </c>
      <c r="E74" s="815"/>
      <c r="F74" s="814">
        <f t="shared" si="16"/>
        <v>-30211680.350000001</v>
      </c>
      <c r="G74" s="814">
        <f t="shared" si="16"/>
        <v>23554805.610000003</v>
      </c>
      <c r="H74" s="814">
        <f t="shared" si="14"/>
        <v>59749659.709999993</v>
      </c>
      <c r="I74" s="814">
        <f t="shared" si="10"/>
        <v>-55847640.055960827</v>
      </c>
      <c r="J74" s="815">
        <f t="shared" si="15"/>
        <v>3902019.6540391669</v>
      </c>
      <c r="K74" s="815">
        <f t="shared" si="13"/>
        <v>114689</v>
      </c>
      <c r="L74" s="814">
        <f t="shared" si="17"/>
        <v>-3499757.8817438316</v>
      </c>
      <c r="M74" s="815">
        <f t="shared" si="4"/>
        <v>402261.77229533531</v>
      </c>
      <c r="N74" s="816"/>
      <c r="O74" s="814">
        <f t="shared" si="7"/>
        <v>3058716.0471859653</v>
      </c>
      <c r="P74" s="814">
        <f t="shared" si="12"/>
        <v>-557431.37914844125</v>
      </c>
      <c r="Q74" s="818">
        <f t="shared" si="8"/>
        <v>-4187891.881743833</v>
      </c>
      <c r="S74" s="817"/>
    </row>
    <row r="75" spans="2:20">
      <c r="B75" s="820">
        <f>ROW()</f>
        <v>75</v>
      </c>
      <c r="C75" s="821">
        <v>44012</v>
      </c>
      <c r="D75" s="815">
        <f t="shared" si="2"/>
        <v>66406534.449999996</v>
      </c>
      <c r="E75" s="815"/>
      <c r="F75" s="814">
        <f t="shared" si="16"/>
        <v>-30211680.350000001</v>
      </c>
      <c r="G75" s="814">
        <f t="shared" si="16"/>
        <v>23554805.610000003</v>
      </c>
      <c r="H75" s="814">
        <f t="shared" si="14"/>
        <v>59749659.709999993</v>
      </c>
      <c r="I75" s="814">
        <f t="shared" si="10"/>
        <v>-56405071.435109265</v>
      </c>
      <c r="J75" s="815">
        <f t="shared" si="15"/>
        <v>3344588.2748907283</v>
      </c>
      <c r="K75" s="815">
        <f t="shared" si="13"/>
        <v>114689</v>
      </c>
      <c r="L75" s="814">
        <f t="shared" si="17"/>
        <v>-3385068.8817438316</v>
      </c>
      <c r="M75" s="815">
        <f t="shared" si="4"/>
        <v>-40480.606853103265</v>
      </c>
      <c r="N75" s="816"/>
      <c r="O75" s="814">
        <f t="shared" si="7"/>
        <v>2615973.6680375268</v>
      </c>
      <c r="P75" s="814">
        <f t="shared" si="12"/>
        <v>-557431.37914844125</v>
      </c>
      <c r="Q75" s="818">
        <f t="shared" si="8"/>
        <v>-4073202.881743833</v>
      </c>
      <c r="S75" s="817"/>
    </row>
    <row r="76" spans="2:20">
      <c r="B76" s="820">
        <f>ROW()</f>
        <v>76</v>
      </c>
      <c r="C76" s="821">
        <v>44043</v>
      </c>
      <c r="D76" s="815">
        <f t="shared" si="2"/>
        <v>66406534.449999996</v>
      </c>
      <c r="E76" s="815"/>
      <c r="F76" s="814">
        <f t="shared" si="16"/>
        <v>-30211680.350000001</v>
      </c>
      <c r="G76" s="814">
        <f t="shared" si="16"/>
        <v>23554805.610000003</v>
      </c>
      <c r="H76" s="814">
        <f t="shared" si="14"/>
        <v>59749659.709999993</v>
      </c>
      <c r="I76" s="814">
        <f t="shared" si="10"/>
        <v>-56962502.814257704</v>
      </c>
      <c r="J76" s="815">
        <f t="shared" si="15"/>
        <v>2787156.8957422897</v>
      </c>
      <c r="K76" s="815">
        <f t="shared" si="13"/>
        <v>114689</v>
      </c>
      <c r="L76" s="814">
        <f t="shared" si="17"/>
        <v>-3270379.8817438316</v>
      </c>
      <c r="M76" s="815">
        <f t="shared" si="4"/>
        <v>-483222.98600154184</v>
      </c>
      <c r="N76" s="816"/>
      <c r="O76" s="814">
        <f t="shared" si="7"/>
        <v>2173231.2888890882</v>
      </c>
      <c r="P76" s="814">
        <f t="shared" si="12"/>
        <v>-557431.37914844125</v>
      </c>
      <c r="Q76" s="818">
        <f t="shared" si="8"/>
        <v>-3958513.881743833</v>
      </c>
      <c r="S76" s="817"/>
    </row>
    <row r="77" spans="2:20">
      <c r="B77" s="820">
        <f>ROW()</f>
        <v>77</v>
      </c>
      <c r="C77" s="821">
        <v>44074</v>
      </c>
      <c r="D77" s="815">
        <f t="shared" si="2"/>
        <v>66406534.449999996</v>
      </c>
      <c r="E77" s="815"/>
      <c r="F77" s="814">
        <f t="shared" si="16"/>
        <v>-30211680.350000001</v>
      </c>
      <c r="G77" s="814">
        <f t="shared" si="16"/>
        <v>23554805.610000003</v>
      </c>
      <c r="H77" s="814">
        <f t="shared" si="14"/>
        <v>59749659.709999993</v>
      </c>
      <c r="I77" s="814">
        <f t="shared" si="10"/>
        <v>-57519934.193406142</v>
      </c>
      <c r="J77" s="815">
        <f t="shared" si="15"/>
        <v>2229725.5165938511</v>
      </c>
      <c r="K77" s="815">
        <f t="shared" si="13"/>
        <v>114689</v>
      </c>
      <c r="L77" s="814">
        <f t="shared" si="17"/>
        <v>-3155690.8817438316</v>
      </c>
      <c r="M77" s="815">
        <f t="shared" si="4"/>
        <v>-925965.36514998041</v>
      </c>
      <c r="N77" s="816"/>
      <c r="O77" s="814">
        <f t="shared" si="7"/>
        <v>1730488.9097406503</v>
      </c>
      <c r="P77" s="814">
        <f t="shared" si="12"/>
        <v>-557431.37914844125</v>
      </c>
      <c r="Q77" s="818">
        <f t="shared" si="8"/>
        <v>-3843824.881743833</v>
      </c>
      <c r="S77" s="817"/>
    </row>
    <row r="78" spans="2:20">
      <c r="B78" s="820">
        <f>ROW()</f>
        <v>78</v>
      </c>
      <c r="C78" s="821">
        <v>44104</v>
      </c>
      <c r="D78" s="815">
        <f t="shared" si="2"/>
        <v>66406534.449999996</v>
      </c>
      <c r="E78" s="815"/>
      <c r="F78" s="814">
        <f t="shared" si="16"/>
        <v>-30211680.350000001</v>
      </c>
      <c r="G78" s="814">
        <f t="shared" si="16"/>
        <v>23554805.610000003</v>
      </c>
      <c r="H78" s="814">
        <f t="shared" si="14"/>
        <v>59749659.709999993</v>
      </c>
      <c r="I78" s="814">
        <f t="shared" si="10"/>
        <v>-58077365.572554581</v>
      </c>
      <c r="J78" s="815">
        <f t="shared" si="15"/>
        <v>1672294.1374454126</v>
      </c>
      <c r="K78" s="815">
        <f t="shared" si="13"/>
        <v>114689</v>
      </c>
      <c r="L78" s="814">
        <f t="shared" si="17"/>
        <v>-3041001.8817438316</v>
      </c>
      <c r="M78" s="815">
        <f t="shared" si="4"/>
        <v>-1368707.744298419</v>
      </c>
      <c r="N78" s="816"/>
      <c r="O78" s="814">
        <f t="shared" si="7"/>
        <v>1287746.5305922125</v>
      </c>
      <c r="P78" s="814">
        <f t="shared" si="12"/>
        <v>-557431.37914844125</v>
      </c>
      <c r="Q78" s="818">
        <f t="shared" si="8"/>
        <v>-3729135.881743833</v>
      </c>
      <c r="S78" s="817"/>
    </row>
    <row r="79" spans="2:20">
      <c r="B79" s="820">
        <f>ROW()</f>
        <v>79</v>
      </c>
      <c r="C79" s="821">
        <v>44135</v>
      </c>
      <c r="D79" s="815">
        <f t="shared" si="2"/>
        <v>66406534.449999996</v>
      </c>
      <c r="E79" s="815"/>
      <c r="F79" s="814">
        <f t="shared" si="16"/>
        <v>-30211680.350000001</v>
      </c>
      <c r="G79" s="814">
        <f t="shared" si="16"/>
        <v>23554805.610000003</v>
      </c>
      <c r="H79" s="814">
        <f t="shared" si="14"/>
        <v>59749659.709999993</v>
      </c>
      <c r="I79" s="814">
        <f t="shared" si="10"/>
        <v>-58634796.951703019</v>
      </c>
      <c r="J79" s="815">
        <f t="shared" si="15"/>
        <v>1114862.758296974</v>
      </c>
      <c r="K79" s="815">
        <f t="shared" si="13"/>
        <v>114689</v>
      </c>
      <c r="L79" s="814">
        <f t="shared" si="17"/>
        <v>-2926312.8817438316</v>
      </c>
      <c r="M79" s="815">
        <f t="shared" si="4"/>
        <v>-1811450.1234468576</v>
      </c>
      <c r="N79" s="816"/>
      <c r="O79" s="814">
        <f t="shared" si="7"/>
        <v>845004.15144377388</v>
      </c>
      <c r="P79" s="814">
        <f t="shared" si="12"/>
        <v>-557431.37914844125</v>
      </c>
      <c r="Q79" s="818">
        <f t="shared" si="8"/>
        <v>-3614446.881743833</v>
      </c>
      <c r="S79" s="817"/>
    </row>
    <row r="80" spans="2:20">
      <c r="B80" s="820">
        <f>ROW()</f>
        <v>80</v>
      </c>
      <c r="C80" s="821">
        <v>44165</v>
      </c>
      <c r="D80" s="815">
        <f t="shared" si="2"/>
        <v>66406534.449999996</v>
      </c>
      <c r="E80" s="815"/>
      <c r="F80" s="814">
        <f t="shared" si="16"/>
        <v>-30211680.350000001</v>
      </c>
      <c r="G80" s="814">
        <f t="shared" si="16"/>
        <v>23554805.610000003</v>
      </c>
      <c r="H80" s="814">
        <f t="shared" si="14"/>
        <v>59749659.709999993</v>
      </c>
      <c r="I80" s="814">
        <f t="shared" si="10"/>
        <v>-59192228.330851458</v>
      </c>
      <c r="J80" s="815">
        <f>SUM(H80:I80)</f>
        <v>557431.37914853543</v>
      </c>
      <c r="K80" s="815">
        <f t="shared" si="13"/>
        <v>114689</v>
      </c>
      <c r="L80" s="814">
        <f t="shared" si="17"/>
        <v>-2811623.8817438316</v>
      </c>
      <c r="M80" s="815">
        <f t="shared" si="4"/>
        <v>-2254192.5025952961</v>
      </c>
      <c r="N80" s="816"/>
      <c r="O80" s="814">
        <f t="shared" si="7"/>
        <v>402261.77229533531</v>
      </c>
      <c r="P80" s="814">
        <f t="shared" si="12"/>
        <v>-557431.37914844125</v>
      </c>
      <c r="Q80" s="818">
        <f t="shared" si="8"/>
        <v>-3499757.881743833</v>
      </c>
      <c r="S80" s="817"/>
    </row>
    <row r="81" spans="1:19">
      <c r="B81" s="820">
        <f>ROW()</f>
        <v>81</v>
      </c>
      <c r="C81" s="821">
        <v>44196</v>
      </c>
      <c r="D81" s="815">
        <f t="shared" si="2"/>
        <v>66406534.449999996</v>
      </c>
      <c r="E81" s="815"/>
      <c r="F81" s="814">
        <f t="shared" si="16"/>
        <v>-30211680.350000001</v>
      </c>
      <c r="G81" s="814">
        <f t="shared" si="16"/>
        <v>23554805.610000003</v>
      </c>
      <c r="H81" s="814">
        <f t="shared" si="14"/>
        <v>59749659.709999993</v>
      </c>
      <c r="I81" s="814">
        <f t="shared" si="10"/>
        <v>-59749659.709999897</v>
      </c>
      <c r="J81" s="815">
        <f>SUM(H81:I81)</f>
        <v>9.6857547760009766E-8</v>
      </c>
      <c r="K81" s="815"/>
      <c r="L81" s="814">
        <f>L80+K81</f>
        <v>-2811623.8817438316</v>
      </c>
      <c r="M81" s="815">
        <f t="shared" si="4"/>
        <v>-2811623.8817437347</v>
      </c>
      <c r="N81" s="816"/>
      <c r="O81" s="814">
        <f t="shared" si="7"/>
        <v>-45259.315186436601</v>
      </c>
      <c r="P81" s="814">
        <f t="shared" si="12"/>
        <v>-557431.37914844125</v>
      </c>
      <c r="Q81" s="818">
        <f t="shared" si="8"/>
        <v>-3389847.590077166</v>
      </c>
      <c r="S81" s="824"/>
    </row>
    <row r="82" spans="1:19">
      <c r="B82" s="820">
        <f>ROW()</f>
        <v>82</v>
      </c>
      <c r="C82" s="821">
        <v>44227</v>
      </c>
      <c r="D82" s="815">
        <f t="shared" si="2"/>
        <v>66406534.449999996</v>
      </c>
      <c r="E82" s="815"/>
      <c r="F82" s="814">
        <f t="shared" si="16"/>
        <v>-30211680.350000001</v>
      </c>
      <c r="G82" s="814">
        <f t="shared" si="16"/>
        <v>23554805.610000003</v>
      </c>
      <c r="H82" s="814">
        <f t="shared" si="14"/>
        <v>59749659.709999993</v>
      </c>
      <c r="I82" s="814">
        <f>I81</f>
        <v>-59749659.709999897</v>
      </c>
      <c r="J82" s="815">
        <f>SUM(H82:I82)</f>
        <v>9.6857547760009766E-8</v>
      </c>
      <c r="K82" s="815">
        <f>P82*-0.35</f>
        <v>0</v>
      </c>
      <c r="L82" s="814">
        <f t="shared" ref="L82:L92" si="18">L81+K82</f>
        <v>-2811623.8817438316</v>
      </c>
      <c r="M82" s="815">
        <f t="shared" si="4"/>
        <v>-2811623.8817437347</v>
      </c>
      <c r="N82" s="816"/>
      <c r="O82" s="814">
        <f t="shared" si="7"/>
        <v>-479111.51187035692</v>
      </c>
      <c r="P82" s="814"/>
      <c r="Q82" s="818">
        <f t="shared" si="8"/>
        <v>-3289494.715077166</v>
      </c>
      <c r="S82" s="817"/>
    </row>
    <row r="83" spans="1:19">
      <c r="B83" s="820">
        <f>ROW()</f>
        <v>83</v>
      </c>
      <c r="C83" s="823">
        <v>44255</v>
      </c>
      <c r="D83" s="815">
        <f t="shared" ref="D83:I93" si="19">D82</f>
        <v>66406534.449999996</v>
      </c>
      <c r="E83" s="815"/>
      <c r="F83" s="814">
        <f t="shared" si="16"/>
        <v>-30211680.350000001</v>
      </c>
      <c r="G83" s="814">
        <f t="shared" si="16"/>
        <v>23554805.610000003</v>
      </c>
      <c r="H83" s="814">
        <f t="shared" si="14"/>
        <v>59749659.709999993</v>
      </c>
      <c r="I83" s="814">
        <f>I82</f>
        <v>-59749659.709999897</v>
      </c>
      <c r="J83" s="815">
        <f t="shared" si="15"/>
        <v>9.6857547760009766E-8</v>
      </c>
      <c r="K83" s="815">
        <f t="shared" ref="K83:K93" si="20">P83*-0.35</f>
        <v>0</v>
      </c>
      <c r="L83" s="814">
        <f t="shared" si="18"/>
        <v>-2811623.8817438316</v>
      </c>
      <c r="M83" s="815">
        <f t="shared" ref="M83:M93" si="21">J83+L83</f>
        <v>-2811623.8817437347</v>
      </c>
      <c r="N83" s="816"/>
      <c r="O83" s="814">
        <f t="shared" si="7"/>
        <v>-876068.51029190735</v>
      </c>
      <c r="P83" s="814"/>
      <c r="Q83" s="818">
        <f t="shared" si="8"/>
        <v>-3198699.256743833</v>
      </c>
      <c r="S83" s="817"/>
    </row>
    <row r="84" spans="1:19">
      <c r="B84" s="820">
        <f>ROW()</f>
        <v>84</v>
      </c>
      <c r="C84" s="821">
        <v>44286</v>
      </c>
      <c r="D84" s="815">
        <f t="shared" si="19"/>
        <v>66406534.449999996</v>
      </c>
      <c r="E84" s="815"/>
      <c r="F84" s="814">
        <f t="shared" si="16"/>
        <v>-30211680.350000001</v>
      </c>
      <c r="G84" s="814">
        <f t="shared" si="16"/>
        <v>23554805.610000003</v>
      </c>
      <c r="H84" s="814">
        <f t="shared" si="14"/>
        <v>59749659.709999993</v>
      </c>
      <c r="I84" s="814">
        <f t="shared" si="19"/>
        <v>-59749659.709999897</v>
      </c>
      <c r="J84" s="815">
        <f t="shared" si="15"/>
        <v>9.6857547760009766E-8</v>
      </c>
      <c r="K84" s="815">
        <f t="shared" si="20"/>
        <v>0</v>
      </c>
      <c r="L84" s="814">
        <f t="shared" si="18"/>
        <v>-2811623.8817438316</v>
      </c>
      <c r="M84" s="815">
        <f t="shared" si="21"/>
        <v>-2811623.8817437347</v>
      </c>
      <c r="N84" s="816"/>
      <c r="O84" s="814">
        <f t="shared" si="7"/>
        <v>-1236130.3104510878</v>
      </c>
      <c r="P84" s="814"/>
      <c r="Q84" s="818">
        <f t="shared" si="8"/>
        <v>-3117461.215077166</v>
      </c>
      <c r="S84" s="817"/>
    </row>
    <row r="85" spans="1:19" s="819" customFormat="1">
      <c r="B85" s="812">
        <f>ROW()</f>
        <v>85</v>
      </c>
      <c r="C85" s="813">
        <v>44316</v>
      </c>
      <c r="D85" s="814">
        <f t="shared" si="19"/>
        <v>66406534.449999996</v>
      </c>
      <c r="E85" s="814"/>
      <c r="F85" s="814">
        <f t="shared" si="16"/>
        <v>-30211680.350000001</v>
      </c>
      <c r="G85" s="814">
        <f t="shared" si="16"/>
        <v>23554805.610000003</v>
      </c>
      <c r="H85" s="814">
        <f t="shared" si="14"/>
        <v>59749659.709999993</v>
      </c>
      <c r="I85" s="814">
        <f t="shared" si="19"/>
        <v>-59749659.709999897</v>
      </c>
      <c r="J85" s="814">
        <f t="shared" si="15"/>
        <v>9.6857547760009766E-8</v>
      </c>
      <c r="K85" s="814">
        <f t="shared" si="20"/>
        <v>0</v>
      </c>
      <c r="L85" s="814">
        <f t="shared" si="18"/>
        <v>-2811623.8817438316</v>
      </c>
      <c r="M85" s="814">
        <f t="shared" si="21"/>
        <v>-2811623.8817437347</v>
      </c>
      <c r="N85" s="816"/>
      <c r="O85" s="814">
        <f t="shared" si="7"/>
        <v>-1559296.9123478986</v>
      </c>
      <c r="P85" s="814"/>
      <c r="Q85" s="818">
        <f t="shared" si="8"/>
        <v>-3045780.5900771655</v>
      </c>
      <c r="S85" s="901"/>
    </row>
    <row r="86" spans="1:19">
      <c r="B86" s="820">
        <f>ROW()</f>
        <v>86</v>
      </c>
      <c r="C86" s="821">
        <v>44347</v>
      </c>
      <c r="D86" s="815">
        <f t="shared" si="19"/>
        <v>66406534.449999996</v>
      </c>
      <c r="E86" s="815"/>
      <c r="F86" s="814">
        <f t="shared" si="16"/>
        <v>-30211680.350000001</v>
      </c>
      <c r="G86" s="814">
        <f t="shared" si="16"/>
        <v>23554805.610000003</v>
      </c>
      <c r="H86" s="814">
        <f t="shared" si="14"/>
        <v>59749659.709999993</v>
      </c>
      <c r="I86" s="814">
        <f t="shared" si="19"/>
        <v>-59749659.709999897</v>
      </c>
      <c r="J86" s="815">
        <f t="shared" si="15"/>
        <v>9.6857547760009766E-8</v>
      </c>
      <c r="K86" s="815">
        <f t="shared" si="20"/>
        <v>0</v>
      </c>
      <c r="L86" s="814">
        <f t="shared" si="18"/>
        <v>-2811623.8817438316</v>
      </c>
      <c r="M86" s="815">
        <f t="shared" si="21"/>
        <v>-2811623.8817437347</v>
      </c>
      <c r="N86" s="816"/>
      <c r="O86" s="814">
        <f t="shared" si="7"/>
        <v>-1845568.3159823392</v>
      </c>
      <c r="P86" s="814"/>
      <c r="Q86" s="818">
        <f t="shared" si="8"/>
        <v>-2983657.381743832</v>
      </c>
      <c r="S86" s="817"/>
    </row>
    <row r="87" spans="1:19">
      <c r="B87" s="820">
        <f>ROW()</f>
        <v>87</v>
      </c>
      <c r="C87" s="821">
        <v>44377</v>
      </c>
      <c r="D87" s="815">
        <f t="shared" si="19"/>
        <v>66406534.449999996</v>
      </c>
      <c r="E87" s="815"/>
      <c r="F87" s="814">
        <f t="shared" si="16"/>
        <v>-30211680.350000001</v>
      </c>
      <c r="G87" s="814">
        <f t="shared" si="16"/>
        <v>23554805.610000003</v>
      </c>
      <c r="H87" s="814">
        <f t="shared" si="14"/>
        <v>59749659.709999993</v>
      </c>
      <c r="I87" s="814">
        <f t="shared" si="19"/>
        <v>-59749659.709999897</v>
      </c>
      <c r="J87" s="815">
        <f t="shared" si="15"/>
        <v>9.6857547760009766E-8</v>
      </c>
      <c r="K87" s="815">
        <f t="shared" si="20"/>
        <v>0</v>
      </c>
      <c r="L87" s="814">
        <f t="shared" si="18"/>
        <v>-2811623.8817438316</v>
      </c>
      <c r="M87" s="815">
        <f t="shared" si="21"/>
        <v>-2811623.8817437347</v>
      </c>
      <c r="N87" s="816"/>
      <c r="O87" s="814">
        <f t="shared" si="7"/>
        <v>-2094944.5213544108</v>
      </c>
      <c r="P87" s="814"/>
      <c r="Q87" s="818">
        <f t="shared" si="8"/>
        <v>-2931091.5900771655</v>
      </c>
      <c r="S87" s="817"/>
    </row>
    <row r="88" spans="1:19">
      <c r="B88" s="820">
        <f>ROW()</f>
        <v>88</v>
      </c>
      <c r="C88" s="821">
        <v>44408</v>
      </c>
      <c r="D88" s="815">
        <f t="shared" si="19"/>
        <v>66406534.449999996</v>
      </c>
      <c r="E88" s="815"/>
      <c r="F88" s="814">
        <f t="shared" ref="F88:G93" si="22">F87</f>
        <v>-30211680.350000001</v>
      </c>
      <c r="G88" s="814">
        <f t="shared" si="22"/>
        <v>23554805.610000003</v>
      </c>
      <c r="H88" s="814">
        <f t="shared" si="14"/>
        <v>59749659.709999993</v>
      </c>
      <c r="I88" s="814">
        <f t="shared" si="19"/>
        <v>-59749659.709999897</v>
      </c>
      <c r="J88" s="815">
        <f t="shared" si="15"/>
        <v>9.6857547760009766E-8</v>
      </c>
      <c r="K88" s="815">
        <f t="shared" si="20"/>
        <v>0</v>
      </c>
      <c r="L88" s="814">
        <f t="shared" si="18"/>
        <v>-2811623.8817438316</v>
      </c>
      <c r="M88" s="815">
        <f t="shared" si="21"/>
        <v>-2811623.8817437347</v>
      </c>
      <c r="N88" s="816"/>
      <c r="O88" s="814">
        <f t="shared" si="7"/>
        <v>-2307425.528464112</v>
      </c>
      <c r="P88" s="814"/>
      <c r="Q88" s="818">
        <f t="shared" si="8"/>
        <v>-2888083.2150771655</v>
      </c>
      <c r="S88" s="817"/>
    </row>
    <row r="89" spans="1:19">
      <c r="B89" s="820">
        <f>ROW()</f>
        <v>89</v>
      </c>
      <c r="C89" s="821">
        <v>44439</v>
      </c>
      <c r="D89" s="815">
        <f t="shared" si="19"/>
        <v>66406534.449999996</v>
      </c>
      <c r="E89" s="815"/>
      <c r="F89" s="814">
        <f t="shared" si="22"/>
        <v>-30211680.350000001</v>
      </c>
      <c r="G89" s="814">
        <f t="shared" si="22"/>
        <v>23554805.610000003</v>
      </c>
      <c r="H89" s="814">
        <f t="shared" si="14"/>
        <v>59749659.709999993</v>
      </c>
      <c r="I89" s="814">
        <f t="shared" si="19"/>
        <v>-59749659.709999897</v>
      </c>
      <c r="J89" s="815">
        <f t="shared" si="15"/>
        <v>9.6857547760009766E-8</v>
      </c>
      <c r="K89" s="815">
        <f t="shared" si="20"/>
        <v>0</v>
      </c>
      <c r="L89" s="814">
        <f t="shared" si="18"/>
        <v>-2811623.8817438316</v>
      </c>
      <c r="M89" s="815">
        <f t="shared" si="21"/>
        <v>-2811623.8817437347</v>
      </c>
      <c r="N89" s="816"/>
      <c r="O89" s="814">
        <f t="shared" si="7"/>
        <v>-2483011.3373114429</v>
      </c>
      <c r="P89" s="814"/>
      <c r="Q89" s="818">
        <f t="shared" si="8"/>
        <v>-2854632.256743832</v>
      </c>
      <c r="S89" s="817"/>
    </row>
    <row r="90" spans="1:19">
      <c r="B90" s="820">
        <f>ROW()</f>
        <v>90</v>
      </c>
      <c r="C90" s="821">
        <v>44469</v>
      </c>
      <c r="D90" s="815">
        <f t="shared" si="19"/>
        <v>66406534.449999996</v>
      </c>
      <c r="E90" s="815"/>
      <c r="F90" s="814">
        <f t="shared" si="22"/>
        <v>-30211680.350000001</v>
      </c>
      <c r="G90" s="814">
        <f t="shared" si="22"/>
        <v>23554805.610000003</v>
      </c>
      <c r="H90" s="814">
        <f t="shared" si="14"/>
        <v>59749659.709999993</v>
      </c>
      <c r="I90" s="814">
        <f t="shared" si="19"/>
        <v>-59749659.709999897</v>
      </c>
      <c r="J90" s="815">
        <f t="shared" si="15"/>
        <v>9.6857547760009766E-8</v>
      </c>
      <c r="K90" s="815">
        <f t="shared" si="20"/>
        <v>0</v>
      </c>
      <c r="L90" s="814">
        <f t="shared" si="18"/>
        <v>-2811623.8817438316</v>
      </c>
      <c r="M90" s="815">
        <f t="shared" si="21"/>
        <v>-2811623.8817437347</v>
      </c>
      <c r="N90" s="816"/>
      <c r="O90" s="814">
        <f t="shared" si="7"/>
        <v>-2621701.9478964042</v>
      </c>
      <c r="P90" s="814"/>
      <c r="Q90" s="818">
        <f t="shared" si="8"/>
        <v>-2830738.7150771655</v>
      </c>
      <c r="S90" s="817"/>
    </row>
    <row r="91" spans="1:19">
      <c r="B91" s="820">
        <f>ROW()</f>
        <v>91</v>
      </c>
      <c r="C91" s="821">
        <v>44500</v>
      </c>
      <c r="D91" s="815">
        <f t="shared" si="19"/>
        <v>66406534.449999996</v>
      </c>
      <c r="E91" s="815"/>
      <c r="F91" s="814">
        <f t="shared" si="22"/>
        <v>-30211680.350000001</v>
      </c>
      <c r="G91" s="814">
        <f t="shared" si="22"/>
        <v>23554805.610000003</v>
      </c>
      <c r="H91" s="814">
        <f t="shared" si="14"/>
        <v>59749659.709999993</v>
      </c>
      <c r="I91" s="814">
        <f t="shared" si="19"/>
        <v>-59749659.709999897</v>
      </c>
      <c r="J91" s="815">
        <f t="shared" si="15"/>
        <v>9.6857547760009766E-8</v>
      </c>
      <c r="K91" s="815">
        <f t="shared" si="20"/>
        <v>0</v>
      </c>
      <c r="L91" s="814">
        <f t="shared" si="18"/>
        <v>-2811623.8817438316</v>
      </c>
      <c r="M91" s="815">
        <f t="shared" si="21"/>
        <v>-2811623.8817437347</v>
      </c>
      <c r="N91" s="816"/>
      <c r="O91" s="814">
        <f t="shared" si="7"/>
        <v>-2723497.3602189957</v>
      </c>
      <c r="P91" s="814"/>
      <c r="Q91" s="818">
        <f t="shared" si="8"/>
        <v>-2816402.5900771655</v>
      </c>
      <c r="S91" s="817"/>
    </row>
    <row r="92" spans="1:19">
      <c r="B92" s="820">
        <f>ROW()</f>
        <v>92</v>
      </c>
      <c r="C92" s="821">
        <v>44530</v>
      </c>
      <c r="D92" s="815">
        <f t="shared" si="19"/>
        <v>66406534.449999996</v>
      </c>
      <c r="E92" s="815"/>
      <c r="F92" s="814">
        <f t="shared" si="22"/>
        <v>-30211680.350000001</v>
      </c>
      <c r="G92" s="814">
        <f t="shared" si="22"/>
        <v>23554805.610000003</v>
      </c>
      <c r="H92" s="814">
        <f t="shared" si="14"/>
        <v>59749659.709999993</v>
      </c>
      <c r="I92" s="814">
        <f t="shared" si="19"/>
        <v>-59749659.709999897</v>
      </c>
      <c r="J92" s="815">
        <f t="shared" si="15"/>
        <v>9.6857547760009766E-8</v>
      </c>
      <c r="K92" s="815">
        <f t="shared" si="20"/>
        <v>0</v>
      </c>
      <c r="L92" s="814">
        <f t="shared" si="18"/>
        <v>-2811623.8817438316</v>
      </c>
      <c r="M92" s="815">
        <f t="shared" si="21"/>
        <v>-2811623.8817437347</v>
      </c>
      <c r="N92" s="816"/>
      <c r="O92" s="814">
        <f t="shared" si="7"/>
        <v>-2788397.574279217</v>
      </c>
      <c r="P92" s="814"/>
      <c r="Q92" s="818">
        <f>(L92+L80+SUM(L81:L91)*2)/24</f>
        <v>-2811623.881743832</v>
      </c>
      <c r="S92" s="817"/>
    </row>
    <row r="93" spans="1:19" ht="13.5" thickBot="1">
      <c r="B93" s="825">
        <f>ROW()</f>
        <v>93</v>
      </c>
      <c r="C93" s="826">
        <v>44561</v>
      </c>
      <c r="D93" s="827">
        <f t="shared" si="19"/>
        <v>66406534.449999996</v>
      </c>
      <c r="E93" s="827"/>
      <c r="F93" s="828">
        <f>F92</f>
        <v>-30211680.350000001</v>
      </c>
      <c r="G93" s="828">
        <f t="shared" si="22"/>
        <v>23554805.610000003</v>
      </c>
      <c r="H93" s="828">
        <f t="shared" si="14"/>
        <v>59749659.709999993</v>
      </c>
      <c r="I93" s="828">
        <f t="shared" si="19"/>
        <v>-59749659.709999897</v>
      </c>
      <c r="J93" s="827">
        <f t="shared" si="15"/>
        <v>9.6857547760009766E-8</v>
      </c>
      <c r="K93" s="827">
        <f t="shared" si="20"/>
        <v>0</v>
      </c>
      <c r="L93" s="828">
        <f>L92+K93</f>
        <v>-2811623.8817438316</v>
      </c>
      <c r="M93" s="827">
        <f t="shared" si="21"/>
        <v>-2811623.8817437347</v>
      </c>
      <c r="N93" s="829"/>
      <c r="O93" s="828">
        <f t="shared" si="7"/>
        <v>-2811623.8817437352</v>
      </c>
      <c r="P93" s="828"/>
      <c r="Q93" s="830">
        <f>(L93+L81+SUM(L82:L92)*2)/24</f>
        <v>-2811623.881743832</v>
      </c>
      <c r="S93" s="817"/>
    </row>
    <row r="94" spans="1:19" ht="13.5" thickBot="1">
      <c r="A94" s="861" t="s">
        <v>853</v>
      </c>
      <c r="B94" s="804"/>
      <c r="C94" s="831"/>
      <c r="D94" s="832"/>
      <c r="E94" s="832"/>
      <c r="F94" s="832"/>
      <c r="G94" s="832"/>
      <c r="H94" s="832"/>
      <c r="I94" s="832"/>
      <c r="J94" s="832"/>
      <c r="K94" s="832"/>
      <c r="L94" s="833"/>
      <c r="M94" s="832"/>
      <c r="N94" s="834"/>
      <c r="O94" s="832"/>
      <c r="P94" s="835">
        <f>SUM(P46:P57)</f>
        <v>-6689176.5497812955</v>
      </c>
      <c r="Q94" s="836"/>
      <c r="S94" s="817"/>
    </row>
    <row r="95" spans="1:19" ht="13.5" thickBot="1">
      <c r="A95" s="862" t="s">
        <v>854</v>
      </c>
      <c r="B95" s="804"/>
      <c r="C95" s="837"/>
      <c r="D95" s="832"/>
      <c r="E95" s="832"/>
      <c r="F95" s="832"/>
      <c r="G95" s="832"/>
      <c r="H95" s="835">
        <f>(H18+H30+SUM(H19:H29)*2)/24</f>
        <v>59841513.397916675</v>
      </c>
      <c r="I95" s="835">
        <f>(I18+I30+SUM(I19:I29)*2)/24</f>
        <v>-37066402.04703182</v>
      </c>
      <c r="J95" s="832"/>
      <c r="K95" s="832"/>
      <c r="L95" s="835">
        <f>(L18+L30+SUM(L19:L29)*2)/24</f>
        <v>-7971288.6979166651</v>
      </c>
      <c r="M95" s="832"/>
      <c r="N95" s="834"/>
      <c r="O95" s="832"/>
      <c r="P95" s="832"/>
      <c r="Q95" s="836"/>
      <c r="S95" s="817"/>
    </row>
    <row r="96" spans="1:19" ht="13.5" thickBot="1">
      <c r="A96" s="861" t="s">
        <v>855</v>
      </c>
      <c r="B96" s="804"/>
      <c r="C96" s="831"/>
      <c r="D96" s="832"/>
      <c r="E96" s="832"/>
      <c r="F96" s="832"/>
      <c r="G96" s="832"/>
      <c r="H96" s="832"/>
      <c r="I96" s="832"/>
      <c r="J96" s="832"/>
      <c r="K96" s="832"/>
      <c r="L96" s="833"/>
      <c r="M96" s="832"/>
      <c r="N96" s="834"/>
      <c r="O96" s="832"/>
      <c r="P96" s="835">
        <f>SUM(P74:P85)</f>
        <v>-4459451.03318753</v>
      </c>
      <c r="Q96" s="836"/>
      <c r="S96" s="817"/>
    </row>
    <row r="97" spans="1:19" ht="13.5" thickBot="1">
      <c r="A97" s="862" t="s">
        <v>856</v>
      </c>
      <c r="B97" s="838"/>
      <c r="C97" s="839"/>
      <c r="D97" s="840"/>
      <c r="E97" s="840"/>
      <c r="F97" s="840"/>
      <c r="G97" s="840"/>
      <c r="H97" s="841">
        <f>(H45+H57+SUM(H46:H56)*2)/24</f>
        <v>59749659.710000001</v>
      </c>
      <c r="I97" s="841">
        <f>(I45+I57+SUM(I46:I56)*2)/24</f>
        <v>-43026718.335546739</v>
      </c>
      <c r="J97" s="840"/>
      <c r="K97" s="840"/>
      <c r="L97" s="841">
        <f>(L45+L57+SUM(L46:L56)*2)/24</f>
        <v>-6140527.3817438325</v>
      </c>
      <c r="M97" s="840"/>
      <c r="N97" s="842"/>
      <c r="O97" s="840"/>
      <c r="P97" s="840"/>
      <c r="Q97" s="843"/>
      <c r="S97" s="817"/>
    </row>
    <row r="98" spans="1:19">
      <c r="A98" s="844"/>
      <c r="B98" s="845"/>
      <c r="C98" s="821"/>
      <c r="D98" s="815"/>
      <c r="E98" s="815"/>
      <c r="F98" s="815"/>
      <c r="G98" s="815"/>
      <c r="H98" s="815"/>
      <c r="I98" s="814"/>
      <c r="J98" s="815"/>
      <c r="K98" s="815"/>
      <c r="L98" s="846"/>
      <c r="M98" s="814"/>
      <c r="N98" s="781"/>
      <c r="O98" s="814"/>
      <c r="P98" s="847"/>
      <c r="Q98" s="847"/>
      <c r="S98" s="817"/>
    </row>
    <row r="99" spans="1:19">
      <c r="A99" s="848" t="s">
        <v>848</v>
      </c>
      <c r="B99" s="905" t="s">
        <v>857</v>
      </c>
      <c r="C99" s="906"/>
      <c r="D99" s="906"/>
      <c r="E99" s="906"/>
      <c r="F99" s="906"/>
      <c r="G99" s="906"/>
      <c r="H99" s="907"/>
      <c r="I99" s="906"/>
      <c r="J99" s="906"/>
      <c r="K99" s="908"/>
      <c r="L99" s="907"/>
      <c r="M99" s="904"/>
      <c r="N99" s="907"/>
      <c r="O99" s="907"/>
      <c r="P99" s="907"/>
      <c r="Q99" s="909"/>
      <c r="S99" s="817"/>
    </row>
    <row r="100" spans="1:19">
      <c r="A100" s="849"/>
      <c r="B100" s="905" t="s">
        <v>858</v>
      </c>
      <c r="C100" s="906"/>
      <c r="D100" s="906"/>
      <c r="E100" s="906"/>
      <c r="F100" s="906"/>
      <c r="G100" s="906"/>
      <c r="H100" s="907"/>
      <c r="I100" s="906"/>
      <c r="J100" s="906"/>
      <c r="K100" s="908"/>
      <c r="L100" s="907"/>
      <c r="M100" s="904"/>
      <c r="N100" s="907"/>
      <c r="O100" s="907"/>
      <c r="P100" s="907"/>
      <c r="Q100" s="909"/>
      <c r="S100" s="817"/>
    </row>
    <row r="101" spans="1:19">
      <c r="A101" s="849"/>
      <c r="B101" s="905" t="s">
        <v>859</v>
      </c>
      <c r="C101" s="906"/>
      <c r="D101" s="906"/>
      <c r="E101" s="906"/>
      <c r="F101" s="906"/>
      <c r="G101" s="906"/>
      <c r="H101" s="907"/>
      <c r="I101" s="906"/>
      <c r="J101" s="906"/>
      <c r="K101" s="908"/>
      <c r="L101" s="907"/>
      <c r="M101" s="904"/>
      <c r="N101" s="907"/>
      <c r="O101" s="907"/>
      <c r="P101" s="907"/>
      <c r="Q101" s="909"/>
      <c r="S101" s="817"/>
    </row>
    <row r="102" spans="1:19">
      <c r="A102" s="849"/>
      <c r="B102" s="905" t="s">
        <v>860</v>
      </c>
      <c r="C102" s="906"/>
      <c r="D102" s="906"/>
      <c r="E102" s="906"/>
      <c r="F102" s="906"/>
      <c r="G102" s="906"/>
      <c r="H102" s="907"/>
      <c r="I102" s="906"/>
      <c r="J102" s="906"/>
      <c r="K102" s="908"/>
      <c r="L102" s="907"/>
      <c r="M102" s="904"/>
      <c r="N102" s="907"/>
      <c r="O102" s="907"/>
      <c r="P102" s="907"/>
      <c r="Q102" s="909"/>
      <c r="S102" s="817"/>
    </row>
    <row r="103" spans="1:19">
      <c r="B103" s="849"/>
      <c r="C103" s="821"/>
      <c r="D103" s="815"/>
      <c r="E103" s="815"/>
      <c r="F103" s="815"/>
      <c r="G103" s="815"/>
      <c r="H103" s="815"/>
      <c r="I103" s="814"/>
      <c r="J103" s="815"/>
      <c r="K103" s="815"/>
      <c r="L103" s="846"/>
      <c r="M103" s="814"/>
      <c r="N103" s="781"/>
      <c r="O103" s="814"/>
      <c r="P103" s="814"/>
      <c r="Q103" s="814"/>
      <c r="S103" s="817"/>
    </row>
    <row r="104" spans="1:19">
      <c r="B104" s="849"/>
      <c r="C104" s="821"/>
      <c r="D104" s="815"/>
      <c r="E104" s="815"/>
      <c r="F104" s="815"/>
      <c r="G104" s="815"/>
      <c r="H104" s="815"/>
      <c r="I104" s="814"/>
      <c r="J104" s="815"/>
      <c r="K104" s="815"/>
      <c r="L104" s="846"/>
      <c r="M104" s="814"/>
      <c r="N104" s="781"/>
      <c r="O104" s="814"/>
      <c r="P104" s="814"/>
      <c r="Q104" s="814"/>
      <c r="S104" s="817"/>
    </row>
    <row r="105" spans="1:19">
      <c r="B105" s="849"/>
      <c r="C105" s="821"/>
      <c r="D105" s="815"/>
      <c r="E105" s="815"/>
      <c r="F105" s="815"/>
      <c r="G105" s="815"/>
      <c r="H105" s="815"/>
      <c r="I105" s="814"/>
      <c r="J105" s="815"/>
      <c r="K105" s="815"/>
      <c r="L105" s="846"/>
      <c r="M105" s="814"/>
      <c r="N105" s="781"/>
      <c r="O105" s="814"/>
      <c r="P105" s="814"/>
      <c r="Q105" s="814"/>
      <c r="S105" s="817"/>
    </row>
    <row r="106" spans="1:19">
      <c r="B106" s="849"/>
      <c r="C106" s="821"/>
      <c r="D106" s="815"/>
      <c r="E106" s="815"/>
      <c r="F106" s="815"/>
      <c r="G106" s="815"/>
      <c r="H106" s="815"/>
      <c r="I106" s="814"/>
      <c r="J106" s="815"/>
      <c r="K106" s="815"/>
      <c r="L106" s="846"/>
      <c r="M106" s="814"/>
      <c r="N106" s="781"/>
      <c r="O106" s="814"/>
      <c r="P106" s="814"/>
      <c r="Q106" s="814"/>
      <c r="S106" s="817"/>
    </row>
    <row r="107" spans="1:19">
      <c r="B107" s="849"/>
      <c r="C107" s="823"/>
      <c r="D107" s="815"/>
      <c r="E107" s="815"/>
      <c r="F107" s="815"/>
      <c r="G107" s="815"/>
      <c r="H107" s="815"/>
      <c r="I107" s="814"/>
      <c r="J107" s="815"/>
      <c r="K107" s="815"/>
      <c r="L107" s="846"/>
      <c r="M107" s="814"/>
      <c r="N107" s="781"/>
      <c r="O107" s="814"/>
      <c r="P107" s="814"/>
      <c r="Q107" s="814"/>
      <c r="S107" s="817"/>
    </row>
    <row r="108" spans="1:19">
      <c r="B108" s="849"/>
      <c r="C108" s="821"/>
      <c r="D108" s="815"/>
      <c r="E108" s="815"/>
      <c r="F108" s="815"/>
      <c r="G108" s="815"/>
      <c r="H108" s="815"/>
      <c r="I108" s="814"/>
      <c r="J108" s="815"/>
      <c r="K108" s="815"/>
      <c r="L108" s="846"/>
      <c r="M108" s="814"/>
      <c r="N108" s="781"/>
      <c r="O108" s="814"/>
      <c r="P108" s="814"/>
      <c r="Q108" s="814"/>
      <c r="S108" s="817"/>
    </row>
    <row r="109" spans="1:19">
      <c r="B109" s="849"/>
      <c r="C109" s="821"/>
      <c r="D109" s="815"/>
      <c r="E109" s="815"/>
      <c r="F109" s="815"/>
      <c r="G109" s="815"/>
      <c r="H109" s="815"/>
      <c r="I109" s="814"/>
      <c r="J109" s="815"/>
      <c r="K109" s="815"/>
      <c r="L109" s="846"/>
      <c r="M109" s="814"/>
      <c r="N109" s="781"/>
      <c r="O109" s="814"/>
      <c r="P109" s="814"/>
      <c r="Q109" s="814"/>
      <c r="S109" s="817"/>
    </row>
    <row r="110" spans="1:19">
      <c r="B110" s="849"/>
      <c r="C110" s="821"/>
      <c r="D110" s="815"/>
      <c r="E110" s="815"/>
      <c r="F110" s="815"/>
      <c r="G110" s="815"/>
      <c r="H110" s="815"/>
      <c r="I110" s="814"/>
      <c r="J110" s="815"/>
      <c r="K110" s="815"/>
      <c r="L110" s="846"/>
      <c r="M110" s="814"/>
      <c r="N110" s="781"/>
      <c r="O110" s="814"/>
      <c r="P110" s="814"/>
      <c r="Q110" s="814"/>
      <c r="S110" s="817"/>
    </row>
    <row r="111" spans="1:19">
      <c r="B111" s="849"/>
      <c r="C111" s="821"/>
      <c r="D111" s="815"/>
      <c r="E111" s="815"/>
      <c r="F111" s="815"/>
      <c r="G111" s="815"/>
      <c r="H111" s="815"/>
      <c r="I111" s="814"/>
      <c r="J111" s="815"/>
      <c r="K111" s="815"/>
      <c r="L111" s="846"/>
      <c r="M111" s="814"/>
      <c r="N111" s="781"/>
      <c r="O111" s="814"/>
      <c r="P111" s="814"/>
      <c r="Q111" s="814"/>
      <c r="S111" s="817"/>
    </row>
    <row r="112" spans="1:19">
      <c r="B112" s="849"/>
      <c r="C112" s="821"/>
      <c r="D112" s="815"/>
      <c r="E112" s="815"/>
      <c r="F112" s="815"/>
      <c r="G112" s="815"/>
      <c r="H112" s="815"/>
      <c r="I112" s="814"/>
      <c r="J112" s="815"/>
      <c r="K112" s="815"/>
      <c r="L112" s="846"/>
      <c r="M112" s="814"/>
      <c r="N112" s="781"/>
      <c r="O112" s="814"/>
      <c r="P112" s="814"/>
      <c r="Q112" s="814"/>
      <c r="S112" s="817"/>
    </row>
    <row r="113" spans="2:19">
      <c r="B113" s="849"/>
      <c r="C113" s="821"/>
      <c r="D113" s="815"/>
      <c r="E113" s="815"/>
      <c r="F113" s="815"/>
      <c r="G113" s="815"/>
      <c r="H113" s="815"/>
      <c r="I113" s="814"/>
      <c r="J113" s="815"/>
      <c r="K113" s="815"/>
      <c r="L113" s="846"/>
      <c r="M113" s="814"/>
      <c r="N113" s="781"/>
      <c r="O113" s="814"/>
      <c r="P113" s="814"/>
      <c r="Q113" s="814"/>
      <c r="S113" s="817"/>
    </row>
    <row r="114" spans="2:19">
      <c r="B114" s="849"/>
      <c r="C114" s="821"/>
      <c r="D114" s="815"/>
      <c r="E114" s="815"/>
      <c r="F114" s="815"/>
      <c r="G114" s="815"/>
      <c r="H114" s="815"/>
      <c r="I114" s="814"/>
      <c r="J114" s="815"/>
      <c r="K114" s="815"/>
      <c r="L114" s="846"/>
      <c r="M114" s="814"/>
      <c r="N114" s="781"/>
      <c r="O114" s="814"/>
      <c r="P114" s="814"/>
      <c r="Q114" s="814"/>
      <c r="S114" s="817"/>
    </row>
    <row r="115" spans="2:19">
      <c r="B115" s="849"/>
      <c r="C115" s="821"/>
      <c r="D115" s="815"/>
      <c r="E115" s="815"/>
      <c r="F115" s="815"/>
      <c r="G115" s="815"/>
      <c r="H115" s="815"/>
      <c r="I115" s="814"/>
      <c r="J115" s="815"/>
      <c r="K115" s="815"/>
      <c r="L115" s="846"/>
      <c r="M115" s="814"/>
      <c r="N115" s="781"/>
      <c r="O115" s="814"/>
      <c r="P115" s="814"/>
      <c r="Q115" s="814"/>
      <c r="S115" s="817"/>
    </row>
    <row r="116" spans="2:19">
      <c r="B116" s="849"/>
      <c r="C116" s="821"/>
      <c r="D116" s="815"/>
      <c r="E116" s="815"/>
      <c r="F116" s="815"/>
      <c r="G116" s="815"/>
      <c r="H116" s="815"/>
      <c r="I116" s="814"/>
      <c r="J116" s="815"/>
      <c r="K116" s="815"/>
      <c r="L116" s="846"/>
      <c r="M116" s="814"/>
      <c r="N116" s="781"/>
      <c r="O116" s="814"/>
      <c r="P116" s="814"/>
      <c r="Q116" s="814"/>
      <c r="S116" s="817"/>
    </row>
    <row r="117" spans="2:19">
      <c r="B117" s="849"/>
      <c r="C117" s="821"/>
      <c r="D117" s="815"/>
      <c r="E117" s="815"/>
      <c r="F117" s="815"/>
      <c r="G117" s="815"/>
      <c r="H117" s="815"/>
      <c r="I117" s="814"/>
      <c r="J117" s="815"/>
      <c r="K117" s="815"/>
      <c r="L117" s="846"/>
      <c r="M117" s="814"/>
      <c r="N117" s="781"/>
      <c r="O117" s="814"/>
      <c r="P117" s="814"/>
      <c r="Q117" s="814"/>
      <c r="S117" s="817"/>
    </row>
    <row r="118" spans="2:19">
      <c r="B118" s="849"/>
      <c r="C118" s="821"/>
      <c r="D118" s="815"/>
      <c r="E118" s="815"/>
      <c r="F118" s="815"/>
      <c r="G118" s="815"/>
      <c r="H118" s="815"/>
      <c r="I118" s="814"/>
      <c r="J118" s="815"/>
      <c r="K118" s="815"/>
      <c r="L118" s="846"/>
      <c r="M118" s="814"/>
      <c r="N118" s="781"/>
      <c r="O118" s="814"/>
      <c r="P118" s="814"/>
      <c r="Q118" s="814"/>
      <c r="S118" s="817"/>
    </row>
    <row r="119" spans="2:19">
      <c r="B119" s="849"/>
      <c r="C119" s="823"/>
      <c r="D119" s="815"/>
      <c r="E119" s="815"/>
      <c r="F119" s="815"/>
      <c r="G119" s="815"/>
      <c r="H119" s="815"/>
      <c r="I119" s="814"/>
      <c r="J119" s="815"/>
      <c r="K119" s="815"/>
      <c r="L119" s="846"/>
      <c r="M119" s="814"/>
      <c r="N119" s="781"/>
      <c r="O119" s="814"/>
      <c r="P119" s="814"/>
      <c r="Q119" s="814"/>
      <c r="S119" s="817"/>
    </row>
    <row r="120" spans="2:19">
      <c r="B120" s="849"/>
      <c r="C120" s="821"/>
      <c r="D120" s="815"/>
      <c r="E120" s="815"/>
      <c r="F120" s="815"/>
      <c r="G120" s="815"/>
      <c r="H120" s="815"/>
      <c r="I120" s="814"/>
      <c r="J120" s="815"/>
      <c r="K120" s="815"/>
      <c r="L120" s="846"/>
      <c r="M120" s="814"/>
      <c r="N120" s="781"/>
      <c r="O120" s="814"/>
      <c r="P120" s="814"/>
      <c r="Q120" s="814"/>
      <c r="S120" s="817"/>
    </row>
    <row r="121" spans="2:19">
      <c r="B121" s="849"/>
      <c r="C121" s="821"/>
      <c r="D121" s="815"/>
      <c r="E121" s="815"/>
      <c r="F121" s="815"/>
      <c r="G121" s="815"/>
      <c r="H121" s="815"/>
      <c r="I121" s="814"/>
      <c r="J121" s="815"/>
      <c r="K121" s="815"/>
      <c r="L121" s="846"/>
      <c r="M121" s="814"/>
      <c r="N121" s="781"/>
      <c r="O121" s="814"/>
      <c r="P121" s="814"/>
      <c r="Q121" s="814"/>
      <c r="S121" s="817"/>
    </row>
    <row r="122" spans="2:19">
      <c r="B122" s="849"/>
      <c r="C122" s="821"/>
      <c r="D122" s="815"/>
      <c r="E122" s="815"/>
      <c r="F122" s="815"/>
      <c r="G122" s="815"/>
      <c r="H122" s="815"/>
      <c r="I122" s="814"/>
      <c r="J122" s="815"/>
      <c r="K122" s="815"/>
      <c r="L122" s="846"/>
      <c r="M122" s="814"/>
      <c r="N122" s="781"/>
      <c r="O122" s="814"/>
      <c r="P122" s="814"/>
      <c r="Q122" s="814"/>
      <c r="S122" s="817"/>
    </row>
    <row r="123" spans="2:19">
      <c r="B123" s="849"/>
      <c r="C123" s="821"/>
      <c r="D123" s="815"/>
      <c r="E123" s="815"/>
      <c r="F123" s="815"/>
      <c r="G123" s="815"/>
      <c r="H123" s="815"/>
      <c r="I123" s="814"/>
      <c r="J123" s="815"/>
      <c r="K123" s="815"/>
      <c r="L123" s="846"/>
      <c r="M123" s="814"/>
      <c r="N123" s="781"/>
      <c r="O123" s="814"/>
      <c r="P123" s="814"/>
      <c r="Q123" s="814"/>
      <c r="S123" s="817"/>
    </row>
    <row r="124" spans="2:19">
      <c r="B124" s="849"/>
      <c r="C124" s="821"/>
      <c r="D124" s="815"/>
      <c r="E124" s="815"/>
      <c r="F124" s="815"/>
      <c r="G124" s="815"/>
      <c r="H124" s="815"/>
      <c r="I124" s="814"/>
      <c r="J124" s="815"/>
      <c r="K124" s="815"/>
      <c r="L124" s="846"/>
      <c r="M124" s="814"/>
      <c r="N124" s="781"/>
      <c r="O124" s="814"/>
      <c r="P124" s="814"/>
      <c r="Q124" s="814"/>
      <c r="S124" s="817"/>
    </row>
    <row r="125" spans="2:19">
      <c r="B125" s="849"/>
      <c r="C125" s="821"/>
      <c r="D125" s="815"/>
      <c r="E125" s="815"/>
      <c r="F125" s="815"/>
      <c r="G125" s="815"/>
      <c r="H125" s="815"/>
      <c r="I125" s="814"/>
      <c r="J125" s="815"/>
      <c r="K125" s="815"/>
      <c r="L125" s="846"/>
      <c r="M125" s="814"/>
      <c r="N125" s="781"/>
      <c r="O125" s="814"/>
      <c r="P125" s="814"/>
      <c r="Q125" s="814"/>
      <c r="S125" s="817"/>
    </row>
    <row r="126" spans="2:19">
      <c r="B126" s="849"/>
      <c r="C126" s="821"/>
      <c r="D126" s="815"/>
      <c r="E126" s="815"/>
      <c r="F126" s="815"/>
      <c r="G126" s="815"/>
      <c r="H126" s="815"/>
      <c r="I126" s="814"/>
      <c r="J126" s="815"/>
      <c r="K126" s="815"/>
      <c r="L126" s="846"/>
      <c r="M126" s="814"/>
      <c r="N126" s="781"/>
      <c r="O126" s="814"/>
      <c r="P126" s="814"/>
      <c r="Q126" s="814"/>
      <c r="S126" s="817"/>
    </row>
    <row r="127" spans="2:19">
      <c r="B127" s="849"/>
      <c r="C127" s="821"/>
      <c r="D127" s="815"/>
      <c r="E127" s="815"/>
      <c r="F127" s="815"/>
      <c r="G127" s="815"/>
      <c r="H127" s="815"/>
      <c r="I127" s="814"/>
      <c r="J127" s="815"/>
      <c r="K127" s="815"/>
      <c r="L127" s="846"/>
      <c r="M127" s="814"/>
      <c r="N127" s="781"/>
      <c r="O127" s="814"/>
      <c r="P127" s="814"/>
      <c r="Q127" s="814"/>
      <c r="S127" s="817"/>
    </row>
    <row r="128" spans="2:19">
      <c r="B128" s="849"/>
      <c r="C128" s="821"/>
      <c r="D128" s="815"/>
      <c r="E128" s="815"/>
      <c r="F128" s="815"/>
      <c r="G128" s="815"/>
      <c r="H128" s="815"/>
      <c r="I128" s="814"/>
      <c r="J128" s="815"/>
      <c r="K128" s="815"/>
      <c r="L128" s="846"/>
      <c r="M128" s="814"/>
      <c r="N128" s="781"/>
      <c r="O128" s="814"/>
      <c r="P128" s="814"/>
      <c r="Q128" s="814"/>
      <c r="S128" s="817"/>
    </row>
    <row r="129" spans="2:19">
      <c r="B129" s="849"/>
      <c r="C129" s="821"/>
      <c r="D129" s="815"/>
      <c r="E129" s="815"/>
      <c r="F129" s="815"/>
      <c r="G129" s="815"/>
      <c r="H129" s="815"/>
      <c r="I129" s="814"/>
      <c r="J129" s="815"/>
      <c r="K129" s="815"/>
      <c r="L129" s="846"/>
      <c r="M129" s="814"/>
      <c r="N129" s="781"/>
      <c r="O129" s="814"/>
      <c r="P129" s="814"/>
      <c r="Q129" s="814"/>
      <c r="S129" s="817"/>
    </row>
    <row r="130" spans="2:19">
      <c r="B130" s="849"/>
      <c r="C130" s="821"/>
      <c r="D130" s="815"/>
      <c r="E130" s="815"/>
      <c r="F130" s="815"/>
      <c r="G130" s="815"/>
      <c r="H130" s="815"/>
      <c r="I130" s="814"/>
      <c r="J130" s="815"/>
      <c r="K130" s="815"/>
      <c r="L130" s="846"/>
      <c r="M130" s="814"/>
      <c r="N130" s="781"/>
      <c r="O130" s="814"/>
      <c r="P130" s="814"/>
      <c r="Q130" s="814"/>
      <c r="S130" s="817"/>
    </row>
    <row r="131" spans="2:19">
      <c r="B131" s="849"/>
      <c r="C131" s="823"/>
      <c r="D131" s="815"/>
      <c r="E131" s="815"/>
      <c r="F131" s="815"/>
      <c r="G131" s="815"/>
      <c r="H131" s="815"/>
      <c r="I131" s="814"/>
      <c r="J131" s="815"/>
      <c r="K131" s="815"/>
      <c r="L131" s="846"/>
      <c r="M131" s="814"/>
      <c r="N131" s="781"/>
      <c r="O131" s="814"/>
      <c r="P131" s="814"/>
      <c r="Q131" s="814"/>
      <c r="S131" s="817"/>
    </row>
    <row r="132" spans="2:19">
      <c r="B132" s="849"/>
      <c r="C132" s="821"/>
      <c r="D132" s="815"/>
      <c r="E132" s="815"/>
      <c r="F132" s="815"/>
      <c r="G132" s="815"/>
      <c r="H132" s="815"/>
      <c r="I132" s="814"/>
      <c r="J132" s="815"/>
      <c r="K132" s="815"/>
      <c r="L132" s="846"/>
      <c r="M132" s="814"/>
      <c r="N132" s="781"/>
      <c r="O132" s="814"/>
      <c r="P132" s="814"/>
      <c r="Q132" s="814"/>
      <c r="S132" s="817"/>
    </row>
    <row r="133" spans="2:19">
      <c r="B133" s="849"/>
      <c r="C133" s="821"/>
      <c r="D133" s="815"/>
      <c r="E133" s="815"/>
      <c r="F133" s="815"/>
      <c r="G133" s="815"/>
      <c r="H133" s="815"/>
      <c r="I133" s="814"/>
      <c r="J133" s="815"/>
      <c r="K133" s="815"/>
      <c r="L133" s="846"/>
      <c r="M133" s="814"/>
      <c r="N133" s="781"/>
      <c r="O133" s="814"/>
      <c r="P133" s="814"/>
      <c r="Q133" s="814"/>
      <c r="S133" s="817"/>
    </row>
    <row r="134" spans="2:19">
      <c r="B134" s="849"/>
      <c r="C134" s="821"/>
      <c r="D134" s="815"/>
      <c r="E134" s="815"/>
      <c r="F134" s="815"/>
      <c r="G134" s="815"/>
      <c r="H134" s="815"/>
      <c r="I134" s="814"/>
      <c r="J134" s="815"/>
      <c r="K134" s="815"/>
      <c r="L134" s="846"/>
      <c r="M134" s="814"/>
      <c r="N134" s="781"/>
      <c r="O134" s="814"/>
      <c r="P134" s="814"/>
      <c r="Q134" s="814"/>
      <c r="S134" s="817"/>
    </row>
    <row r="135" spans="2:19">
      <c r="B135" s="849"/>
      <c r="C135" s="821"/>
      <c r="D135" s="815"/>
      <c r="E135" s="815"/>
      <c r="F135" s="815"/>
      <c r="G135" s="815"/>
      <c r="H135" s="815"/>
      <c r="I135" s="814"/>
      <c r="J135" s="815"/>
      <c r="K135" s="815"/>
      <c r="L135" s="846"/>
      <c r="M135" s="814"/>
      <c r="N135" s="781"/>
      <c r="O135" s="814"/>
      <c r="P135" s="814"/>
      <c r="Q135" s="814"/>
      <c r="S135" s="817"/>
    </row>
    <row r="136" spans="2:19">
      <c r="B136" s="849"/>
      <c r="C136" s="821"/>
      <c r="D136" s="815"/>
      <c r="E136" s="815"/>
      <c r="F136" s="815"/>
      <c r="G136" s="815"/>
      <c r="H136" s="815"/>
      <c r="I136" s="814"/>
      <c r="J136" s="815"/>
      <c r="K136" s="815"/>
      <c r="L136" s="846"/>
      <c r="M136" s="814"/>
      <c r="N136" s="781"/>
      <c r="O136" s="814"/>
      <c r="P136" s="814"/>
      <c r="Q136" s="814"/>
      <c r="S136" s="817"/>
    </row>
    <row r="137" spans="2:19">
      <c r="B137" s="849"/>
      <c r="C137" s="821"/>
      <c r="D137" s="815"/>
      <c r="E137" s="815"/>
      <c r="F137" s="815"/>
      <c r="G137" s="815"/>
      <c r="H137" s="815"/>
      <c r="I137" s="814"/>
      <c r="J137" s="815"/>
      <c r="K137" s="815"/>
      <c r="L137" s="846"/>
      <c r="M137" s="814"/>
      <c r="N137" s="781"/>
      <c r="O137" s="814"/>
      <c r="P137" s="814"/>
      <c r="Q137" s="814"/>
      <c r="S137" s="817"/>
    </row>
    <row r="138" spans="2:19">
      <c r="B138" s="849"/>
      <c r="C138" s="821"/>
      <c r="D138" s="815"/>
      <c r="E138" s="815"/>
      <c r="F138" s="815"/>
      <c r="G138" s="815"/>
      <c r="H138" s="815"/>
      <c r="I138" s="814"/>
      <c r="J138" s="815"/>
      <c r="K138" s="815"/>
      <c r="L138" s="846"/>
      <c r="M138" s="814"/>
      <c r="N138" s="781"/>
      <c r="O138" s="814"/>
      <c r="P138" s="814"/>
      <c r="Q138" s="814"/>
      <c r="S138" s="817"/>
    </row>
    <row r="139" spans="2:19">
      <c r="B139" s="849"/>
      <c r="C139" s="821"/>
      <c r="D139" s="815"/>
      <c r="E139" s="815"/>
      <c r="F139" s="815"/>
      <c r="G139" s="815"/>
      <c r="H139" s="815"/>
      <c r="I139" s="814"/>
      <c r="J139" s="815"/>
      <c r="K139" s="815"/>
      <c r="L139" s="846"/>
      <c r="M139" s="814"/>
      <c r="N139" s="781"/>
      <c r="O139" s="814"/>
      <c r="P139" s="814"/>
      <c r="Q139" s="814"/>
      <c r="S139" s="817"/>
    </row>
    <row r="140" spans="2:19">
      <c r="B140" s="849"/>
      <c r="C140" s="821"/>
      <c r="D140" s="815"/>
      <c r="E140" s="815"/>
      <c r="F140" s="815"/>
      <c r="G140" s="815"/>
      <c r="H140" s="815"/>
      <c r="I140" s="814"/>
      <c r="J140" s="815"/>
      <c r="K140" s="815"/>
      <c r="L140" s="846"/>
      <c r="M140" s="814"/>
      <c r="N140" s="781"/>
      <c r="O140" s="814"/>
      <c r="P140" s="814"/>
      <c r="Q140" s="814"/>
      <c r="S140" s="817"/>
    </row>
    <row r="141" spans="2:19">
      <c r="B141" s="849"/>
      <c r="C141" s="821"/>
      <c r="D141" s="815"/>
      <c r="E141" s="815"/>
      <c r="F141" s="815"/>
      <c r="G141" s="815"/>
      <c r="H141" s="815"/>
      <c r="I141" s="814"/>
      <c r="J141" s="815"/>
      <c r="K141" s="815"/>
      <c r="L141" s="846"/>
      <c r="M141" s="814"/>
      <c r="N141" s="781"/>
      <c r="O141" s="814"/>
      <c r="P141" s="814"/>
      <c r="Q141" s="814"/>
      <c r="S141" s="817"/>
    </row>
    <row r="142" spans="2:19">
      <c r="B142" s="849"/>
      <c r="C142" s="821"/>
      <c r="D142" s="815"/>
      <c r="E142" s="815"/>
      <c r="F142" s="815"/>
      <c r="G142" s="815"/>
      <c r="H142" s="815"/>
      <c r="I142" s="814"/>
      <c r="J142" s="815"/>
      <c r="K142" s="815"/>
      <c r="L142" s="846"/>
      <c r="M142" s="814"/>
      <c r="N142" s="781"/>
      <c r="O142" s="814"/>
      <c r="P142" s="814"/>
      <c r="Q142" s="814"/>
      <c r="S142" s="817"/>
    </row>
    <row r="143" spans="2:19">
      <c r="B143" s="849"/>
      <c r="C143" s="823"/>
      <c r="D143" s="815"/>
      <c r="E143" s="815"/>
      <c r="F143" s="815"/>
      <c r="G143" s="815"/>
      <c r="H143" s="815"/>
      <c r="I143" s="814"/>
      <c r="J143" s="815"/>
      <c r="K143" s="815"/>
      <c r="L143" s="846"/>
      <c r="M143" s="814"/>
      <c r="N143" s="781"/>
      <c r="O143" s="814"/>
      <c r="P143" s="814"/>
      <c r="Q143" s="814"/>
      <c r="S143" s="817"/>
    </row>
    <row r="144" spans="2:19">
      <c r="B144" s="849"/>
      <c r="C144" s="821"/>
      <c r="D144" s="815"/>
      <c r="E144" s="815"/>
      <c r="F144" s="815"/>
      <c r="G144" s="815"/>
      <c r="H144" s="815"/>
      <c r="I144" s="814"/>
      <c r="J144" s="815"/>
      <c r="K144" s="815"/>
      <c r="L144" s="846"/>
      <c r="M144" s="814"/>
      <c r="N144" s="781"/>
      <c r="O144" s="814"/>
      <c r="P144" s="814"/>
      <c r="Q144" s="814"/>
      <c r="S144" s="817"/>
    </row>
    <row r="145" spans="2:19">
      <c r="B145" s="849"/>
      <c r="C145" s="821"/>
      <c r="D145" s="815"/>
      <c r="E145" s="815"/>
      <c r="F145" s="815"/>
      <c r="G145" s="815"/>
      <c r="H145" s="815"/>
      <c r="I145" s="814"/>
      <c r="J145" s="815"/>
      <c r="K145" s="815"/>
      <c r="L145" s="846"/>
      <c r="M145" s="814"/>
      <c r="N145" s="781"/>
      <c r="O145" s="814"/>
      <c r="P145" s="814"/>
      <c r="Q145" s="814"/>
      <c r="S145" s="817"/>
    </row>
    <row r="146" spans="2:19">
      <c r="B146" s="849"/>
      <c r="C146" s="821"/>
      <c r="D146" s="815"/>
      <c r="E146" s="815"/>
      <c r="F146" s="815"/>
      <c r="G146" s="815"/>
      <c r="H146" s="815"/>
      <c r="I146" s="814"/>
      <c r="J146" s="815"/>
      <c r="K146" s="815"/>
      <c r="L146" s="846"/>
      <c r="M146" s="814"/>
      <c r="N146" s="781"/>
      <c r="O146" s="814"/>
      <c r="P146" s="814"/>
      <c r="Q146" s="814"/>
      <c r="S146" s="817"/>
    </row>
    <row r="147" spans="2:19">
      <c r="B147" s="849"/>
      <c r="C147" s="821"/>
      <c r="D147" s="815"/>
      <c r="E147" s="815"/>
      <c r="F147" s="815"/>
      <c r="G147" s="815"/>
      <c r="H147" s="815"/>
      <c r="I147" s="814"/>
      <c r="J147" s="815"/>
      <c r="K147" s="815"/>
      <c r="L147" s="846"/>
      <c r="M147" s="814"/>
      <c r="N147" s="781"/>
      <c r="O147" s="814"/>
      <c r="P147" s="814"/>
      <c r="Q147" s="814"/>
      <c r="S147" s="817"/>
    </row>
    <row r="148" spans="2:19">
      <c r="B148" s="849"/>
      <c r="C148" s="821"/>
      <c r="D148" s="815"/>
      <c r="E148" s="815"/>
      <c r="F148" s="815"/>
      <c r="G148" s="815"/>
      <c r="H148" s="815"/>
      <c r="I148" s="814"/>
      <c r="J148" s="815"/>
      <c r="K148" s="815"/>
      <c r="L148" s="846"/>
      <c r="M148" s="814"/>
      <c r="N148" s="781"/>
      <c r="O148" s="814"/>
      <c r="P148" s="814"/>
      <c r="Q148" s="814"/>
      <c r="S148" s="817"/>
    </row>
    <row r="149" spans="2:19">
      <c r="B149" s="849"/>
      <c r="C149" s="821"/>
      <c r="D149" s="815"/>
      <c r="E149" s="815"/>
      <c r="F149" s="815"/>
      <c r="G149" s="815"/>
      <c r="H149" s="815"/>
      <c r="I149" s="814"/>
      <c r="J149" s="815"/>
      <c r="K149" s="815"/>
      <c r="L149" s="846"/>
      <c r="M149" s="814"/>
      <c r="N149" s="781"/>
      <c r="O149" s="814"/>
      <c r="P149" s="814"/>
      <c r="Q149" s="814"/>
      <c r="S149" s="817"/>
    </row>
    <row r="150" spans="2:19">
      <c r="B150" s="849"/>
      <c r="C150" s="821"/>
      <c r="D150" s="815"/>
      <c r="E150" s="815"/>
      <c r="F150" s="815"/>
      <c r="G150" s="815"/>
      <c r="H150" s="815"/>
      <c r="I150" s="814"/>
      <c r="J150" s="815"/>
      <c r="K150" s="815"/>
      <c r="L150" s="846"/>
      <c r="M150" s="814"/>
      <c r="N150" s="781"/>
      <c r="O150" s="814"/>
      <c r="P150" s="814"/>
      <c r="Q150" s="814"/>
      <c r="S150" s="817"/>
    </row>
    <row r="151" spans="2:19">
      <c r="B151" s="849"/>
      <c r="C151" s="821"/>
      <c r="D151" s="815"/>
      <c r="E151" s="815"/>
      <c r="F151" s="815"/>
      <c r="G151" s="815"/>
      <c r="H151" s="815"/>
      <c r="I151" s="814"/>
      <c r="J151" s="815"/>
      <c r="K151" s="815"/>
      <c r="L151" s="846"/>
      <c r="M151" s="814"/>
      <c r="N151" s="781"/>
      <c r="O151" s="814"/>
      <c r="P151" s="814"/>
      <c r="Q151" s="814"/>
      <c r="S151" s="817"/>
    </row>
    <row r="152" spans="2:19">
      <c r="B152" s="849"/>
      <c r="C152" s="821"/>
      <c r="D152" s="815"/>
      <c r="E152" s="815"/>
      <c r="F152" s="815"/>
      <c r="G152" s="815"/>
      <c r="H152" s="815"/>
      <c r="I152" s="814"/>
      <c r="J152" s="815"/>
      <c r="K152" s="815"/>
      <c r="L152" s="846"/>
      <c r="M152" s="814"/>
      <c r="N152" s="781"/>
      <c r="O152" s="814"/>
      <c r="P152" s="814"/>
      <c r="Q152" s="814"/>
      <c r="S152" s="817"/>
    </row>
    <row r="153" spans="2:19">
      <c r="B153" s="849"/>
      <c r="C153" s="821"/>
      <c r="D153" s="815"/>
      <c r="E153" s="815"/>
      <c r="F153" s="815"/>
      <c r="G153" s="815"/>
      <c r="H153" s="815"/>
      <c r="I153" s="814"/>
      <c r="J153" s="815"/>
      <c r="K153" s="815"/>
      <c r="L153" s="846"/>
      <c r="M153" s="814"/>
      <c r="N153" s="781"/>
      <c r="O153" s="814"/>
      <c r="P153" s="814"/>
      <c r="Q153" s="814"/>
      <c r="S153" s="817"/>
    </row>
    <row r="154" spans="2:19">
      <c r="B154" s="849"/>
      <c r="C154" s="821"/>
      <c r="D154" s="815"/>
      <c r="E154" s="815"/>
      <c r="F154" s="815"/>
      <c r="G154" s="815"/>
      <c r="H154" s="815"/>
      <c r="I154" s="814"/>
      <c r="J154" s="815"/>
      <c r="K154" s="815"/>
      <c r="L154" s="846"/>
      <c r="M154" s="814"/>
      <c r="N154" s="781"/>
      <c r="O154" s="814"/>
      <c r="P154" s="814"/>
      <c r="Q154" s="814"/>
      <c r="S154" s="817"/>
    </row>
    <row r="155" spans="2:19">
      <c r="B155" s="849"/>
      <c r="C155" s="823"/>
      <c r="D155" s="815"/>
      <c r="E155" s="815"/>
      <c r="F155" s="815"/>
      <c r="G155" s="815"/>
      <c r="H155" s="815"/>
      <c r="I155" s="814"/>
      <c r="J155" s="815"/>
      <c r="K155" s="815"/>
      <c r="L155" s="846"/>
      <c r="M155" s="814"/>
      <c r="N155" s="781"/>
      <c r="O155" s="814"/>
      <c r="P155" s="814"/>
      <c r="Q155" s="814"/>
      <c r="S155" s="817"/>
    </row>
    <row r="156" spans="2:19">
      <c r="B156" s="849"/>
      <c r="C156" s="821"/>
      <c r="D156" s="815"/>
      <c r="E156" s="815"/>
      <c r="F156" s="815"/>
      <c r="G156" s="815"/>
      <c r="H156" s="815"/>
      <c r="I156" s="814"/>
      <c r="J156" s="815"/>
      <c r="K156" s="815"/>
      <c r="L156" s="846"/>
      <c r="M156" s="814"/>
      <c r="N156" s="781"/>
      <c r="O156" s="814"/>
      <c r="P156" s="814"/>
      <c r="Q156" s="814"/>
      <c r="S156" s="817"/>
    </row>
    <row r="157" spans="2:19">
      <c r="B157" s="849"/>
      <c r="C157" s="821"/>
      <c r="D157" s="815"/>
      <c r="E157" s="815"/>
      <c r="F157" s="815"/>
      <c r="G157" s="815"/>
      <c r="H157" s="815"/>
      <c r="I157" s="814"/>
      <c r="J157" s="815"/>
      <c r="K157" s="815"/>
      <c r="L157" s="846"/>
      <c r="M157" s="814"/>
      <c r="N157" s="781"/>
      <c r="O157" s="814"/>
      <c r="P157" s="814"/>
      <c r="Q157" s="814"/>
      <c r="S157" s="817"/>
    </row>
    <row r="158" spans="2:19">
      <c r="B158" s="849"/>
      <c r="C158" s="821"/>
      <c r="D158" s="815"/>
      <c r="E158" s="815"/>
      <c r="F158" s="815"/>
      <c r="G158" s="815"/>
      <c r="H158" s="815"/>
      <c r="I158" s="814"/>
      <c r="J158" s="815"/>
      <c r="K158" s="815"/>
      <c r="L158" s="846"/>
      <c r="M158" s="814"/>
      <c r="N158" s="781"/>
      <c r="O158" s="814"/>
      <c r="P158" s="814"/>
      <c r="Q158" s="814"/>
      <c r="S158" s="817"/>
    </row>
    <row r="159" spans="2:19">
      <c r="B159" s="849"/>
      <c r="C159" s="821"/>
      <c r="D159" s="815"/>
      <c r="E159" s="815"/>
      <c r="F159" s="815"/>
      <c r="G159" s="815"/>
      <c r="H159" s="815"/>
      <c r="I159" s="814"/>
      <c r="J159" s="815"/>
      <c r="K159" s="815"/>
      <c r="L159" s="846"/>
      <c r="M159" s="814"/>
      <c r="N159" s="781"/>
      <c r="O159" s="814"/>
      <c r="P159" s="814"/>
      <c r="Q159" s="814"/>
      <c r="S159" s="817"/>
    </row>
    <row r="160" spans="2:19">
      <c r="B160" s="849"/>
      <c r="C160" s="821"/>
      <c r="D160" s="815"/>
      <c r="E160" s="815"/>
      <c r="F160" s="815"/>
      <c r="G160" s="815"/>
      <c r="H160" s="815"/>
      <c r="I160" s="814"/>
      <c r="J160" s="815"/>
      <c r="K160" s="815"/>
      <c r="L160" s="846"/>
      <c r="M160" s="814"/>
      <c r="N160" s="781"/>
      <c r="O160" s="814"/>
      <c r="P160" s="814"/>
      <c r="Q160" s="814"/>
      <c r="S160" s="817"/>
    </row>
    <row r="161" spans="2:19">
      <c r="B161" s="849"/>
      <c r="C161" s="821"/>
      <c r="D161" s="815"/>
      <c r="E161" s="815"/>
      <c r="F161" s="815"/>
      <c r="G161" s="815"/>
      <c r="H161" s="815"/>
      <c r="I161" s="814"/>
      <c r="J161" s="815"/>
      <c r="K161" s="815"/>
      <c r="L161" s="846"/>
      <c r="M161" s="814"/>
      <c r="N161" s="781"/>
      <c r="O161" s="814"/>
      <c r="P161" s="814"/>
      <c r="Q161" s="814"/>
      <c r="S161" s="817"/>
    </row>
    <row r="162" spans="2:19">
      <c r="B162" s="849"/>
      <c r="C162" s="821"/>
      <c r="D162" s="815"/>
      <c r="E162" s="815"/>
      <c r="F162" s="815"/>
      <c r="G162" s="815"/>
      <c r="H162" s="815"/>
      <c r="I162" s="814"/>
      <c r="J162" s="815"/>
      <c r="K162" s="815"/>
      <c r="L162" s="846"/>
      <c r="M162" s="814"/>
      <c r="N162" s="781"/>
      <c r="O162" s="814"/>
      <c r="P162" s="814"/>
      <c r="Q162" s="814"/>
      <c r="S162" s="817"/>
    </row>
    <row r="163" spans="2:19">
      <c r="B163" s="849"/>
      <c r="C163" s="821"/>
      <c r="D163" s="815"/>
      <c r="E163" s="815"/>
      <c r="F163" s="815"/>
      <c r="G163" s="815"/>
      <c r="H163" s="815"/>
      <c r="I163" s="814"/>
      <c r="J163" s="815"/>
      <c r="K163" s="815"/>
      <c r="L163" s="846"/>
      <c r="M163" s="814"/>
      <c r="N163" s="781"/>
      <c r="O163" s="814"/>
      <c r="P163" s="814"/>
      <c r="Q163" s="814"/>
      <c r="S163" s="817"/>
    </row>
    <row r="164" spans="2:19">
      <c r="B164" s="849"/>
      <c r="C164" s="821"/>
      <c r="D164" s="815"/>
      <c r="E164" s="815"/>
      <c r="F164" s="815"/>
      <c r="G164" s="815"/>
      <c r="H164" s="815"/>
      <c r="I164" s="814"/>
      <c r="J164" s="815"/>
      <c r="K164" s="815"/>
      <c r="L164" s="846"/>
      <c r="M164" s="814"/>
      <c r="N164" s="781"/>
      <c r="O164" s="814"/>
      <c r="P164" s="814"/>
      <c r="Q164" s="814"/>
      <c r="S164" s="817"/>
    </row>
    <row r="165" spans="2:19">
      <c r="B165" s="849"/>
      <c r="C165" s="821"/>
      <c r="D165" s="815"/>
      <c r="E165" s="815"/>
      <c r="F165" s="815"/>
      <c r="G165" s="815"/>
      <c r="H165" s="815"/>
      <c r="I165" s="814"/>
      <c r="J165" s="815"/>
      <c r="K165" s="815"/>
      <c r="L165" s="846"/>
      <c r="M165" s="814"/>
      <c r="N165" s="781"/>
      <c r="O165" s="814"/>
      <c r="P165" s="814"/>
      <c r="Q165" s="814"/>
      <c r="S165" s="817"/>
    </row>
    <row r="166" spans="2:19">
      <c r="B166" s="849"/>
      <c r="C166" s="821"/>
      <c r="D166" s="815"/>
      <c r="E166" s="815"/>
      <c r="F166" s="815"/>
      <c r="G166" s="815"/>
      <c r="H166" s="815"/>
      <c r="I166" s="814"/>
      <c r="J166" s="815"/>
      <c r="K166" s="815"/>
      <c r="L166" s="846"/>
      <c r="M166" s="814"/>
      <c r="N166" s="781"/>
      <c r="O166" s="814"/>
      <c r="P166" s="814"/>
      <c r="Q166" s="814"/>
      <c r="S166" s="817"/>
    </row>
    <row r="167" spans="2:19">
      <c r="B167" s="849"/>
      <c r="C167" s="823"/>
      <c r="D167" s="815"/>
      <c r="E167" s="815"/>
      <c r="F167" s="815"/>
      <c r="G167" s="815"/>
      <c r="H167" s="815"/>
      <c r="I167" s="814"/>
      <c r="J167" s="815"/>
      <c r="K167" s="815"/>
      <c r="L167" s="846"/>
      <c r="M167" s="814"/>
      <c r="N167" s="781"/>
      <c r="O167" s="814"/>
      <c r="P167" s="814"/>
      <c r="Q167" s="814"/>
      <c r="S167" s="817"/>
    </row>
    <row r="168" spans="2:19">
      <c r="B168" s="849"/>
      <c r="C168" s="821"/>
      <c r="D168" s="815"/>
      <c r="E168" s="815"/>
      <c r="F168" s="815"/>
      <c r="G168" s="815"/>
      <c r="H168" s="815"/>
      <c r="I168" s="814"/>
      <c r="J168" s="815"/>
      <c r="K168" s="815"/>
      <c r="L168" s="846"/>
      <c r="M168" s="814"/>
      <c r="N168" s="781"/>
      <c r="O168" s="814"/>
      <c r="P168" s="814"/>
      <c r="Q168" s="814"/>
      <c r="S168" s="817"/>
    </row>
    <row r="169" spans="2:19">
      <c r="B169" s="849"/>
      <c r="C169" s="821"/>
      <c r="D169" s="815"/>
      <c r="E169" s="815"/>
      <c r="F169" s="815"/>
      <c r="G169" s="815"/>
      <c r="H169" s="815"/>
      <c r="I169" s="814"/>
      <c r="J169" s="815"/>
      <c r="K169" s="815"/>
      <c r="L169" s="846"/>
      <c r="M169" s="814"/>
      <c r="N169" s="781"/>
      <c r="O169" s="814"/>
      <c r="P169" s="814"/>
      <c r="Q169" s="814"/>
      <c r="S169" s="817"/>
    </row>
    <row r="170" spans="2:19">
      <c r="B170" s="849"/>
      <c r="C170" s="821"/>
      <c r="D170" s="815"/>
      <c r="E170" s="815"/>
      <c r="F170" s="815"/>
      <c r="G170" s="815"/>
      <c r="H170" s="815"/>
      <c r="I170" s="814"/>
      <c r="J170" s="815"/>
      <c r="K170" s="815"/>
      <c r="L170" s="846"/>
      <c r="M170" s="814"/>
      <c r="N170" s="781"/>
      <c r="O170" s="814"/>
      <c r="P170" s="814"/>
      <c r="Q170" s="814"/>
      <c r="S170" s="817"/>
    </row>
    <row r="171" spans="2:19">
      <c r="B171" s="849"/>
      <c r="C171" s="821"/>
      <c r="D171" s="815"/>
      <c r="E171" s="815"/>
      <c r="F171" s="815"/>
      <c r="G171" s="815"/>
      <c r="H171" s="815"/>
      <c r="I171" s="814"/>
      <c r="J171" s="815"/>
      <c r="K171" s="815"/>
      <c r="L171" s="846"/>
      <c r="M171" s="814"/>
      <c r="N171" s="781"/>
      <c r="O171" s="814"/>
      <c r="P171" s="814"/>
      <c r="Q171" s="814"/>
      <c r="S171" s="817"/>
    </row>
    <row r="172" spans="2:19">
      <c r="B172" s="849"/>
      <c r="C172" s="821"/>
      <c r="D172" s="815"/>
      <c r="E172" s="815"/>
      <c r="F172" s="815"/>
      <c r="G172" s="815"/>
      <c r="H172" s="815"/>
      <c r="I172" s="814"/>
      <c r="J172" s="815"/>
      <c r="K172" s="815"/>
      <c r="L172" s="846"/>
      <c r="M172" s="814"/>
      <c r="N172" s="781"/>
      <c r="O172" s="814"/>
      <c r="P172" s="814"/>
      <c r="Q172" s="814"/>
      <c r="S172" s="817"/>
    </row>
    <row r="173" spans="2:19">
      <c r="B173" s="849"/>
      <c r="C173" s="821"/>
      <c r="D173" s="815"/>
      <c r="E173" s="815"/>
      <c r="F173" s="815"/>
      <c r="G173" s="815"/>
      <c r="H173" s="815"/>
      <c r="I173" s="814"/>
      <c r="J173" s="815"/>
      <c r="K173" s="815"/>
      <c r="L173" s="846"/>
      <c r="M173" s="814"/>
      <c r="N173" s="781"/>
      <c r="O173" s="814"/>
      <c r="P173" s="814"/>
      <c r="Q173" s="814"/>
      <c r="S173" s="817"/>
    </row>
    <row r="174" spans="2:19">
      <c r="B174" s="849"/>
      <c r="C174" s="821"/>
      <c r="D174" s="815"/>
      <c r="E174" s="815"/>
      <c r="F174" s="815"/>
      <c r="G174" s="815"/>
      <c r="H174" s="815"/>
      <c r="I174" s="814"/>
      <c r="J174" s="815"/>
      <c r="K174" s="815"/>
      <c r="L174" s="846"/>
      <c r="M174" s="814"/>
      <c r="N174" s="781"/>
      <c r="O174" s="814"/>
      <c r="P174" s="814"/>
      <c r="Q174" s="814"/>
      <c r="S174" s="817"/>
    </row>
    <row r="175" spans="2:19">
      <c r="B175" s="849"/>
      <c r="C175" s="821"/>
      <c r="D175" s="815"/>
      <c r="E175" s="815"/>
      <c r="F175" s="815"/>
      <c r="G175" s="815"/>
      <c r="H175" s="815"/>
      <c r="I175" s="814"/>
      <c r="J175" s="815"/>
      <c r="K175" s="815"/>
      <c r="L175" s="846"/>
      <c r="M175" s="814"/>
      <c r="N175" s="781"/>
      <c r="O175" s="814"/>
      <c r="P175" s="814"/>
      <c r="Q175" s="814"/>
      <c r="S175" s="817"/>
    </row>
    <row r="176" spans="2:19">
      <c r="B176" s="849"/>
      <c r="C176" s="821"/>
      <c r="D176" s="815"/>
      <c r="E176" s="815"/>
      <c r="F176" s="815"/>
      <c r="G176" s="815"/>
      <c r="H176" s="815"/>
      <c r="I176" s="814"/>
      <c r="J176" s="815"/>
      <c r="K176" s="815"/>
      <c r="L176" s="846"/>
      <c r="M176" s="814"/>
      <c r="N176" s="781"/>
      <c r="O176" s="814"/>
      <c r="P176" s="814"/>
      <c r="Q176" s="814"/>
      <c r="S176" s="817"/>
    </row>
    <row r="177" spans="2:19">
      <c r="B177" s="849"/>
      <c r="C177" s="821"/>
      <c r="D177" s="815"/>
      <c r="E177" s="815"/>
      <c r="F177" s="815"/>
      <c r="G177" s="815"/>
      <c r="H177" s="815"/>
      <c r="I177" s="814"/>
      <c r="J177" s="815"/>
      <c r="K177" s="815"/>
      <c r="L177" s="846"/>
      <c r="M177" s="814"/>
      <c r="N177" s="781"/>
      <c r="O177" s="814"/>
      <c r="P177" s="814"/>
      <c r="Q177" s="814"/>
      <c r="S177" s="817"/>
    </row>
    <row r="178" spans="2:19">
      <c r="B178" s="849"/>
      <c r="C178" s="821"/>
      <c r="D178" s="815"/>
      <c r="E178" s="815"/>
      <c r="F178" s="815"/>
      <c r="G178" s="815"/>
      <c r="H178" s="815"/>
      <c r="I178" s="814"/>
      <c r="J178" s="815"/>
      <c r="K178" s="815"/>
      <c r="L178" s="846"/>
      <c r="M178" s="814"/>
      <c r="N178" s="781"/>
      <c r="O178" s="814"/>
      <c r="P178" s="814"/>
      <c r="Q178" s="814"/>
      <c r="S178" s="817"/>
    </row>
    <row r="179" spans="2:19">
      <c r="B179" s="849"/>
      <c r="C179" s="823"/>
      <c r="D179" s="815"/>
      <c r="E179" s="815"/>
      <c r="F179" s="815"/>
      <c r="G179" s="815"/>
      <c r="H179" s="815"/>
      <c r="I179" s="814"/>
      <c r="J179" s="815"/>
      <c r="K179" s="815"/>
      <c r="L179" s="846"/>
      <c r="M179" s="814"/>
      <c r="N179" s="781"/>
      <c r="O179" s="814"/>
      <c r="P179" s="814"/>
      <c r="Q179" s="814"/>
      <c r="S179" s="817"/>
    </row>
    <row r="180" spans="2:19">
      <c r="B180" s="849"/>
      <c r="C180" s="821"/>
      <c r="D180" s="815"/>
      <c r="E180" s="815"/>
      <c r="F180" s="815"/>
      <c r="G180" s="815"/>
      <c r="H180" s="815"/>
      <c r="I180" s="814"/>
      <c r="J180" s="815"/>
      <c r="K180" s="815"/>
      <c r="L180" s="846"/>
      <c r="M180" s="814"/>
      <c r="N180" s="781"/>
      <c r="O180" s="814"/>
      <c r="P180" s="814"/>
      <c r="Q180" s="814"/>
      <c r="S180" s="817"/>
    </row>
    <row r="181" spans="2:19">
      <c r="B181" s="849"/>
      <c r="C181" s="821"/>
      <c r="D181" s="815"/>
      <c r="E181" s="815"/>
      <c r="F181" s="815"/>
      <c r="G181" s="815"/>
      <c r="H181" s="815"/>
      <c r="I181" s="814"/>
      <c r="J181" s="815"/>
      <c r="K181" s="815"/>
      <c r="L181" s="846"/>
      <c r="M181" s="814"/>
      <c r="N181" s="781"/>
      <c r="O181" s="814"/>
      <c r="P181" s="814"/>
      <c r="Q181" s="814"/>
      <c r="S181" s="817"/>
    </row>
    <row r="182" spans="2:19">
      <c r="B182" s="849"/>
      <c r="C182" s="821"/>
      <c r="D182" s="815"/>
      <c r="E182" s="815"/>
      <c r="F182" s="815"/>
      <c r="G182" s="815"/>
      <c r="H182" s="815"/>
      <c r="I182" s="814"/>
      <c r="J182" s="815"/>
      <c r="K182" s="815"/>
      <c r="L182" s="846"/>
      <c r="M182" s="814"/>
      <c r="N182" s="781"/>
      <c r="O182" s="814"/>
      <c r="P182" s="814"/>
      <c r="Q182" s="814"/>
      <c r="S182" s="817"/>
    </row>
    <row r="183" spans="2:19">
      <c r="B183" s="849"/>
      <c r="C183" s="821"/>
      <c r="D183" s="815"/>
      <c r="E183" s="815"/>
      <c r="F183" s="815"/>
      <c r="G183" s="815"/>
      <c r="H183" s="815"/>
      <c r="I183" s="814"/>
      <c r="J183" s="815"/>
      <c r="K183" s="815"/>
      <c r="L183" s="846"/>
      <c r="M183" s="814"/>
      <c r="N183" s="781"/>
      <c r="O183" s="814"/>
      <c r="P183" s="814"/>
      <c r="Q183" s="814"/>
      <c r="S183" s="817"/>
    </row>
    <row r="184" spans="2:19">
      <c r="B184" s="849"/>
      <c r="C184" s="821"/>
      <c r="D184" s="815"/>
      <c r="E184" s="815"/>
      <c r="F184" s="815"/>
      <c r="G184" s="815"/>
      <c r="H184" s="815"/>
      <c r="I184" s="814"/>
      <c r="J184" s="815"/>
      <c r="K184" s="815"/>
      <c r="L184" s="846"/>
      <c r="M184" s="814"/>
      <c r="N184" s="781"/>
      <c r="O184" s="814"/>
      <c r="P184" s="814"/>
      <c r="Q184" s="814"/>
      <c r="S184" s="817"/>
    </row>
    <row r="185" spans="2:19">
      <c r="B185" s="849"/>
      <c r="C185" s="821"/>
      <c r="D185" s="815"/>
      <c r="E185" s="815"/>
      <c r="F185" s="815"/>
      <c r="G185" s="815"/>
      <c r="H185" s="815"/>
      <c r="I185" s="814"/>
      <c r="J185" s="815"/>
      <c r="K185" s="815"/>
      <c r="L185" s="846"/>
      <c r="M185" s="814"/>
      <c r="N185" s="781"/>
      <c r="O185" s="814"/>
      <c r="P185" s="814"/>
      <c r="Q185" s="814"/>
      <c r="S185" s="817"/>
    </row>
    <row r="186" spans="2:19">
      <c r="B186" s="849"/>
      <c r="C186" s="821"/>
      <c r="D186" s="815"/>
      <c r="E186" s="815"/>
      <c r="F186" s="815"/>
      <c r="G186" s="815"/>
      <c r="H186" s="815"/>
      <c r="I186" s="814"/>
      <c r="J186" s="815"/>
      <c r="K186" s="815"/>
      <c r="L186" s="846"/>
      <c r="M186" s="814"/>
      <c r="N186" s="781"/>
      <c r="O186" s="814"/>
      <c r="P186" s="814"/>
      <c r="Q186" s="814"/>
      <c r="S186" s="817"/>
    </row>
    <row r="187" spans="2:19">
      <c r="B187" s="849"/>
      <c r="C187" s="821"/>
      <c r="D187" s="815"/>
      <c r="E187" s="815"/>
      <c r="F187" s="815"/>
      <c r="G187" s="815"/>
      <c r="H187" s="815"/>
      <c r="I187" s="814"/>
      <c r="J187" s="815"/>
      <c r="K187" s="815"/>
      <c r="L187" s="846"/>
      <c r="M187" s="814"/>
      <c r="N187" s="781"/>
      <c r="O187" s="814"/>
      <c r="P187" s="814"/>
      <c r="Q187" s="814"/>
      <c r="S187" s="817"/>
    </row>
    <row r="188" spans="2:19">
      <c r="B188" s="849"/>
      <c r="C188" s="821"/>
      <c r="D188" s="815"/>
      <c r="E188" s="815"/>
      <c r="F188" s="815"/>
      <c r="G188" s="815"/>
      <c r="H188" s="815"/>
      <c r="I188" s="814"/>
      <c r="J188" s="815"/>
      <c r="K188" s="815"/>
      <c r="L188" s="846"/>
      <c r="M188" s="814"/>
      <c r="N188" s="781"/>
      <c r="O188" s="814"/>
      <c r="P188" s="814"/>
      <c r="Q188" s="814"/>
      <c r="S188" s="817"/>
    </row>
    <row r="189" spans="2:19">
      <c r="B189" s="849"/>
      <c r="C189" s="821"/>
      <c r="D189" s="815"/>
      <c r="E189" s="815"/>
      <c r="F189" s="815"/>
      <c r="G189" s="815"/>
      <c r="H189" s="815"/>
      <c r="I189" s="814"/>
      <c r="J189" s="815"/>
      <c r="K189" s="815"/>
      <c r="L189" s="846"/>
      <c r="M189" s="814"/>
      <c r="N189" s="781"/>
      <c r="O189" s="814"/>
      <c r="P189" s="814"/>
      <c r="Q189" s="814"/>
      <c r="S189" s="817"/>
    </row>
    <row r="190" spans="2:19">
      <c r="B190" s="849"/>
      <c r="C190" s="821"/>
      <c r="D190" s="815"/>
      <c r="E190" s="815"/>
      <c r="F190" s="815"/>
      <c r="G190" s="815"/>
      <c r="H190" s="815"/>
      <c r="I190" s="814"/>
      <c r="J190" s="815"/>
      <c r="K190" s="815"/>
      <c r="L190" s="846"/>
      <c r="M190" s="814"/>
      <c r="N190" s="781"/>
      <c r="O190" s="814"/>
      <c r="P190" s="814"/>
      <c r="Q190" s="814"/>
      <c r="S190" s="817"/>
    </row>
    <row r="191" spans="2:19">
      <c r="B191" s="849"/>
      <c r="C191" s="823"/>
      <c r="D191" s="815"/>
      <c r="E191" s="815"/>
      <c r="F191" s="815"/>
      <c r="G191" s="815"/>
      <c r="H191" s="815"/>
      <c r="I191" s="814"/>
      <c r="J191" s="815"/>
      <c r="K191" s="815"/>
      <c r="L191" s="846"/>
      <c r="M191" s="814"/>
      <c r="N191" s="781"/>
      <c r="O191" s="814"/>
      <c r="P191" s="814"/>
      <c r="Q191" s="814"/>
      <c r="S191" s="817"/>
    </row>
    <row r="192" spans="2:19">
      <c r="B192" s="849"/>
      <c r="C192" s="821"/>
      <c r="D192" s="815"/>
      <c r="E192" s="815"/>
      <c r="F192" s="815"/>
      <c r="G192" s="815"/>
      <c r="H192" s="815"/>
      <c r="I192" s="814"/>
      <c r="J192" s="815"/>
      <c r="K192" s="815"/>
      <c r="L192" s="846"/>
      <c r="M192" s="814"/>
      <c r="N192" s="781"/>
      <c r="O192" s="814"/>
      <c r="P192" s="814"/>
      <c r="Q192" s="814"/>
      <c r="S192" s="817"/>
    </row>
    <row r="193" spans="2:19">
      <c r="B193" s="849"/>
      <c r="C193" s="821"/>
      <c r="D193" s="815"/>
      <c r="E193" s="815"/>
      <c r="F193" s="815"/>
      <c r="G193" s="815"/>
      <c r="H193" s="815"/>
      <c r="I193" s="814"/>
      <c r="J193" s="815"/>
      <c r="K193" s="815"/>
      <c r="L193" s="846"/>
      <c r="M193" s="814"/>
      <c r="N193" s="781"/>
      <c r="O193" s="814"/>
      <c r="P193" s="814"/>
      <c r="Q193" s="814"/>
      <c r="S193" s="817"/>
    </row>
    <row r="194" spans="2:19">
      <c r="B194" s="849"/>
      <c r="C194" s="821"/>
      <c r="D194" s="815"/>
      <c r="E194" s="815"/>
      <c r="F194" s="815"/>
      <c r="G194" s="815"/>
      <c r="H194" s="815"/>
      <c r="I194" s="814"/>
      <c r="J194" s="815"/>
      <c r="K194" s="815"/>
      <c r="L194" s="846"/>
      <c r="M194" s="814"/>
      <c r="N194" s="781"/>
      <c r="O194" s="814"/>
      <c r="P194" s="814"/>
      <c r="Q194" s="814"/>
      <c r="S194" s="817"/>
    </row>
    <row r="195" spans="2:19">
      <c r="B195" s="849"/>
      <c r="C195" s="821"/>
      <c r="D195" s="815"/>
      <c r="E195" s="815"/>
      <c r="F195" s="815"/>
      <c r="G195" s="815"/>
      <c r="H195" s="815"/>
      <c r="I195" s="814"/>
      <c r="J195" s="815"/>
      <c r="K195" s="815"/>
      <c r="L195" s="846"/>
      <c r="M195" s="814"/>
      <c r="N195" s="781"/>
      <c r="O195" s="814"/>
      <c r="P195" s="814"/>
      <c r="Q195" s="814"/>
      <c r="S195" s="817"/>
    </row>
    <row r="196" spans="2:19">
      <c r="B196" s="849"/>
      <c r="C196" s="821"/>
      <c r="D196" s="815"/>
      <c r="E196" s="815"/>
      <c r="F196" s="815"/>
      <c r="G196" s="815"/>
      <c r="H196" s="815"/>
      <c r="I196" s="814"/>
      <c r="J196" s="815"/>
      <c r="K196" s="815"/>
      <c r="L196" s="846"/>
      <c r="M196" s="814"/>
      <c r="N196" s="781"/>
      <c r="O196" s="814"/>
      <c r="P196" s="814"/>
      <c r="Q196" s="814"/>
      <c r="S196" s="817"/>
    </row>
    <row r="197" spans="2:19">
      <c r="B197" s="849"/>
      <c r="C197" s="821"/>
      <c r="D197" s="815"/>
      <c r="E197" s="815"/>
      <c r="F197" s="815"/>
      <c r="G197" s="815"/>
      <c r="H197" s="815"/>
      <c r="I197" s="814"/>
      <c r="J197" s="815"/>
      <c r="K197" s="815"/>
      <c r="L197" s="846"/>
      <c r="M197" s="814"/>
      <c r="N197" s="781"/>
      <c r="O197" s="814"/>
      <c r="P197" s="814"/>
      <c r="Q197" s="814"/>
      <c r="S197" s="817"/>
    </row>
    <row r="198" spans="2:19">
      <c r="B198" s="849"/>
      <c r="C198" s="821"/>
      <c r="D198" s="815"/>
      <c r="E198" s="815"/>
      <c r="F198" s="815"/>
      <c r="G198" s="815"/>
      <c r="H198" s="815"/>
      <c r="I198" s="814"/>
      <c r="J198" s="815"/>
      <c r="K198" s="815"/>
      <c r="L198" s="846"/>
      <c r="M198" s="814"/>
      <c r="N198" s="781"/>
      <c r="O198" s="814"/>
      <c r="P198" s="814"/>
      <c r="Q198" s="814"/>
      <c r="S198" s="817"/>
    </row>
    <row r="199" spans="2:19">
      <c r="B199" s="849"/>
      <c r="C199" s="821"/>
      <c r="D199" s="815"/>
      <c r="E199" s="815"/>
      <c r="F199" s="815"/>
      <c r="G199" s="815"/>
      <c r="H199" s="815"/>
      <c r="I199" s="814"/>
      <c r="J199" s="815"/>
      <c r="K199" s="815"/>
      <c r="L199" s="846"/>
      <c r="M199" s="814"/>
      <c r="N199" s="781"/>
      <c r="O199" s="814"/>
      <c r="P199" s="814"/>
      <c r="Q199" s="814"/>
      <c r="S199" s="817"/>
    </row>
    <row r="200" spans="2:19">
      <c r="B200" s="849"/>
      <c r="C200" s="821"/>
      <c r="D200" s="815"/>
      <c r="E200" s="815"/>
      <c r="F200" s="815"/>
      <c r="G200" s="815"/>
      <c r="H200" s="815"/>
      <c r="I200" s="814"/>
      <c r="J200" s="815"/>
      <c r="K200" s="815"/>
      <c r="L200" s="846"/>
      <c r="M200" s="814"/>
      <c r="N200" s="781"/>
      <c r="O200" s="814"/>
      <c r="P200" s="814"/>
      <c r="Q200" s="814"/>
      <c r="S200" s="817"/>
    </row>
    <row r="201" spans="2:19">
      <c r="B201" s="849"/>
      <c r="C201" s="821"/>
      <c r="D201" s="815"/>
      <c r="E201" s="815"/>
      <c r="F201" s="815"/>
      <c r="G201" s="815"/>
      <c r="H201" s="815"/>
      <c r="I201" s="814"/>
      <c r="J201" s="815"/>
      <c r="K201" s="815"/>
      <c r="L201" s="846"/>
      <c r="M201" s="814"/>
      <c r="N201" s="781"/>
      <c r="O201" s="814"/>
      <c r="P201" s="814"/>
      <c r="Q201" s="814"/>
      <c r="S201" s="817"/>
    </row>
    <row r="202" spans="2:19">
      <c r="B202" s="849"/>
      <c r="C202" s="821"/>
      <c r="D202" s="815"/>
      <c r="E202" s="815"/>
      <c r="F202" s="815"/>
      <c r="G202" s="815"/>
      <c r="H202" s="815"/>
      <c r="I202" s="814"/>
      <c r="J202" s="815"/>
      <c r="K202" s="815"/>
      <c r="L202" s="846"/>
      <c r="M202" s="814"/>
      <c r="N202" s="781"/>
      <c r="O202" s="814"/>
      <c r="P202" s="814"/>
      <c r="Q202" s="814"/>
      <c r="S202" s="817"/>
    </row>
    <row r="203" spans="2:19">
      <c r="B203" s="849"/>
      <c r="C203" s="823"/>
      <c r="D203" s="815"/>
      <c r="E203" s="815"/>
      <c r="F203" s="815"/>
      <c r="G203" s="815"/>
      <c r="H203" s="815"/>
      <c r="I203" s="814"/>
      <c r="J203" s="815"/>
      <c r="K203" s="815"/>
      <c r="L203" s="846"/>
      <c r="M203" s="814"/>
      <c r="N203" s="781"/>
      <c r="O203" s="814"/>
      <c r="P203" s="814"/>
      <c r="Q203" s="814"/>
      <c r="S203" s="817"/>
    </row>
    <row r="204" spans="2:19">
      <c r="B204" s="849"/>
      <c r="C204" s="821"/>
      <c r="D204" s="815"/>
      <c r="E204" s="815"/>
      <c r="F204" s="815"/>
      <c r="G204" s="815"/>
      <c r="H204" s="815"/>
      <c r="I204" s="814"/>
      <c r="J204" s="815"/>
      <c r="K204" s="815"/>
      <c r="L204" s="846"/>
      <c r="M204" s="814"/>
      <c r="N204" s="781"/>
      <c r="O204" s="814"/>
      <c r="P204" s="814"/>
      <c r="Q204" s="814"/>
      <c r="S204" s="817"/>
    </row>
    <row r="205" spans="2:19">
      <c r="B205" s="849"/>
      <c r="C205" s="821"/>
      <c r="D205" s="815"/>
      <c r="E205" s="815"/>
      <c r="F205" s="815"/>
      <c r="G205" s="815"/>
      <c r="H205" s="815"/>
      <c r="I205" s="814"/>
      <c r="J205" s="815"/>
      <c r="K205" s="815"/>
      <c r="L205" s="846"/>
      <c r="M205" s="814"/>
      <c r="N205" s="781"/>
      <c r="O205" s="814"/>
      <c r="P205" s="814"/>
      <c r="Q205" s="814"/>
      <c r="S205" s="817"/>
    </row>
    <row r="206" spans="2:19">
      <c r="B206" s="849"/>
      <c r="C206" s="821"/>
      <c r="D206" s="815"/>
      <c r="E206" s="815"/>
      <c r="F206" s="815"/>
      <c r="G206" s="815"/>
      <c r="H206" s="815"/>
      <c r="I206" s="814"/>
      <c r="J206" s="815"/>
      <c r="K206" s="815"/>
      <c r="L206" s="846"/>
      <c r="M206" s="814"/>
      <c r="N206" s="781"/>
      <c r="O206" s="814"/>
      <c r="P206" s="814"/>
      <c r="Q206" s="814"/>
      <c r="S206" s="817"/>
    </row>
    <row r="207" spans="2:19">
      <c r="B207" s="849"/>
      <c r="C207" s="821"/>
      <c r="D207" s="815"/>
      <c r="E207" s="815"/>
      <c r="F207" s="815"/>
      <c r="G207" s="815"/>
      <c r="H207" s="815"/>
      <c r="I207" s="814"/>
      <c r="J207" s="815"/>
      <c r="K207" s="815"/>
      <c r="L207" s="846"/>
      <c r="M207" s="814"/>
      <c r="N207" s="781"/>
      <c r="O207" s="814"/>
      <c r="P207" s="814"/>
      <c r="Q207" s="814"/>
      <c r="S207" s="817"/>
    </row>
    <row r="208" spans="2:19">
      <c r="B208" s="849"/>
      <c r="C208" s="821"/>
      <c r="D208" s="815"/>
      <c r="E208" s="815"/>
      <c r="F208" s="815"/>
      <c r="G208" s="815"/>
      <c r="H208" s="815"/>
      <c r="I208" s="814"/>
      <c r="J208" s="815"/>
      <c r="K208" s="815"/>
      <c r="L208" s="846"/>
      <c r="M208" s="814"/>
      <c r="N208" s="781"/>
      <c r="O208" s="814"/>
      <c r="P208" s="814"/>
      <c r="Q208" s="814"/>
      <c r="S208" s="817"/>
    </row>
    <row r="209" spans="2:19">
      <c r="B209" s="849"/>
      <c r="C209" s="821"/>
      <c r="D209" s="815"/>
      <c r="E209" s="815"/>
      <c r="F209" s="815"/>
      <c r="G209" s="815"/>
      <c r="H209" s="815"/>
      <c r="I209" s="814"/>
      <c r="J209" s="815"/>
      <c r="K209" s="815"/>
      <c r="L209" s="846"/>
      <c r="M209" s="814"/>
      <c r="N209" s="781"/>
      <c r="O209" s="814"/>
      <c r="P209" s="814"/>
      <c r="Q209" s="814"/>
      <c r="S209" s="817"/>
    </row>
    <row r="210" spans="2:19">
      <c r="B210" s="849"/>
      <c r="C210" s="821"/>
      <c r="D210" s="815"/>
      <c r="E210" s="815"/>
      <c r="F210" s="815"/>
      <c r="G210" s="815"/>
      <c r="H210" s="815"/>
      <c r="I210" s="814"/>
      <c r="J210" s="815"/>
      <c r="K210" s="815"/>
      <c r="L210" s="846"/>
      <c r="M210" s="814"/>
      <c r="N210" s="781"/>
      <c r="O210" s="814"/>
      <c r="P210" s="814"/>
      <c r="Q210" s="814"/>
      <c r="S210" s="817"/>
    </row>
    <row r="211" spans="2:19">
      <c r="B211" s="849"/>
      <c r="C211" s="821"/>
      <c r="D211" s="815"/>
      <c r="E211" s="815"/>
      <c r="F211" s="815"/>
      <c r="G211" s="815"/>
      <c r="H211" s="815"/>
      <c r="I211" s="814"/>
      <c r="J211" s="815"/>
      <c r="K211" s="815"/>
      <c r="L211" s="846"/>
      <c r="M211" s="814"/>
      <c r="N211" s="781"/>
      <c r="O211" s="814"/>
      <c r="P211" s="814"/>
      <c r="Q211" s="814"/>
      <c r="S211" s="817"/>
    </row>
    <row r="212" spans="2:19">
      <c r="B212" s="849"/>
      <c r="C212" s="821"/>
      <c r="D212" s="815"/>
      <c r="E212" s="815"/>
      <c r="F212" s="815"/>
      <c r="G212" s="815"/>
      <c r="H212" s="815"/>
      <c r="I212" s="814"/>
      <c r="J212" s="815"/>
      <c r="K212" s="815"/>
      <c r="L212" s="846"/>
      <c r="M212" s="814"/>
      <c r="N212" s="781"/>
      <c r="O212" s="814"/>
      <c r="P212" s="814"/>
      <c r="Q212" s="814"/>
      <c r="S212" s="817"/>
    </row>
    <row r="213" spans="2:19">
      <c r="B213" s="849"/>
      <c r="C213" s="821"/>
      <c r="D213" s="815"/>
      <c r="E213" s="815"/>
      <c r="F213" s="815"/>
      <c r="G213" s="815"/>
      <c r="H213" s="815"/>
      <c r="I213" s="814"/>
      <c r="J213" s="815"/>
      <c r="K213" s="815"/>
      <c r="L213" s="846"/>
      <c r="M213" s="814"/>
      <c r="N213" s="781"/>
      <c r="O213" s="814"/>
      <c r="P213" s="814"/>
      <c r="Q213" s="814"/>
      <c r="S213" s="817"/>
    </row>
    <row r="214" spans="2:19">
      <c r="B214" s="849"/>
      <c r="C214" s="821"/>
      <c r="D214" s="815"/>
      <c r="E214" s="815"/>
      <c r="F214" s="815"/>
      <c r="G214" s="815"/>
      <c r="H214" s="815"/>
      <c r="I214" s="814"/>
      <c r="J214" s="815"/>
      <c r="K214" s="815"/>
      <c r="L214" s="846"/>
      <c r="M214" s="814"/>
      <c r="N214" s="781"/>
      <c r="O214" s="814"/>
      <c r="P214" s="814"/>
      <c r="Q214" s="814"/>
      <c r="S214" s="817"/>
    </row>
    <row r="215" spans="2:19">
      <c r="B215" s="849"/>
      <c r="C215" s="823"/>
      <c r="D215" s="815"/>
      <c r="E215" s="815"/>
      <c r="F215" s="815"/>
      <c r="G215" s="815"/>
      <c r="H215" s="815"/>
      <c r="I215" s="814"/>
      <c r="J215" s="815"/>
      <c r="K215" s="815"/>
      <c r="L215" s="846"/>
      <c r="M215" s="814"/>
      <c r="N215" s="781"/>
      <c r="O215" s="814"/>
      <c r="P215" s="814"/>
      <c r="Q215" s="814"/>
      <c r="S215" s="817"/>
    </row>
    <row r="216" spans="2:19">
      <c r="B216" s="849"/>
      <c r="C216" s="821"/>
      <c r="D216" s="815"/>
      <c r="E216" s="815"/>
      <c r="F216" s="815"/>
      <c r="G216" s="815"/>
      <c r="H216" s="815"/>
      <c r="I216" s="814"/>
      <c r="J216" s="815"/>
      <c r="K216" s="815"/>
      <c r="L216" s="846"/>
      <c r="M216" s="814"/>
      <c r="N216" s="781"/>
      <c r="O216" s="814"/>
      <c r="P216" s="814"/>
      <c r="Q216" s="814"/>
      <c r="S216" s="817"/>
    </row>
    <row r="217" spans="2:19">
      <c r="B217" s="849"/>
      <c r="C217" s="821"/>
      <c r="D217" s="815"/>
      <c r="E217" s="815"/>
      <c r="F217" s="815"/>
      <c r="G217" s="815"/>
      <c r="H217" s="815"/>
      <c r="I217" s="814"/>
      <c r="J217" s="815"/>
      <c r="K217" s="815"/>
      <c r="L217" s="846"/>
      <c r="M217" s="814"/>
      <c r="N217" s="781"/>
      <c r="O217" s="814"/>
      <c r="P217" s="814"/>
      <c r="Q217" s="814"/>
      <c r="S217" s="817"/>
    </row>
    <row r="218" spans="2:19">
      <c r="B218" s="849"/>
      <c r="C218" s="821"/>
      <c r="D218" s="815"/>
      <c r="E218" s="815"/>
      <c r="F218" s="815"/>
      <c r="G218" s="815"/>
      <c r="H218" s="815"/>
      <c r="I218" s="814"/>
      <c r="J218" s="815"/>
      <c r="K218" s="815"/>
      <c r="L218" s="846"/>
      <c r="M218" s="814"/>
      <c r="N218" s="781"/>
      <c r="O218" s="814"/>
      <c r="P218" s="814"/>
      <c r="Q218" s="814"/>
      <c r="S218" s="817"/>
    </row>
    <row r="219" spans="2:19">
      <c r="B219" s="849"/>
      <c r="C219" s="821"/>
      <c r="D219" s="815"/>
      <c r="E219" s="815"/>
      <c r="F219" s="815"/>
      <c r="G219" s="815"/>
      <c r="H219" s="815"/>
      <c r="I219" s="814"/>
      <c r="J219" s="815"/>
      <c r="K219" s="815"/>
      <c r="L219" s="846"/>
      <c r="M219" s="814"/>
      <c r="N219" s="781"/>
      <c r="O219" s="814"/>
      <c r="P219" s="814"/>
      <c r="Q219" s="814"/>
      <c r="S219" s="817"/>
    </row>
    <row r="220" spans="2:19">
      <c r="B220" s="849"/>
      <c r="C220" s="821"/>
      <c r="D220" s="815"/>
      <c r="E220" s="815"/>
      <c r="F220" s="815"/>
      <c r="G220" s="815"/>
      <c r="H220" s="815"/>
      <c r="I220" s="814"/>
      <c r="J220" s="815"/>
      <c r="K220" s="815"/>
      <c r="L220" s="846"/>
      <c r="M220" s="814"/>
      <c r="N220" s="781"/>
      <c r="O220" s="814"/>
      <c r="P220" s="814"/>
      <c r="Q220" s="814"/>
      <c r="S220" s="817"/>
    </row>
    <row r="221" spans="2:19">
      <c r="B221" s="849"/>
      <c r="C221" s="821"/>
      <c r="D221" s="815"/>
      <c r="E221" s="815"/>
      <c r="F221" s="815"/>
      <c r="G221" s="815"/>
      <c r="H221" s="815"/>
      <c r="I221" s="814"/>
      <c r="J221" s="815"/>
      <c r="K221" s="815"/>
      <c r="L221" s="846"/>
      <c r="M221" s="814"/>
      <c r="N221" s="781"/>
      <c r="O221" s="814"/>
      <c r="P221" s="814"/>
      <c r="Q221" s="814"/>
      <c r="S221" s="817"/>
    </row>
    <row r="222" spans="2:19">
      <c r="B222" s="849"/>
      <c r="C222" s="821"/>
      <c r="D222" s="815"/>
      <c r="E222" s="815"/>
      <c r="F222" s="815"/>
      <c r="G222" s="815"/>
      <c r="H222" s="815"/>
      <c r="I222" s="814"/>
      <c r="J222" s="815"/>
      <c r="K222" s="815"/>
      <c r="L222" s="846"/>
      <c r="M222" s="814"/>
      <c r="N222" s="781"/>
      <c r="O222" s="814"/>
      <c r="P222" s="814"/>
      <c r="Q222" s="814"/>
      <c r="S222" s="817"/>
    </row>
    <row r="223" spans="2:19">
      <c r="B223" s="849"/>
      <c r="C223" s="821"/>
      <c r="D223" s="815"/>
      <c r="E223" s="815"/>
      <c r="F223" s="815"/>
      <c r="G223" s="815"/>
      <c r="H223" s="815"/>
      <c r="I223" s="814"/>
      <c r="J223" s="815"/>
      <c r="K223" s="815"/>
      <c r="L223" s="846"/>
      <c r="M223" s="814"/>
      <c r="N223" s="781"/>
      <c r="O223" s="814"/>
      <c r="P223" s="814"/>
      <c r="Q223" s="814"/>
      <c r="S223" s="817"/>
    </row>
    <row r="224" spans="2:19">
      <c r="B224" s="849"/>
      <c r="C224" s="821"/>
      <c r="D224" s="815"/>
      <c r="E224" s="815"/>
      <c r="F224" s="815"/>
      <c r="G224" s="815"/>
      <c r="H224" s="815"/>
      <c r="I224" s="814"/>
      <c r="J224" s="815"/>
      <c r="K224" s="815"/>
      <c r="L224" s="846"/>
      <c r="M224" s="814"/>
      <c r="N224" s="781"/>
      <c r="O224" s="814"/>
      <c r="P224" s="814"/>
      <c r="Q224" s="814"/>
      <c r="S224" s="817"/>
    </row>
    <row r="225" spans="2:19">
      <c r="B225" s="849"/>
      <c r="C225" s="821"/>
      <c r="D225" s="815"/>
      <c r="E225" s="815"/>
      <c r="F225" s="815"/>
      <c r="G225" s="815"/>
      <c r="H225" s="815"/>
      <c r="I225" s="814"/>
      <c r="J225" s="815"/>
      <c r="K225" s="815"/>
      <c r="L225" s="846"/>
      <c r="M225" s="814"/>
      <c r="N225" s="781"/>
      <c r="O225" s="814"/>
      <c r="P225" s="814"/>
      <c r="Q225" s="814"/>
      <c r="S225" s="817"/>
    </row>
    <row r="226" spans="2:19">
      <c r="B226" s="849"/>
      <c r="C226" s="821"/>
      <c r="D226" s="815"/>
      <c r="E226" s="815"/>
      <c r="F226" s="815"/>
      <c r="G226" s="815"/>
      <c r="H226" s="815"/>
      <c r="I226" s="814"/>
      <c r="J226" s="815"/>
      <c r="K226" s="815"/>
      <c r="L226" s="846"/>
      <c r="M226" s="814"/>
      <c r="N226" s="781"/>
      <c r="O226" s="814"/>
      <c r="P226" s="814"/>
      <c r="Q226" s="814"/>
      <c r="S226" s="817"/>
    </row>
    <row r="227" spans="2:19">
      <c r="B227" s="849"/>
      <c r="C227" s="823"/>
      <c r="D227" s="815"/>
      <c r="E227" s="815"/>
      <c r="F227" s="815"/>
      <c r="G227" s="815"/>
      <c r="H227" s="815"/>
      <c r="I227" s="814"/>
      <c r="J227" s="815"/>
      <c r="K227" s="815"/>
      <c r="L227" s="846"/>
      <c r="M227" s="814"/>
      <c r="N227" s="781"/>
      <c r="O227" s="814"/>
      <c r="P227" s="814"/>
      <c r="Q227" s="814"/>
      <c r="S227" s="817"/>
    </row>
    <row r="228" spans="2:19">
      <c r="B228" s="849"/>
      <c r="C228" s="821"/>
      <c r="D228" s="815"/>
      <c r="E228" s="815"/>
      <c r="F228" s="815"/>
      <c r="G228" s="815"/>
      <c r="H228" s="815"/>
      <c r="I228" s="814"/>
      <c r="J228" s="815"/>
      <c r="K228" s="815"/>
      <c r="L228" s="846"/>
      <c r="M228" s="814"/>
      <c r="N228" s="781"/>
      <c r="O228" s="814"/>
      <c r="P228" s="814"/>
      <c r="Q228" s="814"/>
      <c r="S228" s="817"/>
    </row>
    <row r="229" spans="2:19">
      <c r="B229" s="849"/>
      <c r="C229" s="821"/>
      <c r="D229" s="815"/>
      <c r="E229" s="815"/>
      <c r="F229" s="815"/>
      <c r="G229" s="815"/>
      <c r="H229" s="815"/>
      <c r="I229" s="814"/>
      <c r="J229" s="815"/>
      <c r="K229" s="815"/>
      <c r="L229" s="846"/>
      <c r="M229" s="814"/>
      <c r="N229" s="781"/>
      <c r="O229" s="814"/>
      <c r="P229" s="814"/>
      <c r="Q229" s="814"/>
      <c r="S229" s="817"/>
    </row>
    <row r="230" spans="2:19">
      <c r="B230" s="849"/>
      <c r="C230" s="821"/>
      <c r="D230" s="815"/>
      <c r="E230" s="815"/>
      <c r="F230" s="815"/>
      <c r="G230" s="815"/>
      <c r="H230" s="815"/>
      <c r="I230" s="814"/>
      <c r="J230" s="815"/>
      <c r="K230" s="815"/>
      <c r="L230" s="846"/>
      <c r="M230" s="814"/>
      <c r="N230" s="781"/>
      <c r="O230" s="814"/>
      <c r="P230" s="814"/>
      <c r="Q230" s="814"/>
      <c r="S230" s="817"/>
    </row>
    <row r="231" spans="2:19">
      <c r="B231" s="849"/>
      <c r="C231" s="821"/>
      <c r="D231" s="815"/>
      <c r="E231" s="815"/>
      <c r="F231" s="815"/>
      <c r="G231" s="815"/>
      <c r="H231" s="815"/>
      <c r="I231" s="814"/>
      <c r="J231" s="815"/>
      <c r="K231" s="815"/>
      <c r="L231" s="846"/>
      <c r="M231" s="814"/>
      <c r="N231" s="781"/>
      <c r="O231" s="814"/>
      <c r="P231" s="814"/>
      <c r="Q231" s="814"/>
      <c r="S231" s="817"/>
    </row>
    <row r="232" spans="2:19">
      <c r="B232" s="849"/>
      <c r="C232" s="821"/>
      <c r="D232" s="815"/>
      <c r="E232" s="815"/>
      <c r="F232" s="815"/>
      <c r="G232" s="815"/>
      <c r="H232" s="815"/>
      <c r="I232" s="814"/>
      <c r="J232" s="815"/>
      <c r="K232" s="815"/>
      <c r="L232" s="846"/>
      <c r="M232" s="814"/>
      <c r="N232" s="781"/>
      <c r="O232" s="814"/>
      <c r="P232" s="814"/>
      <c r="Q232" s="814"/>
      <c r="S232" s="817"/>
    </row>
    <row r="233" spans="2:19">
      <c r="B233" s="849"/>
      <c r="C233" s="821"/>
      <c r="D233" s="815"/>
      <c r="E233" s="815"/>
      <c r="F233" s="815"/>
      <c r="G233" s="815"/>
      <c r="H233" s="815"/>
      <c r="I233" s="814"/>
      <c r="J233" s="815"/>
      <c r="K233" s="815"/>
      <c r="L233" s="846"/>
      <c r="M233" s="814"/>
      <c r="N233" s="781"/>
      <c r="O233" s="814"/>
      <c r="P233" s="814"/>
      <c r="Q233" s="814"/>
      <c r="S233" s="817"/>
    </row>
    <row r="234" spans="2:19">
      <c r="B234" s="849"/>
      <c r="C234" s="821"/>
      <c r="D234" s="815"/>
      <c r="E234" s="815"/>
      <c r="F234" s="815"/>
      <c r="G234" s="815"/>
      <c r="H234" s="815"/>
      <c r="I234" s="814"/>
      <c r="J234" s="815"/>
      <c r="K234" s="815"/>
      <c r="L234" s="846"/>
      <c r="M234" s="814"/>
      <c r="N234" s="781"/>
      <c r="O234" s="814"/>
      <c r="P234" s="814"/>
      <c r="Q234" s="814"/>
      <c r="S234" s="817"/>
    </row>
    <row r="235" spans="2:19">
      <c r="B235" s="849"/>
      <c r="C235" s="821"/>
      <c r="D235" s="815"/>
      <c r="E235" s="815"/>
      <c r="F235" s="815"/>
      <c r="G235" s="815"/>
      <c r="H235" s="815"/>
      <c r="I235" s="814"/>
      <c r="J235" s="815"/>
      <c r="K235" s="815"/>
      <c r="L235" s="846"/>
      <c r="M235" s="814"/>
      <c r="N235" s="781"/>
      <c r="O235" s="814"/>
      <c r="P235" s="814"/>
      <c r="Q235" s="814"/>
      <c r="S235" s="817"/>
    </row>
    <row r="236" spans="2:19">
      <c r="B236" s="849"/>
      <c r="C236" s="821"/>
      <c r="D236" s="815"/>
      <c r="E236" s="815"/>
      <c r="F236" s="815"/>
      <c r="G236" s="815"/>
      <c r="H236" s="815"/>
      <c r="I236" s="814"/>
      <c r="J236" s="815"/>
      <c r="K236" s="815"/>
      <c r="L236" s="846"/>
      <c r="M236" s="814"/>
      <c r="N236" s="781"/>
      <c r="O236" s="814"/>
      <c r="P236" s="814"/>
      <c r="Q236" s="814"/>
      <c r="S236" s="817"/>
    </row>
    <row r="237" spans="2:19">
      <c r="B237" s="849"/>
      <c r="C237" s="821"/>
      <c r="D237" s="815"/>
      <c r="E237" s="815"/>
      <c r="F237" s="815"/>
      <c r="G237" s="815"/>
      <c r="H237" s="815"/>
      <c r="I237" s="814"/>
      <c r="J237" s="815"/>
      <c r="K237" s="815"/>
      <c r="L237" s="846"/>
      <c r="M237" s="814"/>
      <c r="N237" s="781"/>
      <c r="O237" s="814"/>
      <c r="P237" s="814"/>
      <c r="Q237" s="814"/>
      <c r="S237" s="817"/>
    </row>
    <row r="238" spans="2:19">
      <c r="B238" s="849"/>
      <c r="C238" s="821"/>
      <c r="D238" s="815"/>
      <c r="E238" s="815"/>
      <c r="F238" s="815"/>
      <c r="G238" s="815"/>
      <c r="H238" s="815"/>
      <c r="I238" s="814"/>
      <c r="J238" s="815"/>
      <c r="K238" s="815"/>
      <c r="L238" s="846"/>
      <c r="M238" s="814"/>
      <c r="N238" s="781"/>
      <c r="O238" s="814"/>
      <c r="P238" s="814"/>
      <c r="Q238" s="814"/>
      <c r="S238" s="817"/>
    </row>
    <row r="239" spans="2:19">
      <c r="B239" s="849"/>
      <c r="C239" s="823"/>
      <c r="D239" s="815"/>
      <c r="E239" s="815"/>
      <c r="F239" s="815"/>
      <c r="G239" s="815"/>
      <c r="H239" s="815"/>
      <c r="I239" s="814"/>
      <c r="J239" s="815"/>
      <c r="K239" s="815"/>
      <c r="L239" s="846"/>
      <c r="M239" s="814"/>
      <c r="N239" s="781"/>
      <c r="O239" s="814"/>
      <c r="P239" s="814"/>
      <c r="Q239" s="814"/>
      <c r="S239" s="817"/>
    </row>
    <row r="240" spans="2:19">
      <c r="B240" s="849"/>
      <c r="C240" s="821"/>
      <c r="D240" s="815"/>
      <c r="E240" s="815"/>
      <c r="F240" s="815"/>
      <c r="G240" s="815"/>
      <c r="H240" s="815"/>
      <c r="I240" s="814"/>
      <c r="J240" s="815"/>
      <c r="K240" s="815"/>
      <c r="L240" s="846"/>
      <c r="M240" s="814"/>
      <c r="N240" s="781"/>
      <c r="O240" s="814"/>
      <c r="P240" s="814"/>
      <c r="Q240" s="814"/>
      <c r="S240" s="817"/>
    </row>
    <row r="241" spans="2:19">
      <c r="B241" s="849"/>
      <c r="C241" s="821"/>
      <c r="D241" s="815"/>
      <c r="E241" s="815"/>
      <c r="F241" s="815"/>
      <c r="G241" s="815"/>
      <c r="H241" s="815"/>
      <c r="I241" s="814"/>
      <c r="J241" s="815"/>
      <c r="K241" s="815"/>
      <c r="L241" s="846"/>
      <c r="M241" s="814"/>
      <c r="N241" s="781"/>
      <c r="O241" s="814"/>
      <c r="P241" s="814"/>
      <c r="Q241" s="814"/>
      <c r="S241" s="817"/>
    </row>
    <row r="242" spans="2:19">
      <c r="B242" s="849"/>
      <c r="C242" s="821"/>
      <c r="D242" s="815"/>
      <c r="E242" s="815"/>
      <c r="F242" s="815"/>
      <c r="G242" s="815"/>
      <c r="H242" s="815"/>
      <c r="I242" s="814"/>
      <c r="J242" s="815"/>
      <c r="K242" s="815"/>
      <c r="L242" s="846"/>
      <c r="M242" s="814"/>
      <c r="N242" s="781"/>
      <c r="O242" s="814"/>
      <c r="P242" s="814"/>
      <c r="Q242" s="814"/>
      <c r="S242" s="817"/>
    </row>
    <row r="243" spans="2:19">
      <c r="B243" s="849"/>
      <c r="C243" s="821"/>
      <c r="D243" s="815"/>
      <c r="E243" s="815"/>
      <c r="F243" s="815"/>
      <c r="G243" s="815"/>
      <c r="H243" s="815"/>
      <c r="I243" s="814"/>
      <c r="J243" s="815"/>
      <c r="K243" s="815"/>
      <c r="L243" s="846"/>
      <c r="M243" s="814"/>
      <c r="N243" s="781"/>
      <c r="O243" s="814"/>
      <c r="P243" s="814"/>
      <c r="Q243" s="814"/>
      <c r="S243" s="817"/>
    </row>
    <row r="244" spans="2:19">
      <c r="B244" s="849"/>
      <c r="C244" s="821"/>
      <c r="D244" s="815"/>
      <c r="E244" s="815"/>
      <c r="F244" s="815"/>
      <c r="G244" s="815"/>
      <c r="H244" s="815"/>
      <c r="I244" s="814"/>
      <c r="J244" s="815"/>
      <c r="K244" s="815"/>
      <c r="L244" s="846"/>
      <c r="M244" s="814"/>
      <c r="N244" s="781"/>
      <c r="O244" s="814"/>
      <c r="P244" s="814"/>
      <c r="Q244" s="814"/>
      <c r="S244" s="817"/>
    </row>
    <row r="245" spans="2:19">
      <c r="B245" s="849"/>
      <c r="C245" s="821"/>
      <c r="D245" s="815"/>
      <c r="E245" s="815"/>
      <c r="F245" s="815"/>
      <c r="G245" s="815"/>
      <c r="H245" s="815"/>
      <c r="I245" s="814"/>
      <c r="J245" s="815"/>
      <c r="K245" s="815"/>
      <c r="L245" s="846"/>
      <c r="M245" s="814"/>
      <c r="N245" s="781"/>
      <c r="O245" s="814"/>
      <c r="P245" s="814"/>
      <c r="Q245" s="814"/>
      <c r="S245" s="817"/>
    </row>
    <row r="246" spans="2:19">
      <c r="B246" s="849"/>
      <c r="C246" s="821"/>
      <c r="D246" s="815"/>
      <c r="E246" s="815"/>
      <c r="F246" s="815"/>
      <c r="G246" s="815"/>
      <c r="H246" s="815"/>
      <c r="I246" s="814"/>
      <c r="J246" s="815"/>
      <c r="K246" s="815"/>
      <c r="L246" s="846"/>
      <c r="M246" s="814"/>
      <c r="N246" s="781"/>
      <c r="O246" s="814"/>
      <c r="P246" s="814"/>
      <c r="Q246" s="814"/>
      <c r="S246" s="817"/>
    </row>
    <row r="247" spans="2:19">
      <c r="B247" s="849"/>
      <c r="C247" s="821"/>
      <c r="D247" s="815"/>
      <c r="E247" s="815"/>
      <c r="F247" s="815"/>
      <c r="G247" s="815"/>
      <c r="H247" s="815"/>
      <c r="I247" s="814"/>
      <c r="J247" s="815"/>
      <c r="K247" s="815"/>
      <c r="L247" s="846"/>
      <c r="M247" s="814"/>
      <c r="N247" s="781"/>
      <c r="O247" s="814"/>
      <c r="P247" s="814"/>
      <c r="Q247" s="814"/>
      <c r="S247" s="817"/>
    </row>
    <row r="248" spans="2:19">
      <c r="B248" s="849"/>
      <c r="C248" s="821"/>
      <c r="D248" s="815"/>
      <c r="E248" s="815"/>
      <c r="F248" s="815"/>
      <c r="G248" s="815"/>
      <c r="H248" s="815"/>
      <c r="I248" s="814"/>
      <c r="J248" s="815"/>
      <c r="K248" s="815"/>
      <c r="L248" s="846"/>
      <c r="M248" s="814"/>
      <c r="N248" s="781"/>
      <c r="O248" s="814"/>
      <c r="P248" s="814"/>
      <c r="Q248" s="814"/>
      <c r="S248" s="817"/>
    </row>
    <row r="249" spans="2:19">
      <c r="B249" s="849"/>
      <c r="C249" s="821"/>
      <c r="D249" s="815"/>
      <c r="E249" s="815"/>
      <c r="F249" s="815"/>
      <c r="G249" s="815"/>
      <c r="H249" s="815"/>
      <c r="I249" s="814"/>
      <c r="J249" s="815"/>
      <c r="K249" s="815"/>
      <c r="L249" s="846"/>
      <c r="M249" s="814"/>
      <c r="N249" s="781"/>
      <c r="O249" s="814"/>
      <c r="P249" s="814"/>
      <c r="Q249" s="814"/>
      <c r="S249" s="817"/>
    </row>
    <row r="250" spans="2:19">
      <c r="B250" s="849"/>
      <c r="C250" s="821"/>
      <c r="D250" s="815"/>
      <c r="E250" s="815"/>
      <c r="F250" s="815"/>
      <c r="G250" s="815"/>
      <c r="H250" s="815"/>
      <c r="I250" s="814"/>
      <c r="J250" s="815"/>
      <c r="K250" s="815"/>
      <c r="L250" s="846"/>
      <c r="M250" s="814"/>
      <c r="N250" s="781"/>
      <c r="O250" s="814"/>
      <c r="P250" s="814"/>
      <c r="Q250" s="814"/>
      <c r="S250" s="817"/>
    </row>
    <row r="251" spans="2:19">
      <c r="B251" s="849"/>
      <c r="C251" s="823"/>
      <c r="D251" s="815"/>
      <c r="E251" s="815"/>
      <c r="F251" s="815"/>
      <c r="G251" s="815"/>
      <c r="H251" s="815"/>
      <c r="I251" s="814"/>
      <c r="J251" s="815"/>
      <c r="K251" s="815"/>
      <c r="L251" s="846"/>
      <c r="M251" s="814"/>
      <c r="N251" s="781"/>
      <c r="O251" s="814"/>
      <c r="P251" s="814"/>
      <c r="Q251" s="814"/>
      <c r="S251" s="817"/>
    </row>
    <row r="252" spans="2:19">
      <c r="B252" s="849"/>
      <c r="C252" s="821"/>
      <c r="D252" s="815"/>
      <c r="E252" s="815"/>
      <c r="F252" s="815"/>
      <c r="G252" s="815"/>
      <c r="H252" s="815"/>
      <c r="I252" s="814"/>
      <c r="J252" s="815"/>
      <c r="K252" s="815"/>
      <c r="L252" s="846"/>
      <c r="M252" s="814"/>
      <c r="N252" s="781"/>
      <c r="O252" s="814"/>
      <c r="P252" s="814"/>
      <c r="Q252" s="814"/>
      <c r="S252" s="817"/>
    </row>
    <row r="253" spans="2:19">
      <c r="B253" s="849"/>
      <c r="C253" s="821"/>
      <c r="D253" s="815"/>
      <c r="E253" s="815"/>
      <c r="F253" s="815"/>
      <c r="G253" s="815"/>
      <c r="H253" s="815"/>
      <c r="I253" s="814"/>
      <c r="J253" s="815"/>
      <c r="K253" s="815"/>
      <c r="L253" s="846"/>
      <c r="M253" s="814"/>
      <c r="N253" s="781"/>
      <c r="O253" s="814"/>
      <c r="P253" s="814"/>
      <c r="Q253" s="814"/>
      <c r="S253" s="817"/>
    </row>
    <row r="254" spans="2:19">
      <c r="B254" s="849"/>
      <c r="C254" s="821"/>
      <c r="D254" s="815"/>
      <c r="E254" s="815"/>
      <c r="F254" s="815"/>
      <c r="G254" s="815"/>
      <c r="H254" s="815"/>
      <c r="I254" s="814"/>
      <c r="J254" s="815"/>
      <c r="K254" s="815"/>
      <c r="L254" s="846"/>
      <c r="M254" s="814"/>
      <c r="N254" s="781"/>
      <c r="O254" s="814"/>
      <c r="P254" s="814"/>
      <c r="Q254" s="814"/>
      <c r="S254" s="817"/>
    </row>
    <row r="255" spans="2:19">
      <c r="B255" s="849"/>
      <c r="C255" s="821"/>
      <c r="D255" s="815"/>
      <c r="E255" s="815"/>
      <c r="F255" s="815"/>
      <c r="G255" s="815"/>
      <c r="H255" s="815"/>
      <c r="I255" s="814"/>
      <c r="J255" s="815"/>
      <c r="K255" s="815"/>
      <c r="L255" s="846"/>
      <c r="M255" s="814"/>
      <c r="N255" s="781"/>
      <c r="O255" s="814"/>
      <c r="P255" s="814"/>
      <c r="Q255" s="814"/>
      <c r="S255" s="817"/>
    </row>
    <row r="256" spans="2:19">
      <c r="B256" s="849"/>
      <c r="C256" s="821"/>
      <c r="D256" s="815"/>
      <c r="E256" s="815"/>
      <c r="F256" s="815"/>
      <c r="G256" s="815"/>
      <c r="H256" s="815"/>
      <c r="I256" s="814"/>
      <c r="J256" s="815"/>
      <c r="K256" s="815"/>
      <c r="L256" s="846"/>
      <c r="M256" s="814"/>
      <c r="N256" s="781"/>
      <c r="O256" s="814"/>
      <c r="P256" s="814"/>
      <c r="Q256" s="814"/>
      <c r="S256" s="817"/>
    </row>
    <row r="257" spans="2:19">
      <c r="B257" s="849"/>
      <c r="C257" s="821"/>
      <c r="D257" s="815"/>
      <c r="E257" s="815"/>
      <c r="F257" s="815"/>
      <c r="G257" s="815"/>
      <c r="H257" s="815"/>
      <c r="I257" s="814"/>
      <c r="J257" s="815"/>
      <c r="K257" s="815"/>
      <c r="L257" s="846"/>
      <c r="M257" s="814"/>
      <c r="N257" s="781"/>
      <c r="O257" s="814"/>
      <c r="P257" s="814"/>
      <c r="Q257" s="814"/>
      <c r="S257" s="817"/>
    </row>
    <row r="258" spans="2:19">
      <c r="B258" s="849"/>
      <c r="C258" s="821"/>
      <c r="D258" s="815"/>
      <c r="E258" s="815"/>
      <c r="F258" s="815"/>
      <c r="G258" s="815"/>
      <c r="H258" s="815"/>
      <c r="I258" s="814"/>
      <c r="J258" s="815"/>
      <c r="K258" s="815"/>
      <c r="L258" s="846"/>
      <c r="M258" s="814"/>
      <c r="N258" s="781"/>
      <c r="O258" s="814"/>
      <c r="P258" s="814"/>
      <c r="Q258" s="814"/>
      <c r="S258" s="817"/>
    </row>
    <row r="259" spans="2:19">
      <c r="B259" s="849"/>
      <c r="C259" s="821"/>
      <c r="D259" s="815"/>
      <c r="E259" s="815"/>
      <c r="F259" s="815"/>
      <c r="G259" s="815"/>
      <c r="H259" s="815"/>
      <c r="I259" s="814"/>
      <c r="J259" s="815"/>
      <c r="K259" s="815"/>
      <c r="L259" s="846"/>
      <c r="M259" s="814"/>
      <c r="N259" s="781"/>
      <c r="O259" s="814"/>
      <c r="P259" s="814"/>
      <c r="Q259" s="814"/>
      <c r="S259" s="817"/>
    </row>
    <row r="260" spans="2:19">
      <c r="B260" s="849"/>
      <c r="C260" s="821"/>
      <c r="D260" s="815"/>
      <c r="E260" s="815"/>
      <c r="F260" s="815"/>
      <c r="G260" s="815"/>
      <c r="H260" s="815"/>
      <c r="I260" s="814"/>
      <c r="J260" s="815"/>
      <c r="K260" s="815"/>
      <c r="L260" s="846"/>
      <c r="M260" s="814"/>
      <c r="N260" s="781"/>
      <c r="O260" s="814"/>
      <c r="P260" s="814"/>
      <c r="Q260" s="814"/>
    </row>
    <row r="261" spans="2:19">
      <c r="D261" s="815"/>
      <c r="E261" s="815"/>
      <c r="F261" s="815"/>
      <c r="G261" s="815"/>
      <c r="H261" s="815"/>
      <c r="I261" s="814"/>
      <c r="J261" s="815"/>
      <c r="K261" s="815"/>
      <c r="L261" s="846"/>
      <c r="M261" s="814"/>
      <c r="N261" s="781"/>
      <c r="O261" s="814"/>
      <c r="P261" s="814"/>
      <c r="Q261" s="814"/>
    </row>
    <row r="262" spans="2:19">
      <c r="D262" s="815"/>
      <c r="E262" s="815"/>
      <c r="F262" s="815"/>
      <c r="G262" s="815"/>
      <c r="H262" s="815"/>
      <c r="I262" s="814"/>
      <c r="J262" s="815"/>
      <c r="K262" s="815"/>
      <c r="L262" s="846"/>
      <c r="M262" s="814"/>
      <c r="N262" s="781"/>
      <c r="O262" s="814"/>
      <c r="P262" s="814"/>
      <c r="Q262" s="814"/>
    </row>
    <row r="263" spans="2:19">
      <c r="D263" s="815"/>
      <c r="E263" s="815"/>
      <c r="F263" s="815"/>
      <c r="G263" s="815"/>
      <c r="H263" s="815"/>
      <c r="I263" s="814"/>
      <c r="J263" s="815"/>
      <c r="K263" s="815"/>
      <c r="L263" s="846"/>
      <c r="M263" s="814"/>
      <c r="N263" s="781"/>
      <c r="O263" s="814"/>
      <c r="P263" s="814"/>
      <c r="Q263" s="814"/>
    </row>
    <row r="264" spans="2:19">
      <c r="D264" s="815"/>
      <c r="E264" s="815"/>
      <c r="F264" s="815"/>
      <c r="G264" s="815"/>
      <c r="H264" s="815"/>
      <c r="I264" s="814"/>
      <c r="J264" s="815"/>
      <c r="K264" s="815"/>
      <c r="L264" s="846"/>
      <c r="M264" s="814"/>
      <c r="N264" s="781"/>
      <c r="O264" s="814"/>
      <c r="P264" s="814"/>
      <c r="Q264" s="814"/>
    </row>
    <row r="265" spans="2:19">
      <c r="D265" s="815"/>
      <c r="E265" s="815"/>
      <c r="F265" s="815"/>
      <c r="G265" s="815"/>
      <c r="H265" s="815"/>
      <c r="I265" s="814"/>
      <c r="J265" s="815"/>
      <c r="K265" s="815"/>
      <c r="L265" s="846"/>
      <c r="M265" s="814"/>
      <c r="N265" s="781"/>
      <c r="O265" s="814"/>
      <c r="P265" s="814"/>
      <c r="Q265" s="814"/>
    </row>
    <row r="266" spans="2:19">
      <c r="D266" s="815"/>
      <c r="E266" s="815"/>
      <c r="F266" s="815"/>
      <c r="G266" s="815"/>
      <c r="H266" s="815"/>
      <c r="I266" s="814"/>
      <c r="J266" s="815"/>
      <c r="K266" s="815"/>
      <c r="L266" s="846"/>
      <c r="M266" s="814"/>
      <c r="N266" s="781"/>
      <c r="O266" s="814"/>
      <c r="P266" s="814"/>
      <c r="Q266" s="814"/>
    </row>
    <row r="267" spans="2:19">
      <c r="D267" s="815"/>
      <c r="E267" s="815"/>
      <c r="F267" s="815"/>
      <c r="G267" s="815"/>
      <c r="H267" s="815"/>
      <c r="I267" s="814"/>
      <c r="J267" s="815"/>
      <c r="K267" s="815"/>
      <c r="L267" s="846"/>
      <c r="M267" s="814"/>
      <c r="N267" s="781"/>
      <c r="O267" s="814"/>
      <c r="P267" s="814"/>
      <c r="Q267" s="814"/>
    </row>
    <row r="268" spans="2:19">
      <c r="D268" s="815"/>
      <c r="E268" s="815"/>
      <c r="F268" s="815"/>
      <c r="G268" s="815"/>
      <c r="H268" s="815"/>
      <c r="I268" s="814"/>
      <c r="J268" s="815"/>
      <c r="K268" s="815"/>
      <c r="L268" s="846"/>
      <c r="M268" s="814"/>
      <c r="N268" s="781"/>
      <c r="O268" s="814"/>
      <c r="P268" s="814"/>
      <c r="Q268" s="814"/>
    </row>
    <row r="269" spans="2:19">
      <c r="D269" s="815"/>
      <c r="E269" s="815"/>
      <c r="F269" s="815"/>
      <c r="G269" s="815"/>
      <c r="H269" s="815"/>
      <c r="I269" s="814"/>
      <c r="J269" s="815"/>
      <c r="K269" s="815"/>
      <c r="L269" s="846"/>
      <c r="M269" s="814"/>
      <c r="N269" s="781"/>
      <c r="O269" s="814"/>
      <c r="P269" s="814"/>
      <c r="Q269" s="814"/>
    </row>
    <row r="270" spans="2:19">
      <c r="D270" s="815"/>
      <c r="E270" s="815"/>
      <c r="F270" s="815"/>
      <c r="G270" s="815"/>
      <c r="H270" s="815"/>
      <c r="I270" s="814"/>
      <c r="J270" s="815"/>
      <c r="K270" s="815"/>
      <c r="L270" s="846"/>
      <c r="M270" s="814"/>
      <c r="N270" s="781"/>
      <c r="O270" s="814"/>
      <c r="P270" s="814"/>
      <c r="Q270" s="814"/>
    </row>
    <row r="271" spans="2:19">
      <c r="D271" s="815"/>
      <c r="E271" s="815"/>
      <c r="F271" s="815"/>
      <c r="G271" s="815"/>
      <c r="H271" s="815"/>
      <c r="I271" s="814"/>
      <c r="J271" s="815"/>
      <c r="K271" s="815"/>
      <c r="L271" s="846"/>
      <c r="M271" s="814"/>
      <c r="N271" s="781"/>
      <c r="O271" s="814"/>
      <c r="P271" s="814"/>
      <c r="Q271" s="814"/>
    </row>
    <row r="272" spans="2:19">
      <c r="D272" s="815"/>
      <c r="E272" s="815"/>
      <c r="F272" s="815"/>
      <c r="G272" s="815"/>
      <c r="H272" s="815"/>
      <c r="I272" s="814"/>
      <c r="J272" s="815"/>
      <c r="K272" s="815"/>
      <c r="L272" s="846"/>
      <c r="M272" s="814"/>
      <c r="N272" s="781"/>
      <c r="O272" s="814"/>
      <c r="P272" s="814"/>
      <c r="Q272" s="814"/>
    </row>
    <row r="273" spans="4:17">
      <c r="D273" s="815"/>
      <c r="E273" s="815"/>
      <c r="F273" s="815"/>
      <c r="G273" s="815"/>
      <c r="H273" s="815"/>
      <c r="I273" s="814"/>
      <c r="J273" s="815"/>
      <c r="K273" s="815"/>
      <c r="L273" s="846"/>
      <c r="M273" s="814"/>
      <c r="N273" s="781"/>
      <c r="O273" s="814"/>
      <c r="P273" s="814"/>
      <c r="Q273" s="814"/>
    </row>
    <row r="274" spans="4:17">
      <c r="D274" s="815"/>
      <c r="E274" s="815"/>
      <c r="F274" s="815"/>
      <c r="G274" s="815"/>
      <c r="H274" s="815"/>
      <c r="I274" s="814"/>
      <c r="J274" s="815"/>
      <c r="K274" s="815"/>
      <c r="L274" s="846"/>
      <c r="M274" s="814"/>
      <c r="N274" s="781"/>
      <c r="O274" s="814"/>
      <c r="P274" s="814"/>
      <c r="Q274" s="814"/>
    </row>
    <row r="275" spans="4:17">
      <c r="D275" s="815"/>
      <c r="E275" s="815"/>
      <c r="F275" s="815"/>
      <c r="G275" s="815"/>
      <c r="H275" s="815"/>
      <c r="I275" s="814"/>
      <c r="J275" s="815"/>
      <c r="K275" s="815"/>
      <c r="L275" s="846"/>
      <c r="M275" s="814"/>
      <c r="N275" s="781"/>
      <c r="O275" s="814"/>
      <c r="P275" s="814"/>
      <c r="Q275" s="814"/>
    </row>
    <row r="276" spans="4:17">
      <c r="D276" s="815"/>
      <c r="E276" s="815"/>
      <c r="F276" s="815"/>
      <c r="G276" s="815"/>
      <c r="H276" s="815"/>
      <c r="I276" s="814"/>
      <c r="J276" s="815"/>
      <c r="K276" s="815"/>
      <c r="L276" s="846"/>
      <c r="M276" s="814"/>
      <c r="N276" s="781"/>
      <c r="O276" s="814"/>
      <c r="P276" s="814"/>
      <c r="Q276" s="814"/>
    </row>
    <row r="277" spans="4:17">
      <c r="D277" s="815"/>
      <c r="E277" s="815"/>
      <c r="F277" s="815"/>
      <c r="G277" s="815"/>
      <c r="H277" s="815"/>
      <c r="I277" s="814"/>
      <c r="J277" s="815"/>
      <c r="K277" s="815"/>
      <c r="L277" s="846"/>
      <c r="M277" s="814"/>
      <c r="N277" s="781"/>
      <c r="O277" s="814"/>
      <c r="P277" s="814"/>
      <c r="Q277" s="814"/>
    </row>
    <row r="278" spans="4:17">
      <c r="D278" s="815"/>
      <c r="E278" s="815"/>
      <c r="F278" s="815"/>
      <c r="G278" s="815"/>
      <c r="H278" s="815"/>
      <c r="I278" s="814"/>
      <c r="J278" s="815"/>
      <c r="K278" s="815"/>
      <c r="L278" s="846"/>
      <c r="M278" s="814"/>
      <c r="N278" s="781"/>
      <c r="O278" s="814"/>
      <c r="P278" s="814"/>
      <c r="Q278" s="814"/>
    </row>
    <row r="279" spans="4:17">
      <c r="D279" s="815"/>
      <c r="E279" s="815"/>
      <c r="F279" s="815"/>
      <c r="G279" s="815"/>
      <c r="H279" s="815"/>
      <c r="I279" s="814"/>
      <c r="J279" s="815"/>
      <c r="K279" s="815"/>
      <c r="L279" s="846"/>
      <c r="M279" s="814"/>
      <c r="N279" s="781"/>
      <c r="O279" s="814"/>
      <c r="P279" s="814"/>
      <c r="Q279" s="814"/>
    </row>
    <row r="280" spans="4:17">
      <c r="D280" s="815"/>
      <c r="E280" s="815"/>
      <c r="F280" s="815"/>
      <c r="G280" s="815"/>
      <c r="H280" s="815"/>
      <c r="I280" s="814"/>
      <c r="J280" s="815"/>
      <c r="K280" s="815"/>
      <c r="L280" s="846"/>
      <c r="M280" s="814"/>
      <c r="N280" s="781"/>
      <c r="O280" s="814"/>
      <c r="P280" s="814"/>
      <c r="Q280" s="814"/>
    </row>
    <row r="281" spans="4:17">
      <c r="Q281" s="792"/>
    </row>
    <row r="282" spans="4:17">
      <c r="Q282" s="792"/>
    </row>
    <row r="283" spans="4:17">
      <c r="Q283" s="792"/>
    </row>
    <row r="284" spans="4:17">
      <c r="Q284" s="792"/>
    </row>
    <row r="285" spans="4:17">
      <c r="Q285" s="792"/>
    </row>
    <row r="286" spans="4:17">
      <c r="Q286" s="792"/>
    </row>
    <row r="287" spans="4:17">
      <c r="Q287" s="792"/>
    </row>
    <row r="288" spans="4:17">
      <c r="Q288" s="792"/>
    </row>
    <row r="289" spans="17:17">
      <c r="Q289" s="792"/>
    </row>
    <row r="290" spans="17:17">
      <c r="Q290" s="792"/>
    </row>
    <row r="291" spans="17:17">
      <c r="Q291" s="792"/>
    </row>
    <row r="292" spans="17:17">
      <c r="Q292" s="792"/>
    </row>
    <row r="293" spans="17:17">
      <c r="Q293" s="792"/>
    </row>
    <row r="294" spans="17:17">
      <c r="Q294" s="792"/>
    </row>
    <row r="295" spans="17:17">
      <c r="Q295" s="792"/>
    </row>
    <row r="296" spans="17:17">
      <c r="Q296" s="792"/>
    </row>
    <row r="297" spans="17:17">
      <c r="Q297" s="792"/>
    </row>
    <row r="298" spans="17:17">
      <c r="Q298" s="792"/>
    </row>
    <row r="299" spans="17:17">
      <c r="Q299" s="792"/>
    </row>
    <row r="300" spans="17:17">
      <c r="Q300" s="792"/>
    </row>
    <row r="301" spans="17:17">
      <c r="Q301" s="792"/>
    </row>
    <row r="302" spans="17:17">
      <c r="Q302" s="792"/>
    </row>
    <row r="303" spans="17:17">
      <c r="Q303" s="792"/>
    </row>
    <row r="304" spans="17:17">
      <c r="Q304" s="792"/>
    </row>
    <row r="305" spans="17:17">
      <c r="Q305" s="792"/>
    </row>
    <row r="306" spans="17:17">
      <c r="Q306" s="792"/>
    </row>
    <row r="307" spans="17:17">
      <c r="Q307" s="792"/>
    </row>
    <row r="308" spans="17:17">
      <c r="Q308" s="792"/>
    </row>
    <row r="309" spans="17:17">
      <c r="Q309" s="792"/>
    </row>
    <row r="310" spans="17:17">
      <c r="Q310" s="792"/>
    </row>
    <row r="311" spans="17:17">
      <c r="Q311" s="792"/>
    </row>
    <row r="312" spans="17:17">
      <c r="Q312" s="792"/>
    </row>
    <row r="313" spans="17:17">
      <c r="Q313" s="792"/>
    </row>
    <row r="314" spans="17:17">
      <c r="Q314" s="792"/>
    </row>
    <row r="315" spans="17:17">
      <c r="Q315" s="792"/>
    </row>
    <row r="316" spans="17:17">
      <c r="Q316" s="792"/>
    </row>
    <row r="317" spans="17:17">
      <c r="Q317" s="792"/>
    </row>
    <row r="318" spans="17:17">
      <c r="Q318" s="792"/>
    </row>
    <row r="319" spans="17:17">
      <c r="Q319" s="792"/>
    </row>
    <row r="320" spans="17:17">
      <c r="Q320" s="792"/>
    </row>
    <row r="321" spans="17:17">
      <c r="Q321" s="792"/>
    </row>
    <row r="322" spans="17:17">
      <c r="Q322" s="792"/>
    </row>
    <row r="323" spans="17:17">
      <c r="Q323" s="792"/>
    </row>
    <row r="324" spans="17:17">
      <c r="Q324" s="792"/>
    </row>
    <row r="325" spans="17:17">
      <c r="Q325" s="792"/>
    </row>
    <row r="326" spans="17:17">
      <c r="Q326" s="792"/>
    </row>
    <row r="327" spans="17:17">
      <c r="Q327" s="792"/>
    </row>
    <row r="328" spans="17:17">
      <c r="Q328" s="792"/>
    </row>
    <row r="329" spans="17:17">
      <c r="Q329" s="792"/>
    </row>
    <row r="330" spans="17:17">
      <c r="Q330" s="792"/>
    </row>
    <row r="331" spans="17:17">
      <c r="Q331" s="792"/>
    </row>
    <row r="332" spans="17:17">
      <c r="Q332" s="792"/>
    </row>
    <row r="333" spans="17:17">
      <c r="Q333" s="792"/>
    </row>
    <row r="334" spans="17:17">
      <c r="Q334" s="792"/>
    </row>
    <row r="335" spans="17:17">
      <c r="Q335" s="792"/>
    </row>
    <row r="336" spans="17:17">
      <c r="Q336" s="792"/>
    </row>
    <row r="337" spans="17:17">
      <c r="Q337" s="792"/>
    </row>
    <row r="338" spans="17:17">
      <c r="Q338" s="792"/>
    </row>
    <row r="339" spans="17:17">
      <c r="Q339" s="792"/>
    </row>
    <row r="340" spans="17:17">
      <c r="Q340" s="792"/>
    </row>
    <row r="341" spans="17:17">
      <c r="Q341" s="792"/>
    </row>
    <row r="342" spans="17:17">
      <c r="Q342" s="792"/>
    </row>
    <row r="343" spans="17:17">
      <c r="Q343" s="792"/>
    </row>
    <row r="344" spans="17:17">
      <c r="Q344" s="792"/>
    </row>
    <row r="345" spans="17:17">
      <c r="Q345" s="792"/>
    </row>
    <row r="346" spans="17:17">
      <c r="Q346" s="792"/>
    </row>
    <row r="347" spans="17:17">
      <c r="Q347" s="792"/>
    </row>
    <row r="348" spans="17:17">
      <c r="Q348" s="792"/>
    </row>
    <row r="349" spans="17:17">
      <c r="Q349" s="792"/>
    </row>
    <row r="350" spans="17:17">
      <c r="Q350" s="792"/>
    </row>
    <row r="351" spans="17:17">
      <c r="Q351" s="792"/>
    </row>
    <row r="352" spans="17:17">
      <c r="Q352" s="792"/>
    </row>
    <row r="353" spans="17:17">
      <c r="Q353" s="792"/>
    </row>
    <row r="354" spans="17:17">
      <c r="Q354" s="792"/>
    </row>
    <row r="355" spans="17:17">
      <c r="Q355" s="792"/>
    </row>
    <row r="356" spans="17:17">
      <c r="Q356" s="792"/>
    </row>
    <row r="357" spans="17:17">
      <c r="Q357" s="792"/>
    </row>
    <row r="358" spans="17:17">
      <c r="Q358" s="792"/>
    </row>
    <row r="359" spans="17:17">
      <c r="Q359" s="792"/>
    </row>
    <row r="360" spans="17:17">
      <c r="Q360" s="792"/>
    </row>
    <row r="361" spans="17:17">
      <c r="Q361" s="792"/>
    </row>
    <row r="362" spans="17:17">
      <c r="Q362" s="792"/>
    </row>
    <row r="363" spans="17:17">
      <c r="Q363" s="792"/>
    </row>
    <row r="364" spans="17:17">
      <c r="Q364" s="792"/>
    </row>
    <row r="365" spans="17:17">
      <c r="Q365" s="792"/>
    </row>
    <row r="366" spans="17:17">
      <c r="Q366" s="792"/>
    </row>
    <row r="367" spans="17:17">
      <c r="Q367" s="792"/>
    </row>
    <row r="368" spans="17:17">
      <c r="Q368" s="792"/>
    </row>
    <row r="369" spans="17:17">
      <c r="Q369" s="792"/>
    </row>
    <row r="370" spans="17:17">
      <c r="Q370" s="792"/>
    </row>
    <row r="371" spans="17:17">
      <c r="Q371" s="792"/>
    </row>
    <row r="372" spans="17:17">
      <c r="Q372" s="792"/>
    </row>
    <row r="373" spans="17:17">
      <c r="Q373" s="792"/>
    </row>
    <row r="374" spans="17:17">
      <c r="Q374" s="792"/>
    </row>
    <row r="375" spans="17:17">
      <c r="Q375" s="792"/>
    </row>
    <row r="376" spans="17:17">
      <c r="Q376" s="792"/>
    </row>
    <row r="377" spans="17:17">
      <c r="Q377" s="792"/>
    </row>
    <row r="378" spans="17:17">
      <c r="Q378" s="792"/>
    </row>
    <row r="379" spans="17:17">
      <c r="Q379" s="792"/>
    </row>
    <row r="380" spans="17:17">
      <c r="Q380" s="792"/>
    </row>
    <row r="381" spans="17:17">
      <c r="Q381" s="792"/>
    </row>
    <row r="382" spans="17:17">
      <c r="Q382" s="792"/>
    </row>
    <row r="383" spans="17:17">
      <c r="Q383" s="792"/>
    </row>
    <row r="384" spans="17:17">
      <c r="Q384" s="792"/>
    </row>
    <row r="385" spans="17:17">
      <c r="Q385" s="792"/>
    </row>
    <row r="386" spans="17:17">
      <c r="Q386" s="792"/>
    </row>
    <row r="387" spans="17:17">
      <c r="Q387" s="792"/>
    </row>
    <row r="388" spans="17:17">
      <c r="Q388" s="792"/>
    </row>
    <row r="389" spans="17:17">
      <c r="Q389" s="792"/>
    </row>
    <row r="390" spans="17:17">
      <c r="Q390" s="792"/>
    </row>
    <row r="391" spans="17:17">
      <c r="Q391" s="792"/>
    </row>
    <row r="392" spans="17:17">
      <c r="Q392" s="792"/>
    </row>
    <row r="393" spans="17:17">
      <c r="Q393" s="792"/>
    </row>
    <row r="394" spans="17:17">
      <c r="Q394" s="792"/>
    </row>
    <row r="395" spans="17:17">
      <c r="Q395" s="792"/>
    </row>
    <row r="396" spans="17:17">
      <c r="Q396" s="792"/>
    </row>
    <row r="397" spans="17:17">
      <c r="Q397" s="792"/>
    </row>
    <row r="398" spans="17:17">
      <c r="Q398" s="792"/>
    </row>
    <row r="399" spans="17:17">
      <c r="Q399" s="792"/>
    </row>
    <row r="400" spans="17:17">
      <c r="Q400" s="792"/>
    </row>
    <row r="401" spans="17:17">
      <c r="Q401" s="792"/>
    </row>
    <row r="402" spans="17:17">
      <c r="Q402" s="792"/>
    </row>
    <row r="403" spans="17:17">
      <c r="Q403" s="792"/>
    </row>
    <row r="404" spans="17:17">
      <c r="Q404" s="792"/>
    </row>
    <row r="405" spans="17:17">
      <c r="Q405" s="792"/>
    </row>
    <row r="406" spans="17:17">
      <c r="Q406" s="792"/>
    </row>
    <row r="407" spans="17:17">
      <c r="Q407" s="792"/>
    </row>
    <row r="408" spans="17:17">
      <c r="Q408" s="792"/>
    </row>
    <row r="409" spans="17:17">
      <c r="Q409" s="792"/>
    </row>
    <row r="410" spans="17:17">
      <c r="Q410" s="792"/>
    </row>
    <row r="411" spans="17:17">
      <c r="Q411" s="792"/>
    </row>
    <row r="412" spans="17:17">
      <c r="Q412" s="792"/>
    </row>
    <row r="413" spans="17:17">
      <c r="Q413" s="792"/>
    </row>
    <row r="414" spans="17:17">
      <c r="Q414" s="792"/>
    </row>
    <row r="415" spans="17:17">
      <c r="Q415" s="792"/>
    </row>
    <row r="416" spans="17:17">
      <c r="Q416" s="792"/>
    </row>
  </sheetData>
  <mergeCells count="3">
    <mergeCell ref="B8:B9"/>
    <mergeCell ref="C8:C9"/>
    <mergeCell ref="D8:D9"/>
  </mergeCells>
  <printOptions horizontalCentered="1"/>
  <pageMargins left="0.5" right="0.5" top="0.25" bottom="0.5" header="0.5" footer="0.5"/>
  <pageSetup scale="60" fitToWidth="0" fitToHeight="0" orientation="landscape" r:id="rId1"/>
  <headerFooter alignWithMargins="0"/>
  <rowBreaks count="1" manualBreakCount="1">
    <brk id="68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22"/>
  <sheetViews>
    <sheetView zoomScale="55" zoomScaleNormal="55" workbookViewId="0">
      <pane xSplit="2" ySplit="10" topLeftCell="C11" activePane="bottomRight" state="frozen"/>
      <selection activeCell="E87" sqref="E87:E98"/>
      <selection pane="topRight" activeCell="E87" sqref="E87:E98"/>
      <selection pane="bottomLeft" activeCell="E87" sqref="E87:E98"/>
      <selection pane="bottomRight" activeCell="L3" sqref="L3"/>
    </sheetView>
  </sheetViews>
  <sheetFormatPr defaultColWidth="9.1640625" defaultRowHeight="12.75" outlineLevelRow="1"/>
  <cols>
    <col min="1" max="1" width="2.6640625" style="315" customWidth="1"/>
    <col min="2" max="2" width="12" style="321" customWidth="1"/>
    <col min="3" max="3" width="3.83203125" style="321" customWidth="1"/>
    <col min="4" max="4" width="14" style="321" customWidth="1"/>
    <col min="5" max="5" width="17" style="321" customWidth="1"/>
    <col min="6" max="6" width="16.1640625" style="321" bestFit="1" customWidth="1"/>
    <col min="7" max="7" width="14.33203125" style="321" bestFit="1" customWidth="1"/>
    <col min="8" max="8" width="16.5" style="321" bestFit="1" customWidth="1"/>
    <col min="9" max="9" width="15" style="321" bestFit="1" customWidth="1"/>
    <col min="10" max="10" width="14.33203125" style="321" bestFit="1" customWidth="1"/>
    <col min="11" max="11" width="18.33203125" style="321" bestFit="1" customWidth="1"/>
    <col min="12" max="12" width="16.1640625" style="321" customWidth="1"/>
    <col min="13" max="13" width="15.1640625" style="321" bestFit="1" customWidth="1"/>
    <col min="14" max="14" width="15.5" style="321" bestFit="1" customWidth="1"/>
    <col min="15" max="15" width="15" style="321" customWidth="1"/>
    <col min="16" max="16" width="6.33203125" customWidth="1"/>
    <col min="17" max="17" width="16" style="733" bestFit="1" customWidth="1"/>
  </cols>
  <sheetData>
    <row r="1" spans="1:15">
      <c r="A1" s="299"/>
      <c r="B1" s="318" t="s">
        <v>8</v>
      </c>
      <c r="C1" s="319"/>
      <c r="D1" s="319"/>
      <c r="E1" s="319"/>
      <c r="F1" s="319"/>
      <c r="G1" s="319"/>
      <c r="H1" s="319"/>
      <c r="I1" s="319"/>
      <c r="J1" s="319"/>
      <c r="K1" s="320"/>
      <c r="L1" s="320"/>
      <c r="M1" s="320"/>
      <c r="N1" s="320"/>
    </row>
    <row r="2" spans="1:15">
      <c r="A2" s="299"/>
      <c r="B2" s="684" t="s">
        <v>743</v>
      </c>
      <c r="C2" s="319"/>
      <c r="D2" s="319"/>
      <c r="E2" s="319"/>
      <c r="F2" s="319"/>
      <c r="G2" s="319"/>
      <c r="H2" s="319"/>
      <c r="I2" s="319"/>
      <c r="J2" s="319"/>
      <c r="K2" s="320"/>
      <c r="L2" s="320"/>
      <c r="M2" s="320"/>
      <c r="N2" s="320"/>
    </row>
    <row r="3" spans="1:15">
      <c r="A3" s="299"/>
      <c r="B3" s="318" t="s">
        <v>622</v>
      </c>
      <c r="C3" s="319"/>
      <c r="D3" s="319"/>
      <c r="E3" s="319"/>
      <c r="F3" s="319"/>
      <c r="G3" s="319"/>
      <c r="H3" s="319"/>
      <c r="I3" s="319"/>
      <c r="J3" s="319"/>
      <c r="K3" s="320"/>
      <c r="L3" s="320"/>
      <c r="M3" s="320"/>
      <c r="N3" s="320"/>
    </row>
    <row r="4" spans="1:15">
      <c r="A4" s="299"/>
      <c r="B4" s="318"/>
      <c r="C4" s="319"/>
      <c r="D4" s="319"/>
      <c r="E4" s="319"/>
      <c r="F4" s="319"/>
      <c r="G4" s="319"/>
      <c r="H4" s="319"/>
      <c r="I4" s="319"/>
      <c r="J4" s="319"/>
      <c r="K4" s="731"/>
      <c r="L4" s="320"/>
      <c r="M4" s="320"/>
      <c r="N4" s="320"/>
    </row>
    <row r="5" spans="1:15">
      <c r="A5" s="299"/>
      <c r="B5" s="319"/>
      <c r="C5" s="319"/>
      <c r="D5" s="979"/>
      <c r="E5" s="979"/>
      <c r="F5" s="685"/>
      <c r="G5" s="686" t="s">
        <v>638</v>
      </c>
      <c r="H5" s="686"/>
      <c r="I5" s="686"/>
      <c r="J5" s="686"/>
      <c r="K5" s="686"/>
      <c r="L5" s="687"/>
      <c r="M5" s="322"/>
      <c r="N5" s="322"/>
    </row>
    <row r="6" spans="1:15" ht="13.5" thickBot="1">
      <c r="A6" s="314"/>
      <c r="B6" s="320"/>
      <c r="C6" s="320"/>
      <c r="D6" s="677" t="s">
        <v>639</v>
      </c>
      <c r="E6" s="688"/>
      <c r="F6" s="687"/>
      <c r="G6" s="689" t="s">
        <v>637</v>
      </c>
      <c r="H6" s="689"/>
      <c r="I6" s="689"/>
      <c r="J6" s="689"/>
      <c r="K6" s="689">
        <v>28300731</v>
      </c>
      <c r="L6" s="689"/>
      <c r="M6" s="324"/>
      <c r="N6" s="324"/>
    </row>
    <row r="7" spans="1:15">
      <c r="A7" s="400"/>
      <c r="B7" s="401"/>
      <c r="C7" s="401"/>
      <c r="D7" s="402" t="s">
        <v>79</v>
      </c>
      <c r="E7" s="402" t="s">
        <v>2</v>
      </c>
      <c r="F7" s="403" t="s">
        <v>101</v>
      </c>
      <c r="G7" s="402" t="s">
        <v>12</v>
      </c>
      <c r="H7" s="402" t="s">
        <v>13</v>
      </c>
      <c r="I7" s="402" t="s">
        <v>102</v>
      </c>
      <c r="J7" s="402" t="s">
        <v>11</v>
      </c>
      <c r="K7" s="402" t="s">
        <v>12</v>
      </c>
      <c r="L7" s="402" t="s">
        <v>13</v>
      </c>
      <c r="M7" s="403" t="s">
        <v>103</v>
      </c>
      <c r="N7" s="402" t="s">
        <v>104</v>
      </c>
      <c r="O7" s="326" t="s">
        <v>2</v>
      </c>
    </row>
    <row r="8" spans="1:15">
      <c r="A8" s="404"/>
      <c r="B8" s="327" t="s">
        <v>10</v>
      </c>
      <c r="C8" s="327"/>
      <c r="D8" s="324" t="s">
        <v>20</v>
      </c>
      <c r="E8" s="324"/>
      <c r="F8" s="325" t="s">
        <v>2</v>
      </c>
      <c r="G8" s="324" t="s">
        <v>3</v>
      </c>
      <c r="H8" s="324" t="s">
        <v>3</v>
      </c>
      <c r="I8" s="324" t="s">
        <v>620</v>
      </c>
      <c r="J8" s="324" t="s">
        <v>9</v>
      </c>
      <c r="K8" s="324" t="s">
        <v>17</v>
      </c>
      <c r="L8" s="325" t="s">
        <v>17</v>
      </c>
      <c r="M8" s="324" t="s">
        <v>11</v>
      </c>
      <c r="N8" s="324" t="s">
        <v>103</v>
      </c>
      <c r="O8" s="328" t="s">
        <v>29</v>
      </c>
    </row>
    <row r="9" spans="1:15">
      <c r="A9" s="404"/>
      <c r="B9" s="327"/>
      <c r="C9" s="327"/>
      <c r="D9" s="324" t="s">
        <v>105</v>
      </c>
      <c r="E9" s="324" t="s">
        <v>23</v>
      </c>
      <c r="F9" s="325" t="s">
        <v>24</v>
      </c>
      <c r="G9" s="324" t="s">
        <v>106</v>
      </c>
      <c r="H9" s="325" t="s">
        <v>716</v>
      </c>
      <c r="I9" s="324" t="s">
        <v>25</v>
      </c>
      <c r="J9" s="324" t="s">
        <v>108</v>
      </c>
      <c r="K9" s="324" t="s">
        <v>628</v>
      </c>
      <c r="L9" s="325" t="s">
        <v>717</v>
      </c>
      <c r="M9" s="324" t="s">
        <v>80</v>
      </c>
      <c r="N9" s="324" t="s">
        <v>111</v>
      </c>
      <c r="O9" s="328" t="s">
        <v>27</v>
      </c>
    </row>
    <row r="10" spans="1:15">
      <c r="A10" s="405"/>
      <c r="B10" s="329"/>
      <c r="C10" s="329"/>
      <c r="D10" s="323"/>
      <c r="E10" s="323"/>
      <c r="F10" s="330"/>
      <c r="G10" s="690" t="s">
        <v>621</v>
      </c>
      <c r="H10" s="330" t="s">
        <v>140</v>
      </c>
      <c r="I10" s="323"/>
      <c r="J10" s="323"/>
      <c r="K10" s="323" t="s">
        <v>715</v>
      </c>
      <c r="L10" s="330" t="s">
        <v>718</v>
      </c>
      <c r="M10" s="323"/>
      <c r="N10" s="323"/>
      <c r="O10" s="412"/>
    </row>
    <row r="11" spans="1:15" hidden="1" outlineLevel="1">
      <c r="A11" s="404"/>
      <c r="B11" s="406" t="s">
        <v>5</v>
      </c>
      <c r="C11" s="320"/>
      <c r="D11" s="324"/>
      <c r="E11" s="333">
        <v>0</v>
      </c>
      <c r="F11" s="332"/>
      <c r="G11" s="324"/>
      <c r="H11" s="324"/>
      <c r="I11" s="333"/>
      <c r="J11" s="333"/>
      <c r="K11" s="334"/>
      <c r="L11" s="334"/>
      <c r="M11" s="334"/>
      <c r="N11" s="334"/>
      <c r="O11" s="339"/>
    </row>
    <row r="12" spans="1:15" hidden="1" outlineLevel="1">
      <c r="A12" s="404"/>
      <c r="B12" s="337">
        <v>41243</v>
      </c>
      <c r="C12" s="320"/>
      <c r="D12" s="333">
        <v>742318.74844325054</v>
      </c>
      <c r="E12" s="316">
        <f>E11+D12</f>
        <v>742318.74844325054</v>
      </c>
      <c r="F12" s="336">
        <f>($E$12+E12+SUM($E11:E$13)*2)/24</f>
        <v>327159.98104759393</v>
      </c>
      <c r="G12" s="324"/>
      <c r="H12" s="324"/>
      <c r="I12" s="333"/>
      <c r="J12" s="347">
        <f t="shared" ref="J12:J18" si="0">F12+I12</f>
        <v>327159.98104759393</v>
      </c>
      <c r="K12" s="336">
        <f>(-D12*0.35)+(G12*0.35)</f>
        <v>-259811.56195513767</v>
      </c>
      <c r="L12" s="336">
        <f t="shared" ref="L12:L77" si="1">L11+K12</f>
        <v>-259811.56195513767</v>
      </c>
      <c r="M12" s="336">
        <f>($L$12+L12+SUM($L11:L$13)*2)/24</f>
        <v>-114505.99336665786</v>
      </c>
      <c r="N12" s="338">
        <f t="shared" ref="N12:N23" si="2">M12+J12</f>
        <v>212653.98768093606</v>
      </c>
      <c r="O12" s="335">
        <f>+E12+H12+L12</f>
        <v>482507.1864881129</v>
      </c>
    </row>
    <row r="13" spans="1:15" hidden="1" outlineLevel="1">
      <c r="A13" s="404"/>
      <c r="B13" s="337">
        <v>41274</v>
      </c>
      <c r="C13" s="337"/>
      <c r="D13" s="316">
        <v>1698963.5272413751</v>
      </c>
      <c r="E13" s="316">
        <f t="shared" ref="E13:E76" si="3">E12+D13</f>
        <v>2441282.2756846258</v>
      </c>
      <c r="F13" s="336">
        <f>($E$12+E13+SUM($E12:E$13)*2)/24</f>
        <v>397950.12801598455</v>
      </c>
      <c r="G13" s="333"/>
      <c r="H13" s="333"/>
      <c r="I13" s="333"/>
      <c r="J13" s="347">
        <f t="shared" si="0"/>
        <v>397950.12801598455</v>
      </c>
      <c r="K13" s="336">
        <f>(-D13*0.35)+(G13*0.35)</f>
        <v>-594637.23453448119</v>
      </c>
      <c r="L13" s="336">
        <f t="shared" si="1"/>
        <v>-854448.79648961884</v>
      </c>
      <c r="M13" s="336">
        <f>($L$12+L13+SUM($L12:L$13)*2)/24</f>
        <v>-139282.54480559457</v>
      </c>
      <c r="N13" s="338">
        <f t="shared" si="2"/>
        <v>258667.58321038997</v>
      </c>
      <c r="O13" s="335">
        <f>+E13+H13+L13</f>
        <v>1586833.4791950071</v>
      </c>
    </row>
    <row r="14" spans="1:15" hidden="1" outlineLevel="1">
      <c r="A14" s="404"/>
      <c r="B14" s="337">
        <v>41305</v>
      </c>
      <c r="C14" s="337"/>
      <c r="D14" s="316">
        <v>2399887.3547528917</v>
      </c>
      <c r="E14" s="316">
        <f t="shared" si="3"/>
        <v>4841169.6304375175</v>
      </c>
      <c r="F14" s="336">
        <f>($E$12+E14+SUM($E$13:E13)*2)/24</f>
        <v>436085.53876041743</v>
      </c>
      <c r="G14" s="333"/>
      <c r="H14" s="333"/>
      <c r="I14" s="333"/>
      <c r="J14" s="347">
        <f t="shared" si="0"/>
        <v>436085.53876041743</v>
      </c>
      <c r="K14" s="336">
        <f t="shared" ref="K14:K72" si="4">(-D14*0.35)+(G14*0.35)</f>
        <v>-839960.57416351209</v>
      </c>
      <c r="L14" s="336">
        <f t="shared" si="1"/>
        <v>-1694409.370653131</v>
      </c>
      <c r="M14" s="336">
        <f>($L$12+L14+SUM($L$13:L13)*2)/24</f>
        <v>-152629.9385661461</v>
      </c>
      <c r="N14" s="338">
        <f t="shared" si="2"/>
        <v>283455.6001942713</v>
      </c>
      <c r="O14" s="335">
        <f t="shared" ref="O14:O77" si="5">+E14+H14+L14</f>
        <v>3146760.2597843865</v>
      </c>
    </row>
    <row r="15" spans="1:15" hidden="1" outlineLevel="1">
      <c r="A15" s="404"/>
      <c r="B15" s="337">
        <v>41333</v>
      </c>
      <c r="C15" s="337"/>
      <c r="D15" s="316">
        <v>2075605.6303575297</v>
      </c>
      <c r="E15" s="316">
        <f t="shared" si="3"/>
        <v>6916775.2607950475</v>
      </c>
      <c r="F15" s="336">
        <f>($E$12+E15+SUM($E$13:E14)*2)/24</f>
        <v>925999.90922844096</v>
      </c>
      <c r="G15" s="333"/>
      <c r="H15" s="333"/>
      <c r="I15" s="333"/>
      <c r="J15" s="347">
        <f t="shared" si="0"/>
        <v>925999.90922844096</v>
      </c>
      <c r="K15" s="336">
        <f t="shared" si="4"/>
        <v>-726461.97062513535</v>
      </c>
      <c r="L15" s="336">
        <f t="shared" si="1"/>
        <v>-2420871.3412782662</v>
      </c>
      <c r="M15" s="336">
        <f>($L$12+L15+SUM($L$13:L14)*2)/24</f>
        <v>-324099.96822995431</v>
      </c>
      <c r="N15" s="338">
        <f t="shared" si="2"/>
        <v>601899.94099848671</v>
      </c>
      <c r="O15" s="335">
        <f t="shared" si="5"/>
        <v>4495903.9195167813</v>
      </c>
    </row>
    <row r="16" spans="1:15" hidden="1" outlineLevel="1">
      <c r="A16" s="404"/>
      <c r="B16" s="337">
        <v>41364</v>
      </c>
      <c r="C16" s="337"/>
      <c r="D16" s="316">
        <v>2322778.3988147951</v>
      </c>
      <c r="E16" s="316">
        <f>E15+D16</f>
        <v>9239553.659609843</v>
      </c>
      <c r="F16" s="336">
        <f>($E$12+E16+SUM($E$13:E15)*2)/24</f>
        <v>1599180.2809119781</v>
      </c>
      <c r="G16" s="316"/>
      <c r="H16" s="336">
        <f t="shared" ref="H16:H79" si="6">H15-G16</f>
        <v>0</v>
      </c>
      <c r="I16" s="333"/>
      <c r="J16" s="347">
        <f t="shared" si="0"/>
        <v>1599180.2809119781</v>
      </c>
      <c r="K16" s="336">
        <f>(-D16*0.35)+(G16*0.35)</f>
        <v>-812972.43958517828</v>
      </c>
      <c r="L16" s="336">
        <f t="shared" si="1"/>
        <v>-3233843.7808634443</v>
      </c>
      <c r="M16" s="336">
        <f>($L$12+L16+SUM($L$13:L15)*2)/24</f>
        <v>-559713.0983191923</v>
      </c>
      <c r="N16" s="338">
        <f t="shared" si="2"/>
        <v>1039467.1825927858</v>
      </c>
      <c r="O16" s="335">
        <f>+E16+H16+L16</f>
        <v>6005709.8787463987</v>
      </c>
    </row>
    <row r="17" spans="1:15" hidden="1" outlineLevel="1">
      <c r="A17" s="404"/>
      <c r="B17" s="337">
        <v>41394</v>
      </c>
      <c r="C17" s="407"/>
      <c r="D17" s="316">
        <v>2155150.6951426193</v>
      </c>
      <c r="E17" s="316">
        <f t="shared" si="3"/>
        <v>11394704.354752462</v>
      </c>
      <c r="F17" s="336">
        <f>($E$12+E17+SUM($E$13:E16)*2)/24</f>
        <v>2458941.0315104076</v>
      </c>
      <c r="G17" s="316"/>
      <c r="H17" s="336">
        <f t="shared" si="6"/>
        <v>0</v>
      </c>
      <c r="I17" s="333"/>
      <c r="J17" s="347">
        <f t="shared" si="0"/>
        <v>2458941.0315104076</v>
      </c>
      <c r="K17" s="336">
        <f t="shared" si="4"/>
        <v>-754302.74329991674</v>
      </c>
      <c r="L17" s="336">
        <f t="shared" si="1"/>
        <v>-3988146.5241633612</v>
      </c>
      <c r="M17" s="336">
        <f>($L$12+L17+SUM($L$13:L16)*2)/24</f>
        <v>-860629.36102864239</v>
      </c>
      <c r="N17" s="338">
        <f t="shared" si="2"/>
        <v>1598311.6704817652</v>
      </c>
      <c r="O17" s="335">
        <f t="shared" si="5"/>
        <v>7406557.8305891007</v>
      </c>
    </row>
    <row r="18" spans="1:15" hidden="1" outlineLevel="1">
      <c r="A18" s="404"/>
      <c r="B18" s="337">
        <v>41425</v>
      </c>
      <c r="C18" s="337"/>
      <c r="D18" s="316">
        <v>2051520.4821853442</v>
      </c>
      <c r="E18" s="316">
        <f t="shared" si="3"/>
        <v>13446224.836937808</v>
      </c>
      <c r="F18" s="336">
        <f>($E$12+E18+SUM($E$13:E17)*2)/24</f>
        <v>3493979.7478308356</v>
      </c>
      <c r="G18" s="316"/>
      <c r="H18" s="336">
        <f t="shared" si="6"/>
        <v>0</v>
      </c>
      <c r="I18" s="333"/>
      <c r="J18" s="347">
        <f t="shared" si="0"/>
        <v>3493979.7478308356</v>
      </c>
      <c r="K18" s="336">
        <f>(-D18*0.35)+(G18*0.35)</f>
        <v>-718032.16876487038</v>
      </c>
      <c r="L18" s="336">
        <f t="shared" si="1"/>
        <v>-4706178.6929282313</v>
      </c>
      <c r="M18" s="336">
        <f>($L$12+L18+SUM($L$13:L17)*2)/24</f>
        <v>-1222892.9117407922</v>
      </c>
      <c r="N18" s="338">
        <f t="shared" si="2"/>
        <v>2271086.8360900432</v>
      </c>
      <c r="O18" s="335">
        <f t="shared" si="5"/>
        <v>8740046.1440095752</v>
      </c>
    </row>
    <row r="19" spans="1:15" hidden="1" outlineLevel="1">
      <c r="A19" s="404"/>
      <c r="B19" s="337">
        <v>41455</v>
      </c>
      <c r="C19" s="337"/>
      <c r="D19" s="316">
        <v>1900108.0005569435</v>
      </c>
      <c r="E19" s="316">
        <f t="shared" si="3"/>
        <v>15346332.837494751</v>
      </c>
      <c r="F19" s="336">
        <f>($E$12+E19+SUM($E$13:E18)*2)/24</f>
        <v>4693669.6509321919</v>
      </c>
      <c r="G19" s="316"/>
      <c r="H19" s="336">
        <f t="shared" si="6"/>
        <v>0</v>
      </c>
      <c r="I19" s="333"/>
      <c r="J19" s="347">
        <f>F19+I19</f>
        <v>4693669.6509321919</v>
      </c>
      <c r="K19" s="336">
        <f>(-D19*0.35)+(G19*0.35)</f>
        <v>-665037.80019493017</v>
      </c>
      <c r="L19" s="336">
        <f t="shared" si="1"/>
        <v>-5371216.4931231616</v>
      </c>
      <c r="M19" s="336">
        <f>($L$12+L19+SUM($L$13:L18)*2)/24</f>
        <v>-1642784.3778262669</v>
      </c>
      <c r="N19" s="338">
        <f t="shared" si="2"/>
        <v>3050885.2731059249</v>
      </c>
      <c r="O19" s="335">
        <f t="shared" si="5"/>
        <v>9975116.3443715908</v>
      </c>
    </row>
    <row r="20" spans="1:15" hidden="1" outlineLevel="1">
      <c r="A20" s="404"/>
      <c r="B20" s="337">
        <v>41486</v>
      </c>
      <c r="C20" s="337"/>
      <c r="D20" s="316">
        <v>2875690.1179520502</v>
      </c>
      <c r="E20" s="316">
        <f t="shared" si="3"/>
        <v>18222022.955446802</v>
      </c>
      <c r="F20" s="336">
        <f>($E$12+E20+SUM($E$13:E19)*2)/24</f>
        <v>6092351.1423047567</v>
      </c>
      <c r="G20" s="316"/>
      <c r="H20" s="336">
        <f t="shared" si="6"/>
        <v>0</v>
      </c>
      <c r="I20" s="333"/>
      <c r="J20" s="347">
        <f t="shared" ref="J20:J83" si="7">F20+I20</f>
        <v>6092351.1423047567</v>
      </c>
      <c r="K20" s="336">
        <f t="shared" si="4"/>
        <v>-1006491.5412832175</v>
      </c>
      <c r="L20" s="336">
        <f t="shared" si="1"/>
        <v>-6377708.0344063789</v>
      </c>
      <c r="M20" s="336">
        <f>($L$12+L20+SUM($L$13:L19)*2)/24</f>
        <v>-2132322.8998066648</v>
      </c>
      <c r="N20" s="338">
        <f t="shared" si="2"/>
        <v>3960028.2424980919</v>
      </c>
      <c r="O20" s="335">
        <f t="shared" si="5"/>
        <v>11844314.921040423</v>
      </c>
    </row>
    <row r="21" spans="1:15" hidden="1" outlineLevel="1">
      <c r="A21" s="404"/>
      <c r="B21" s="337">
        <v>41517</v>
      </c>
      <c r="C21" s="337"/>
      <c r="D21" s="316">
        <v>2890550.1745376419</v>
      </c>
      <c r="E21" s="316">
        <f t="shared" si="3"/>
        <v>21112573.129984446</v>
      </c>
      <c r="F21" s="336">
        <f>($E$12+E21+SUM($E$13:E20)*2)/24</f>
        <v>7731292.6458643926</v>
      </c>
      <c r="G21" s="316"/>
      <c r="H21" s="336">
        <f t="shared" si="6"/>
        <v>0</v>
      </c>
      <c r="I21" s="333"/>
      <c r="J21" s="347">
        <f t="shared" si="7"/>
        <v>7731292.6458643926</v>
      </c>
      <c r="K21" s="336">
        <f t="shared" si="4"/>
        <v>-1011692.5610881746</v>
      </c>
      <c r="L21" s="336">
        <f t="shared" si="1"/>
        <v>-7389400.5954945534</v>
      </c>
      <c r="M21" s="336">
        <f>($L$12+L21+SUM($L$13:L20)*2)/24</f>
        <v>-2705952.4260525368</v>
      </c>
      <c r="N21" s="338">
        <f t="shared" si="2"/>
        <v>5025340.2198118558</v>
      </c>
      <c r="O21" s="335">
        <f t="shared" si="5"/>
        <v>13723172.534489892</v>
      </c>
    </row>
    <row r="22" spans="1:15" hidden="1" outlineLevel="1">
      <c r="A22" s="404"/>
      <c r="B22" s="337">
        <v>41547</v>
      </c>
      <c r="C22" s="337"/>
      <c r="D22" s="316">
        <v>2632732.3470358723</v>
      </c>
      <c r="E22" s="316">
        <f t="shared" si="3"/>
        <v>23745305.47702032</v>
      </c>
      <c r="F22" s="336">
        <f>($E$12+E22+SUM($E$13:E21)*2)/24</f>
        <v>9600370.9211562574</v>
      </c>
      <c r="G22" s="316"/>
      <c r="H22" s="336">
        <f t="shared" si="6"/>
        <v>0</v>
      </c>
      <c r="I22" s="333"/>
      <c r="J22" s="347">
        <f t="shared" si="7"/>
        <v>9600370.9211562574</v>
      </c>
      <c r="K22" s="336">
        <f t="shared" si="4"/>
        <v>-921456.32146255521</v>
      </c>
      <c r="L22" s="336">
        <f t="shared" si="1"/>
        <v>-8310856.9169571083</v>
      </c>
      <c r="M22" s="336">
        <f>($L$12+L22+SUM($L$13:L21)*2)/24</f>
        <v>-3360129.8224046896</v>
      </c>
      <c r="N22" s="338">
        <f t="shared" si="2"/>
        <v>6240241.0987515673</v>
      </c>
      <c r="O22" s="335">
        <f t="shared" si="5"/>
        <v>15434448.560063211</v>
      </c>
    </row>
    <row r="23" spans="1:15" hidden="1" outlineLevel="1">
      <c r="A23" s="404"/>
      <c r="B23" s="337">
        <v>41578</v>
      </c>
      <c r="C23" s="337"/>
      <c r="D23" s="316">
        <v>2976059.2733349549</v>
      </c>
      <c r="E23" s="316">
        <f>E22+D23</f>
        <v>26721364.750355273</v>
      </c>
      <c r="F23" s="336">
        <f>($E$12+E23+SUM($E$13:E22)*2)/24</f>
        <v>11703148.847296908</v>
      </c>
      <c r="G23" s="316"/>
      <c r="H23" s="336">
        <f t="shared" si="6"/>
        <v>0</v>
      </c>
      <c r="I23" s="333"/>
      <c r="J23" s="347">
        <f t="shared" si="7"/>
        <v>11703148.847296908</v>
      </c>
      <c r="K23" s="336">
        <f t="shared" si="4"/>
        <v>-1041620.7456672342</v>
      </c>
      <c r="L23" s="336">
        <f t="shared" si="1"/>
        <v>-9352477.6626243424</v>
      </c>
      <c r="M23" s="336">
        <f>($L$12+L23+SUM($L$13:L22)*2)/24</f>
        <v>-4096102.0965539166</v>
      </c>
      <c r="N23" s="338">
        <f t="shared" si="2"/>
        <v>7607046.7507429924</v>
      </c>
      <c r="O23" s="335">
        <f t="shared" si="5"/>
        <v>17368887.087730929</v>
      </c>
    </row>
    <row r="24" spans="1:15" hidden="1" outlineLevel="1">
      <c r="A24" s="404"/>
      <c r="B24" s="337">
        <v>41608</v>
      </c>
      <c r="C24" s="337"/>
      <c r="D24" s="316">
        <v>-15775.72</v>
      </c>
      <c r="E24" s="316">
        <f t="shared" si="3"/>
        <v>26705589.030355275</v>
      </c>
      <c r="F24" s="336">
        <f>($E$12+E24+SUM($E$13:E23)*2)/24</f>
        <v>13929271.92149318</v>
      </c>
      <c r="G24" s="336">
        <v>370957.35</v>
      </c>
      <c r="H24" s="336">
        <f>H23-G24</f>
        <v>-370957.35</v>
      </c>
      <c r="I24" s="336">
        <f>(H12+H24+SUM(H13:H23)*2)/24</f>
        <v>-15456.55625</v>
      </c>
      <c r="J24" s="336">
        <f t="shared" si="7"/>
        <v>13913815.36524318</v>
      </c>
      <c r="K24" s="336">
        <f>(-D24*0.35)+(G24*0.35)</f>
        <v>135356.57449999999</v>
      </c>
      <c r="L24" s="336">
        <f>L23+K24</f>
        <v>-9217121.0881243423</v>
      </c>
      <c r="M24" s="336">
        <f>($L$12+L24+SUM($L$13:L23)*2)/24</f>
        <v>-4869835.3778351117</v>
      </c>
      <c r="N24" s="338">
        <f>M24+J24</f>
        <v>9043979.987408068</v>
      </c>
      <c r="O24" s="335">
        <f>+E24+H24+L24</f>
        <v>17117510.592230931</v>
      </c>
    </row>
    <row r="25" spans="1:15" hidden="1" outlineLevel="1">
      <c r="A25" s="404"/>
      <c r="B25" s="337">
        <v>41639</v>
      </c>
      <c r="C25" s="337"/>
      <c r="D25" s="336"/>
      <c r="E25" s="336">
        <f t="shared" si="3"/>
        <v>26705589.030355275</v>
      </c>
      <c r="F25" s="336">
        <f>(E13+E25+SUM(E14:E24)*2)/24</f>
        <v>16022087.631350791</v>
      </c>
      <c r="G25" s="336">
        <v>320976</v>
      </c>
      <c r="H25" s="336">
        <f t="shared" si="6"/>
        <v>-691933.35</v>
      </c>
      <c r="I25" s="336">
        <f t="shared" ref="I25:I30" si="8">(H13+H25+SUM(H14:H24)*2)/24</f>
        <v>-59743.66874999999</v>
      </c>
      <c r="J25" s="336">
        <f>F25+I25</f>
        <v>15962343.962600792</v>
      </c>
      <c r="K25" s="336">
        <f>(-D25*0.35)+(G25*0.35)</f>
        <v>112341.59999999999</v>
      </c>
      <c r="L25" s="336">
        <f t="shared" si="1"/>
        <v>-9104779.4881243426</v>
      </c>
      <c r="M25" s="336">
        <f>(L13+L25+SUM(L14:L24)*2)/24</f>
        <v>-5586820.3869102756</v>
      </c>
      <c r="N25" s="338">
        <f>M25+J25</f>
        <v>10375523.575690515</v>
      </c>
      <c r="O25" s="335">
        <f>+E25+H25+L25</f>
        <v>16908876.192230932</v>
      </c>
    </row>
    <row r="26" spans="1:15" hidden="1" outlineLevel="1">
      <c r="A26" s="404"/>
      <c r="B26" s="337">
        <v>41670</v>
      </c>
      <c r="C26" s="337"/>
      <c r="D26" s="316"/>
      <c r="E26" s="316">
        <f t="shared" si="3"/>
        <v>26705589.030355275</v>
      </c>
      <c r="F26" s="336">
        <f>(E14+E26+SUM(E15:E25)*2)/24</f>
        <v>17944117.887791973</v>
      </c>
      <c r="G26" s="336">
        <f>344629.092109527-2675</f>
        <v>341954.09210952697</v>
      </c>
      <c r="H26" s="336">
        <f>H25-G26</f>
        <v>-1033887.4421095269</v>
      </c>
      <c r="I26" s="336">
        <f>(H14+H26+SUM(H15:H25)*2)/24</f>
        <v>-131652.86842123029</v>
      </c>
      <c r="J26" s="336">
        <f>F26+I26</f>
        <v>17812465.019370742</v>
      </c>
      <c r="K26" s="336">
        <f t="shared" si="4"/>
        <v>119683.93223833443</v>
      </c>
      <c r="L26" s="336">
        <f t="shared" si="1"/>
        <v>-8985095.5558860078</v>
      </c>
      <c r="M26" s="336">
        <f t="shared" ref="M26:M38" si="9">(L14+L26+SUM(L15:L25)*2)/24</f>
        <v>-6234362.7567797573</v>
      </c>
      <c r="N26" s="338">
        <f t="shared" ref="N26:N38" si="10">M26+J26</f>
        <v>11578102.262590986</v>
      </c>
      <c r="O26" s="335">
        <f t="shared" si="5"/>
        <v>16686606.032359742</v>
      </c>
    </row>
    <row r="27" spans="1:15" hidden="1" outlineLevel="1">
      <c r="A27" s="404"/>
      <c r="B27" s="337">
        <v>41698</v>
      </c>
      <c r="C27" s="337"/>
      <c r="D27" s="336"/>
      <c r="E27" s="336">
        <f t="shared" si="3"/>
        <v>26705589.030355275</v>
      </c>
      <c r="F27" s="336">
        <f>(E15+E27+SUM(E16:E26)*2)/24</f>
        <v>19679669.269853558</v>
      </c>
      <c r="G27" s="336">
        <v>344629.0921095275</v>
      </c>
      <c r="H27" s="336">
        <f t="shared" si="6"/>
        <v>-1378516.5342190545</v>
      </c>
      <c r="I27" s="336">
        <f t="shared" si="8"/>
        <v>-232169.70076825449</v>
      </c>
      <c r="J27" s="336">
        <f t="shared" si="7"/>
        <v>19447499.569085304</v>
      </c>
      <c r="K27" s="336">
        <f t="shared" si="4"/>
        <v>120620.18223833462</v>
      </c>
      <c r="L27" s="336">
        <f t="shared" si="1"/>
        <v>-8864475.3736476731</v>
      </c>
      <c r="M27" s="336">
        <f t="shared" si="9"/>
        <v>-6806624.8491798537</v>
      </c>
      <c r="N27" s="338">
        <f t="shared" si="10"/>
        <v>12640874.719905451</v>
      </c>
      <c r="O27" s="335">
        <f t="shared" si="5"/>
        <v>16462597.122488545</v>
      </c>
    </row>
    <row r="28" spans="1:15" hidden="1" outlineLevel="1">
      <c r="A28" s="404"/>
      <c r="B28" s="337">
        <v>41729</v>
      </c>
      <c r="C28" s="337"/>
      <c r="D28" s="316"/>
      <c r="E28" s="316">
        <f>E27+D28</f>
        <v>26705589.030355275</v>
      </c>
      <c r="F28" s="336">
        <f t="shared" ref="F28:F38" si="11">(E16+E28+SUM(E17:E27)*2)/24</f>
        <v>21231954.650699627</v>
      </c>
      <c r="G28" s="336">
        <v>344629.0921095275</v>
      </c>
      <c r="H28" s="336">
        <f t="shared" si="6"/>
        <v>-1723145.6263285819</v>
      </c>
      <c r="I28" s="336">
        <f t="shared" si="8"/>
        <v>-361405.62412440608</v>
      </c>
      <c r="J28" s="336">
        <f t="shared" si="7"/>
        <v>20870549.026575219</v>
      </c>
      <c r="K28" s="336">
        <f>(-D28*0.35)+(G28*0.35)</f>
        <v>120620.18223833462</v>
      </c>
      <c r="L28" s="336">
        <f t="shared" si="1"/>
        <v>-8743855.1914093383</v>
      </c>
      <c r="M28" s="336">
        <f t="shared" si="9"/>
        <v>-7304692.1593013247</v>
      </c>
      <c r="N28" s="338">
        <f t="shared" si="10"/>
        <v>13565856.867273893</v>
      </c>
      <c r="O28" s="335">
        <f t="shared" si="5"/>
        <v>16238588.212617356</v>
      </c>
    </row>
    <row r="29" spans="1:15" hidden="1" outlineLevel="1">
      <c r="A29" s="404"/>
      <c r="B29" s="337">
        <v>41759</v>
      </c>
      <c r="C29" s="337"/>
      <c r="D29" s="336"/>
      <c r="E29" s="336">
        <f t="shared" si="3"/>
        <v>26705589.030355275</v>
      </c>
      <c r="F29" s="336">
        <f>(E17+E29+SUM(E18:E28)*2)/24</f>
        <v>22597659.652630806</v>
      </c>
      <c r="G29" s="336">
        <v>344629.0921095275</v>
      </c>
      <c r="H29" s="336">
        <f t="shared" si="6"/>
        <v>-2067774.7184381094</v>
      </c>
      <c r="I29" s="336">
        <f t="shared" si="8"/>
        <v>-519360.63848968479</v>
      </c>
      <c r="J29" s="336">
        <f t="shared" si="7"/>
        <v>22078299.01414112</v>
      </c>
      <c r="K29" s="336">
        <f>(-D29*0.35)+(G29*0.35)</f>
        <v>120620.18223833462</v>
      </c>
      <c r="L29" s="336">
        <f t="shared" si="1"/>
        <v>-8623235.0091710035</v>
      </c>
      <c r="M29" s="336">
        <f>(L17+L29+SUM(L18:L28)*2)/24</f>
        <v>-7727404.6549493894</v>
      </c>
      <c r="N29" s="338">
        <f>M29+J29</f>
        <v>14350894.359191731</v>
      </c>
      <c r="O29" s="335">
        <f t="shared" si="5"/>
        <v>16014579.30274616</v>
      </c>
    </row>
    <row r="30" spans="1:15" hidden="1" outlineLevel="1">
      <c r="A30" s="404"/>
      <c r="B30" s="337">
        <v>41790</v>
      </c>
      <c r="C30" s="337"/>
      <c r="D30" s="316"/>
      <c r="E30" s="316">
        <f t="shared" si="3"/>
        <v>26705589.030355275</v>
      </c>
      <c r="F30" s="336">
        <f t="shared" si="11"/>
        <v>23788086.688839983</v>
      </c>
      <c r="G30" s="336">
        <v>344629.0921095275</v>
      </c>
      <c r="H30" s="336">
        <f t="shared" si="6"/>
        <v>-2412403.8105476368</v>
      </c>
      <c r="I30" s="336">
        <f t="shared" si="8"/>
        <v>-706034.74386409076</v>
      </c>
      <c r="J30" s="336">
        <f t="shared" si="7"/>
        <v>23082051.944975894</v>
      </c>
      <c r="K30" s="336">
        <f>(-D30*0.35)+(G30*0.35)</f>
        <v>120620.18223833462</v>
      </c>
      <c r="L30" s="336">
        <f t="shared" si="1"/>
        <v>-8502614.8269326687</v>
      </c>
      <c r="M30" s="336">
        <f t="shared" si="9"/>
        <v>-8078718.1807415588</v>
      </c>
      <c r="N30" s="338">
        <f t="shared" si="10"/>
        <v>15003333.764234334</v>
      </c>
      <c r="O30" s="335">
        <f t="shared" si="5"/>
        <v>15790570.392874971</v>
      </c>
    </row>
    <row r="31" spans="1:15" hidden="1" outlineLevel="1">
      <c r="A31" s="404"/>
      <c r="B31" s="337">
        <v>41820</v>
      </c>
      <c r="C31" s="337"/>
      <c r="D31" s="336"/>
      <c r="E31" s="336">
        <f t="shared" si="3"/>
        <v>26705589.030355275</v>
      </c>
      <c r="F31" s="336">
        <f t="shared" si="11"/>
        <v>24813862.538268235</v>
      </c>
      <c r="G31" s="336">
        <v>344629.0921095275</v>
      </c>
      <c r="H31" s="336">
        <f t="shared" si="6"/>
        <v>-2757032.9026571643</v>
      </c>
      <c r="I31" s="336">
        <f t="shared" ref="I31:I38" si="12">(H19+H31+SUM(H20:H30)*2)/24</f>
        <v>-921427.94024762418</v>
      </c>
      <c r="J31" s="336">
        <f t="shared" si="7"/>
        <v>23892434.598020609</v>
      </c>
      <c r="K31" s="336">
        <f t="shared" si="4"/>
        <v>120620.18223833462</v>
      </c>
      <c r="L31" s="336">
        <f t="shared" si="1"/>
        <v>-8381994.6446943339</v>
      </c>
      <c r="M31" s="336">
        <f t="shared" si="9"/>
        <v>-8362352.10930721</v>
      </c>
      <c r="N31" s="338">
        <f t="shared" si="10"/>
        <v>15530082.488713399</v>
      </c>
      <c r="O31" s="335">
        <f t="shared" si="5"/>
        <v>15566561.483003775</v>
      </c>
    </row>
    <row r="32" spans="1:15" hidden="1" outlineLevel="1">
      <c r="A32" s="404"/>
      <c r="B32" s="337">
        <v>41851</v>
      </c>
      <c r="C32" s="337"/>
      <c r="D32" s="316"/>
      <c r="E32" s="316">
        <f t="shared" si="3"/>
        <v>26705589.030355275</v>
      </c>
      <c r="F32" s="336">
        <f t="shared" si="11"/>
        <v>25640646.79942527</v>
      </c>
      <c r="G32" s="336">
        <v>344629.0921095275</v>
      </c>
      <c r="H32" s="336">
        <f t="shared" si="6"/>
        <v>-3101661.9947666917</v>
      </c>
      <c r="I32" s="336">
        <f t="shared" si="12"/>
        <v>-1165540.2276402849</v>
      </c>
      <c r="J32" s="336">
        <f t="shared" si="7"/>
        <v>24475106.571784984</v>
      </c>
      <c r="K32" s="336">
        <f t="shared" si="4"/>
        <v>120620.18223833462</v>
      </c>
      <c r="L32" s="336">
        <f t="shared" si="1"/>
        <v>-8261374.4624559991</v>
      </c>
      <c r="M32" s="336">
        <f t="shared" si="9"/>
        <v>-8566287.3001247421</v>
      </c>
      <c r="N32" s="338">
        <f t="shared" si="10"/>
        <v>15908819.271660242</v>
      </c>
      <c r="O32" s="335">
        <f t="shared" si="5"/>
        <v>15342552.573132586</v>
      </c>
    </row>
    <row r="33" spans="1:15" hidden="1" outlineLevel="1">
      <c r="A33" s="404"/>
      <c r="B33" s="337">
        <v>41882</v>
      </c>
      <c r="C33" s="337"/>
      <c r="D33" s="336"/>
      <c r="E33" s="336">
        <f t="shared" si="3"/>
        <v>26705589.030355275</v>
      </c>
      <c r="F33" s="336">
        <f t="shared" si="11"/>
        <v>26227171.048395243</v>
      </c>
      <c r="G33" s="336">
        <v>344629.0921095275</v>
      </c>
      <c r="H33" s="336">
        <f t="shared" si="6"/>
        <v>-3446291.0868762191</v>
      </c>
      <c r="I33" s="336">
        <f t="shared" si="12"/>
        <v>-1438371.6060420729</v>
      </c>
      <c r="J33" s="336">
        <f t="shared" si="7"/>
        <v>24788799.44235317</v>
      </c>
      <c r="K33" s="336">
        <f t="shared" si="4"/>
        <v>120620.18223833462</v>
      </c>
      <c r="L33" s="336">
        <f t="shared" si="1"/>
        <v>-8140754.2802176643</v>
      </c>
      <c r="M33" s="336">
        <f t="shared" si="9"/>
        <v>-8676079.8048236053</v>
      </c>
      <c r="N33" s="338">
        <f t="shared" si="10"/>
        <v>16112719.637529565</v>
      </c>
      <c r="O33" s="335">
        <f t="shared" si="5"/>
        <v>15118543.663261389</v>
      </c>
    </row>
    <row r="34" spans="1:15" hidden="1" outlineLevel="1">
      <c r="A34" s="404"/>
      <c r="B34" s="337">
        <v>41912</v>
      </c>
      <c r="C34" s="337"/>
      <c r="D34" s="316"/>
      <c r="E34" s="316">
        <f t="shared" si="3"/>
        <v>26705589.030355275</v>
      </c>
      <c r="F34" s="336">
        <f t="shared" si="11"/>
        <v>26583558.525632981</v>
      </c>
      <c r="G34" s="336">
        <v>344629.0921095275</v>
      </c>
      <c r="H34" s="336">
        <f t="shared" si="6"/>
        <v>-3790920.1789857466</v>
      </c>
      <c r="I34" s="336">
        <f t="shared" si="12"/>
        <v>-1739922.075452988</v>
      </c>
      <c r="J34" s="336">
        <f t="shared" si="7"/>
        <v>24843636.450179994</v>
      </c>
      <c r="K34" s="336">
        <f t="shared" si="4"/>
        <v>120620.18223833462</v>
      </c>
      <c r="L34" s="336">
        <f t="shared" si="1"/>
        <v>-8020134.0979793295</v>
      </c>
      <c r="M34" s="336">
        <f t="shared" si="9"/>
        <v>-8695272.757562995</v>
      </c>
      <c r="N34" s="338">
        <f t="shared" si="10"/>
        <v>16148363.692616999</v>
      </c>
      <c r="O34" s="335">
        <f t="shared" si="5"/>
        <v>14894534.7533902</v>
      </c>
    </row>
    <row r="35" spans="1:15" hidden="1" outlineLevel="1">
      <c r="A35" s="404"/>
      <c r="B35" s="337">
        <v>41943</v>
      </c>
      <c r="C35" s="337"/>
      <c r="D35" s="336"/>
      <c r="E35" s="336">
        <f t="shared" si="3"/>
        <v>26705589.030355275</v>
      </c>
      <c r="F35" s="336">
        <f t="shared" si="11"/>
        <v>26706246.352021944</v>
      </c>
      <c r="G35" s="336">
        <v>344629.0921095275</v>
      </c>
      <c r="H35" s="336">
        <f t="shared" si="6"/>
        <v>-4135549.271095274</v>
      </c>
      <c r="I35" s="336">
        <f t="shared" si="12"/>
        <v>-2070191.6358730309</v>
      </c>
      <c r="J35" s="336">
        <f t="shared" si="7"/>
        <v>24636054.716148913</v>
      </c>
      <c r="K35" s="336">
        <f t="shared" si="4"/>
        <v>120620.18223833462</v>
      </c>
      <c r="L35" s="336">
        <f t="shared" si="1"/>
        <v>-7899513.9157409947</v>
      </c>
      <c r="M35" s="336">
        <f t="shared" si="9"/>
        <v>-8622619.1506521124</v>
      </c>
      <c r="N35" s="338">
        <f t="shared" si="10"/>
        <v>16013435.5654968</v>
      </c>
      <c r="O35" s="335">
        <f t="shared" si="5"/>
        <v>14670525.843519004</v>
      </c>
    </row>
    <row r="36" spans="1:15" hidden="1" outlineLevel="1">
      <c r="A36" s="404"/>
      <c r="B36" s="337">
        <v>41973</v>
      </c>
      <c r="C36" s="337"/>
      <c r="D36" s="316"/>
      <c r="E36" s="316">
        <f t="shared" si="3"/>
        <v>26705589.030355275</v>
      </c>
      <c r="F36" s="336">
        <f t="shared" si="11"/>
        <v>26705589.030355275</v>
      </c>
      <c r="G36" s="336">
        <v>344629.0921095275</v>
      </c>
      <c r="H36" s="336">
        <f t="shared" si="6"/>
        <v>-4480178.3632048015</v>
      </c>
      <c r="I36" s="336">
        <f t="shared" si="12"/>
        <v>-2413723.7310522008</v>
      </c>
      <c r="J36" s="336">
        <f t="shared" si="7"/>
        <v>24291865.299303073</v>
      </c>
      <c r="K36" s="336">
        <f t="shared" si="4"/>
        <v>120620.18223833462</v>
      </c>
      <c r="L36" s="336">
        <f t="shared" si="1"/>
        <v>-7778893.7335026599</v>
      </c>
      <c r="M36" s="336">
        <f t="shared" si="9"/>
        <v>-8502152.8547560703</v>
      </c>
      <c r="N36" s="338">
        <f t="shared" si="10"/>
        <v>15789712.444547003</v>
      </c>
      <c r="O36" s="335">
        <f t="shared" si="5"/>
        <v>14446516.933647815</v>
      </c>
    </row>
    <row r="37" spans="1:15" hidden="1" outlineLevel="1">
      <c r="A37" s="404"/>
      <c r="B37" s="337">
        <v>42004</v>
      </c>
      <c r="C37" s="337"/>
      <c r="D37" s="336"/>
      <c r="E37" s="336">
        <f t="shared" si="3"/>
        <v>26705589.030355275</v>
      </c>
      <c r="F37" s="336">
        <f t="shared" si="11"/>
        <v>26705589.030355275</v>
      </c>
      <c r="G37" s="336">
        <f>(E36+H36)/59</f>
        <v>376701.87571441481</v>
      </c>
      <c r="H37" s="336">
        <f t="shared" si="6"/>
        <v>-4856880.2389192162</v>
      </c>
      <c r="I37" s="336">
        <f t="shared" si="12"/>
        <v>-2758480.7269740342</v>
      </c>
      <c r="J37" s="336">
        <f t="shared" si="7"/>
        <v>23947108.303381242</v>
      </c>
      <c r="K37" s="336">
        <f t="shared" si="4"/>
        <v>131845.65650004518</v>
      </c>
      <c r="L37" s="336">
        <f t="shared" si="1"/>
        <v>-7647048.0770026147</v>
      </c>
      <c r="M37" s="336">
        <f t="shared" si="9"/>
        <v>-8381487.9061834291</v>
      </c>
      <c r="N37" s="338">
        <f t="shared" si="10"/>
        <v>15565620.397197813</v>
      </c>
      <c r="O37" s="335">
        <f t="shared" si="5"/>
        <v>14201660.714433443</v>
      </c>
    </row>
    <row r="38" spans="1:15" hidden="1" outlineLevel="1">
      <c r="A38" s="404"/>
      <c r="B38" s="337">
        <v>42035</v>
      </c>
      <c r="C38" s="337"/>
      <c r="D38" s="316"/>
      <c r="E38" s="316">
        <f t="shared" si="3"/>
        <v>26705589.030355275</v>
      </c>
      <c r="F38" s="336">
        <f t="shared" si="11"/>
        <v>26705589.030355275</v>
      </c>
      <c r="G38" s="336">
        <f t="shared" ref="G38:G95" si="13">G37</f>
        <v>376701.87571441481</v>
      </c>
      <c r="H38" s="336">
        <f t="shared" si="6"/>
        <v>-5233582.114633631</v>
      </c>
      <c r="I38" s="336">
        <f t="shared" si="12"/>
        <v>-3107007.4587008394</v>
      </c>
      <c r="J38" s="336">
        <f t="shared" si="7"/>
        <v>23598581.571654435</v>
      </c>
      <c r="K38" s="336">
        <f t="shared" si="4"/>
        <v>131845.65650004518</v>
      </c>
      <c r="L38" s="336">
        <f t="shared" si="1"/>
        <v>-7515202.4205025695</v>
      </c>
      <c r="M38" s="336">
        <f t="shared" si="9"/>
        <v>-8259503.5500790477</v>
      </c>
      <c r="N38" s="338">
        <f t="shared" si="10"/>
        <v>15339078.021575388</v>
      </c>
      <c r="O38" s="335">
        <f>+E38+H38+L38</f>
        <v>13956804.495219074</v>
      </c>
    </row>
    <row r="39" spans="1:15" hidden="1" outlineLevel="1">
      <c r="A39" s="404"/>
      <c r="B39" s="337">
        <v>42063</v>
      </c>
      <c r="C39" s="337"/>
      <c r="D39" s="336"/>
      <c r="E39" s="336">
        <f t="shared" si="3"/>
        <v>26705589.030355275</v>
      </c>
      <c r="F39" s="336">
        <f>(E27+E39+SUM(E28:E38)*2)/24</f>
        <v>26705589.030355275</v>
      </c>
      <c r="G39" s="336">
        <f t="shared" si="13"/>
        <v>376701.87571441481</v>
      </c>
      <c r="H39" s="336">
        <f t="shared" si="6"/>
        <v>-5610283.9903480457</v>
      </c>
      <c r="I39" s="336">
        <f>(H27+H39+SUM(H28:H38)*2)/24</f>
        <v>-3458318.3807280515</v>
      </c>
      <c r="J39" s="336">
        <f t="shared" si="7"/>
        <v>23247270.649627224</v>
      </c>
      <c r="K39" s="336">
        <f t="shared" si="4"/>
        <v>131845.65650004518</v>
      </c>
      <c r="L39" s="336">
        <f t="shared" si="1"/>
        <v>-7383356.7640025243</v>
      </c>
      <c r="M39" s="336">
        <f>(L27+L39+SUM(L28:L38)*2)/24</f>
        <v>-8136544.7273695236</v>
      </c>
      <c r="N39" s="338">
        <f>M39+J39</f>
        <v>15110725.922257699</v>
      </c>
      <c r="O39" s="335">
        <f t="shared" si="5"/>
        <v>13711948.276004706</v>
      </c>
    </row>
    <row r="40" spans="1:15" hidden="1" outlineLevel="1">
      <c r="A40" s="404"/>
      <c r="B40" s="337">
        <v>42094</v>
      </c>
      <c r="C40" s="337"/>
      <c r="D40" s="316"/>
      <c r="E40" s="316">
        <f t="shared" si="3"/>
        <v>26705589.030355275</v>
      </c>
      <c r="F40" s="336">
        <f t="shared" ref="F40:F51" si="14">(E28+E40+SUM(E29:E39)*2)/24</f>
        <v>26705589.030355275</v>
      </c>
      <c r="G40" s="336">
        <f t="shared" si="13"/>
        <v>376701.87571441481</v>
      </c>
      <c r="H40" s="336">
        <f>H39-G40</f>
        <v>-5986985.8660624605</v>
      </c>
      <c r="I40" s="336">
        <f t="shared" ref="I40:I51" si="15">(H28+H40+SUM(H29:H39)*2)/24</f>
        <v>-3812302.034722338</v>
      </c>
      <c r="J40" s="336">
        <f>F40+I40</f>
        <v>22893286.995632935</v>
      </c>
      <c r="K40" s="336">
        <f t="shared" si="4"/>
        <v>131845.65650004518</v>
      </c>
      <c r="L40" s="336">
        <f t="shared" si="1"/>
        <v>-7251511.1075024791</v>
      </c>
      <c r="M40" s="336">
        <f t="shared" ref="M40:M72" si="16">(L28+L40+SUM(L29:L39)*2)/24</f>
        <v>-8012650.4484715238</v>
      </c>
      <c r="N40" s="338">
        <f t="shared" ref="N40:N95" si="17">M40+J40</f>
        <v>14880636.547161411</v>
      </c>
      <c r="O40" s="335">
        <f t="shared" si="5"/>
        <v>13467092.056790333</v>
      </c>
    </row>
    <row r="41" spans="1:15" hidden="1" outlineLevel="1">
      <c r="A41" s="404"/>
      <c r="B41" s="337">
        <v>42124</v>
      </c>
      <c r="C41" s="337"/>
      <c r="D41" s="336"/>
      <c r="E41" s="336">
        <f t="shared" si="3"/>
        <v>26705589.030355275</v>
      </c>
      <c r="F41" s="336">
        <f t="shared" si="14"/>
        <v>26705589.030355275</v>
      </c>
      <c r="G41" s="336">
        <f t="shared" si="13"/>
        <v>376701.87571441481</v>
      </c>
      <c r="H41" s="336">
        <f t="shared" si="6"/>
        <v>-6363687.7417768752</v>
      </c>
      <c r="I41" s="336">
        <f t="shared" si="15"/>
        <v>-4168958.4206836987</v>
      </c>
      <c r="J41" s="336">
        <f t="shared" si="7"/>
        <v>22536630.609671578</v>
      </c>
      <c r="K41" s="336">
        <f t="shared" si="4"/>
        <v>131845.65650004518</v>
      </c>
      <c r="L41" s="336">
        <f t="shared" si="1"/>
        <v>-7119665.4510024339</v>
      </c>
      <c r="M41" s="336">
        <f t="shared" si="16"/>
        <v>-7887820.7133850465</v>
      </c>
      <c r="N41" s="338">
        <f t="shared" si="17"/>
        <v>14648809.896286532</v>
      </c>
      <c r="O41" s="335">
        <f t="shared" si="5"/>
        <v>13222235.837575965</v>
      </c>
    </row>
    <row r="42" spans="1:15" hidden="1" outlineLevel="1">
      <c r="A42" s="404"/>
      <c r="B42" s="337">
        <v>42155</v>
      </c>
      <c r="C42" s="337"/>
      <c r="D42" s="316"/>
      <c r="E42" s="316">
        <f t="shared" si="3"/>
        <v>26705589.030355275</v>
      </c>
      <c r="F42" s="336">
        <f t="shared" si="14"/>
        <v>26705589.030355275</v>
      </c>
      <c r="G42" s="336">
        <f t="shared" si="13"/>
        <v>376701.87571441481</v>
      </c>
      <c r="H42" s="336">
        <f t="shared" si="6"/>
        <v>-6740389.61749129</v>
      </c>
      <c r="I42" s="336">
        <f t="shared" si="15"/>
        <v>-4528287.5386121329</v>
      </c>
      <c r="J42" s="336">
        <f t="shared" si="7"/>
        <v>22177301.49174314</v>
      </c>
      <c r="K42" s="336">
        <f t="shared" si="4"/>
        <v>131845.65650004518</v>
      </c>
      <c r="L42" s="336">
        <f t="shared" si="1"/>
        <v>-6987819.7945023887</v>
      </c>
      <c r="M42" s="336">
        <f t="shared" si="16"/>
        <v>-7762055.5221100943</v>
      </c>
      <c r="N42" s="338">
        <f t="shared" si="17"/>
        <v>14415245.969633047</v>
      </c>
      <c r="O42" s="335">
        <f t="shared" si="5"/>
        <v>12977379.618361596</v>
      </c>
    </row>
    <row r="43" spans="1:15" hidden="1" outlineLevel="1">
      <c r="A43" s="404"/>
      <c r="B43" s="337">
        <v>42185</v>
      </c>
      <c r="C43" s="337"/>
      <c r="D43" s="316"/>
      <c r="E43" s="316">
        <f t="shared" si="3"/>
        <v>26705589.030355275</v>
      </c>
      <c r="F43" s="336">
        <f t="shared" si="14"/>
        <v>26705589.030355275</v>
      </c>
      <c r="G43" s="336">
        <f t="shared" si="13"/>
        <v>376701.87571441481</v>
      </c>
      <c r="H43" s="336">
        <f t="shared" si="6"/>
        <v>-7117091.4932057047</v>
      </c>
      <c r="I43" s="336">
        <f t="shared" si="15"/>
        <v>-4890289.3885076409</v>
      </c>
      <c r="J43" s="336">
        <f t="shared" si="7"/>
        <v>21815299.641847633</v>
      </c>
      <c r="K43" s="336">
        <f t="shared" si="4"/>
        <v>131845.65650004518</v>
      </c>
      <c r="L43" s="336">
        <f t="shared" si="1"/>
        <v>-6855974.1380023435</v>
      </c>
      <c r="M43" s="336">
        <f t="shared" si="16"/>
        <v>-7635354.8746466674</v>
      </c>
      <c r="N43" s="338">
        <f t="shared" si="17"/>
        <v>14179944.767200965</v>
      </c>
      <c r="O43" s="335">
        <f t="shared" si="5"/>
        <v>12732523.399147227</v>
      </c>
    </row>
    <row r="44" spans="1:15" hidden="1" outlineLevel="1" collapsed="1">
      <c r="A44" s="404"/>
      <c r="B44" s="337">
        <v>42216</v>
      </c>
      <c r="C44" s="337"/>
      <c r="D44" s="316"/>
      <c r="E44" s="316">
        <f t="shared" si="3"/>
        <v>26705589.030355275</v>
      </c>
      <c r="F44" s="336">
        <f t="shared" si="14"/>
        <v>26705589.030355275</v>
      </c>
      <c r="G44" s="336">
        <f t="shared" si="13"/>
        <v>376701.87571441481</v>
      </c>
      <c r="H44" s="336">
        <f t="shared" si="6"/>
        <v>-7493793.3689201195</v>
      </c>
      <c r="I44" s="336">
        <f t="shared" si="15"/>
        <v>-5254963.9703702228</v>
      </c>
      <c r="J44" s="336">
        <f t="shared" si="7"/>
        <v>21450625.059985053</v>
      </c>
      <c r="K44" s="336">
        <f t="shared" si="4"/>
        <v>131845.65650004518</v>
      </c>
      <c r="L44" s="336">
        <f t="shared" si="1"/>
        <v>-6724128.4815022983</v>
      </c>
      <c r="M44" s="336">
        <f t="shared" si="16"/>
        <v>-7507718.7709947629</v>
      </c>
      <c r="N44" s="338">
        <f t="shared" si="17"/>
        <v>13942906.288990289</v>
      </c>
      <c r="O44" s="335">
        <f t="shared" si="5"/>
        <v>12487667.179932859</v>
      </c>
    </row>
    <row r="45" spans="1:15" hidden="1" outlineLevel="1">
      <c r="A45" s="404"/>
      <c r="B45" s="337">
        <v>42247</v>
      </c>
      <c r="C45" s="337"/>
      <c r="D45" s="336"/>
      <c r="E45" s="336">
        <f t="shared" si="3"/>
        <v>26705589.030355275</v>
      </c>
      <c r="F45" s="336">
        <f t="shared" si="14"/>
        <v>26705589.030355275</v>
      </c>
      <c r="G45" s="336">
        <f t="shared" si="13"/>
        <v>376701.87571441481</v>
      </c>
      <c r="H45" s="336">
        <f t="shared" si="6"/>
        <v>-7870495.2446345342</v>
      </c>
      <c r="I45" s="336">
        <f t="shared" si="15"/>
        <v>-5622311.2841998786</v>
      </c>
      <c r="J45" s="336">
        <f t="shared" si="7"/>
        <v>21083277.746155396</v>
      </c>
      <c r="K45" s="336">
        <f t="shared" si="4"/>
        <v>131845.65650004518</v>
      </c>
      <c r="L45" s="336">
        <f t="shared" si="1"/>
        <v>-6592282.8250022531</v>
      </c>
      <c r="M45" s="336">
        <f t="shared" si="16"/>
        <v>-7379147.2111543827</v>
      </c>
      <c r="N45" s="338">
        <f t="shared" si="17"/>
        <v>13704130.535001013</v>
      </c>
      <c r="O45" s="335">
        <f t="shared" si="5"/>
        <v>12242810.960718486</v>
      </c>
    </row>
    <row r="46" spans="1:15" hidden="1" outlineLevel="1">
      <c r="A46" s="404"/>
      <c r="B46" s="337">
        <v>42277</v>
      </c>
      <c r="C46" s="337"/>
      <c r="D46" s="316"/>
      <c r="E46" s="316">
        <f t="shared" si="3"/>
        <v>26705589.030355275</v>
      </c>
      <c r="F46" s="336">
        <f t="shared" si="14"/>
        <v>26705589.030355275</v>
      </c>
      <c r="G46" s="336">
        <f t="shared" si="13"/>
        <v>376701.87571441481</v>
      </c>
      <c r="H46" s="336">
        <f t="shared" si="6"/>
        <v>-8247197.120348949</v>
      </c>
      <c r="I46" s="336">
        <f t="shared" si="15"/>
        <v>-5992331.3299966082</v>
      </c>
      <c r="J46" s="336">
        <f t="shared" si="7"/>
        <v>20713257.700358666</v>
      </c>
      <c r="K46" s="336">
        <f t="shared" si="4"/>
        <v>131845.65650004518</v>
      </c>
      <c r="L46" s="336">
        <f t="shared" si="1"/>
        <v>-6460437.1685022078</v>
      </c>
      <c r="M46" s="336">
        <f t="shared" si="16"/>
        <v>-7249640.1951255277</v>
      </c>
      <c r="N46" s="338">
        <f t="shared" si="17"/>
        <v>13463617.505233139</v>
      </c>
      <c r="O46" s="335">
        <f t="shared" si="5"/>
        <v>11997954.741504118</v>
      </c>
    </row>
    <row r="47" spans="1:15" hidden="1" outlineLevel="1">
      <c r="A47" s="404"/>
      <c r="B47" s="337">
        <v>42308</v>
      </c>
      <c r="C47" s="337"/>
      <c r="D47" s="336"/>
      <c r="E47" s="336">
        <f t="shared" si="3"/>
        <v>26705589.030355275</v>
      </c>
      <c r="F47" s="336">
        <f t="shared" si="14"/>
        <v>26705589.030355275</v>
      </c>
      <c r="G47" s="336">
        <f t="shared" si="13"/>
        <v>376701.87571441481</v>
      </c>
      <c r="H47" s="336">
        <f t="shared" si="6"/>
        <v>-8623898.9960633647</v>
      </c>
      <c r="I47" s="336">
        <f t="shared" si="15"/>
        <v>-6365024.1077604108</v>
      </c>
      <c r="J47" s="336">
        <f t="shared" si="7"/>
        <v>20340564.922594864</v>
      </c>
      <c r="K47" s="336">
        <f t="shared" si="4"/>
        <v>131845.65650004518</v>
      </c>
      <c r="L47" s="336">
        <f t="shared" si="1"/>
        <v>-6328591.5120021626</v>
      </c>
      <c r="M47" s="336">
        <f t="shared" si="16"/>
        <v>-7119197.7229081979</v>
      </c>
      <c r="N47" s="338">
        <f t="shared" si="17"/>
        <v>13221367.199686665</v>
      </c>
      <c r="O47" s="335">
        <f t="shared" si="5"/>
        <v>11753098.522289746</v>
      </c>
    </row>
    <row r="48" spans="1:15" hidden="1" outlineLevel="1">
      <c r="A48" s="404"/>
      <c r="B48" s="337">
        <v>42338</v>
      </c>
      <c r="C48" s="337"/>
      <c r="D48" s="316"/>
      <c r="E48" s="316">
        <f t="shared" si="3"/>
        <v>26705589.030355275</v>
      </c>
      <c r="F48" s="336">
        <f t="shared" si="14"/>
        <v>26705589.030355275</v>
      </c>
      <c r="G48" s="336">
        <f t="shared" si="13"/>
        <v>376701.87571441481</v>
      </c>
      <c r="H48" s="336">
        <f t="shared" si="6"/>
        <v>-9000600.8717777804</v>
      </c>
      <c r="I48" s="336">
        <f t="shared" si="15"/>
        <v>-6740389.61749129</v>
      </c>
      <c r="J48" s="336">
        <f t="shared" si="7"/>
        <v>19965199.412863985</v>
      </c>
      <c r="K48" s="336">
        <f t="shared" si="4"/>
        <v>131845.65650004518</v>
      </c>
      <c r="L48" s="336">
        <f t="shared" si="1"/>
        <v>-6196745.8555021174</v>
      </c>
      <c r="M48" s="336">
        <f t="shared" si="16"/>
        <v>-6987819.7945023887</v>
      </c>
      <c r="N48" s="338">
        <f t="shared" si="17"/>
        <v>12977379.618361596</v>
      </c>
      <c r="O48" s="335">
        <f t="shared" si="5"/>
        <v>11508242.303075377</v>
      </c>
    </row>
    <row r="49" spans="1:15" hidden="1" outlineLevel="1">
      <c r="A49" s="404"/>
      <c r="B49" s="337">
        <v>42369</v>
      </c>
      <c r="C49" s="337"/>
      <c r="D49" s="336"/>
      <c r="E49" s="336">
        <f t="shared" si="3"/>
        <v>26705589.030355275</v>
      </c>
      <c r="F49" s="336">
        <f t="shared" si="14"/>
        <v>26705589.030355275</v>
      </c>
      <c r="G49" s="336">
        <f t="shared" si="13"/>
        <v>376701.87571441481</v>
      </c>
      <c r="H49" s="336">
        <f t="shared" si="6"/>
        <v>-9377302.747492196</v>
      </c>
      <c r="I49" s="336">
        <f t="shared" si="15"/>
        <v>-7117091.4932057047</v>
      </c>
      <c r="J49" s="336">
        <f t="shared" si="7"/>
        <v>19588497.537149571</v>
      </c>
      <c r="K49" s="336">
        <f t="shared" si="4"/>
        <v>131845.65650004518</v>
      </c>
      <c r="L49" s="336">
        <f t="shared" si="1"/>
        <v>-6064900.1990020722</v>
      </c>
      <c r="M49" s="336">
        <f t="shared" si="16"/>
        <v>-6855974.1380023435</v>
      </c>
      <c r="N49" s="338">
        <f t="shared" si="17"/>
        <v>12732523.399147227</v>
      </c>
      <c r="O49" s="335">
        <f t="shared" si="5"/>
        <v>11263386.083861008</v>
      </c>
    </row>
    <row r="50" spans="1:15" hidden="1" outlineLevel="1">
      <c r="A50" s="404"/>
      <c r="B50" s="337">
        <v>42400</v>
      </c>
      <c r="C50" s="337"/>
      <c r="D50" s="316"/>
      <c r="E50" s="316">
        <f t="shared" si="3"/>
        <v>26705589.030355275</v>
      </c>
      <c r="F50" s="336">
        <f t="shared" si="14"/>
        <v>26705589.030355275</v>
      </c>
      <c r="G50" s="336">
        <f t="shared" si="13"/>
        <v>376701.87571441481</v>
      </c>
      <c r="H50" s="336">
        <f t="shared" si="6"/>
        <v>-9754004.6232066117</v>
      </c>
      <c r="I50" s="336">
        <f t="shared" si="15"/>
        <v>-7493793.3689201204</v>
      </c>
      <c r="J50" s="336">
        <f t="shared" si="7"/>
        <v>19211795.661435153</v>
      </c>
      <c r="K50" s="336">
        <f t="shared" si="4"/>
        <v>131845.65650004518</v>
      </c>
      <c r="L50" s="336">
        <f t="shared" si="1"/>
        <v>-5933054.542502027</v>
      </c>
      <c r="M50" s="336">
        <f t="shared" si="16"/>
        <v>-6724128.4815022983</v>
      </c>
      <c r="N50" s="338">
        <f t="shared" si="17"/>
        <v>12487667.179932855</v>
      </c>
      <c r="O50" s="335">
        <f t="shared" si="5"/>
        <v>11018529.864646636</v>
      </c>
    </row>
    <row r="51" spans="1:15" hidden="1" outlineLevel="1">
      <c r="A51" s="404"/>
      <c r="B51" s="337">
        <v>42429</v>
      </c>
      <c r="C51" s="337"/>
      <c r="D51" s="336"/>
      <c r="E51" s="336">
        <f t="shared" si="3"/>
        <v>26705589.030355275</v>
      </c>
      <c r="F51" s="336">
        <f t="shared" si="14"/>
        <v>26705589.030355275</v>
      </c>
      <c r="G51" s="336">
        <f t="shared" si="13"/>
        <v>376701.87571441481</v>
      </c>
      <c r="H51" s="336">
        <f t="shared" si="6"/>
        <v>-10130706.498921027</v>
      </c>
      <c r="I51" s="336">
        <f t="shared" si="15"/>
        <v>-7870495.2446345361</v>
      </c>
      <c r="J51" s="336">
        <f t="shared" si="7"/>
        <v>18835093.78572074</v>
      </c>
      <c r="K51" s="336">
        <f t="shared" si="4"/>
        <v>131845.65650004518</v>
      </c>
      <c r="L51" s="336">
        <f t="shared" si="1"/>
        <v>-5801208.8860019818</v>
      </c>
      <c r="M51" s="336">
        <f t="shared" si="16"/>
        <v>-6592282.825002254</v>
      </c>
      <c r="N51" s="338">
        <f t="shared" si="17"/>
        <v>12242810.960718486</v>
      </c>
      <c r="O51" s="335">
        <f t="shared" si="5"/>
        <v>10773673.645432265</v>
      </c>
    </row>
    <row r="52" spans="1:15" hidden="1" outlineLevel="1">
      <c r="A52" s="404"/>
      <c r="B52" s="337">
        <v>42460</v>
      </c>
      <c r="C52" s="337"/>
      <c r="D52" s="316"/>
      <c r="E52" s="316">
        <f t="shared" si="3"/>
        <v>26705589.030355275</v>
      </c>
      <c r="F52" s="336">
        <f t="shared" ref="F52:F72" si="18">(E40+E52+SUM(E41:E51)*2)/24</f>
        <v>26705589.030355275</v>
      </c>
      <c r="G52" s="336">
        <f t="shared" si="13"/>
        <v>376701.87571441481</v>
      </c>
      <c r="H52" s="336">
        <f t="shared" si="6"/>
        <v>-10507408.374635443</v>
      </c>
      <c r="I52" s="336">
        <f>(H40+H52+SUM(H41:H51)*2)/24</f>
        <v>-8247197.1203489499</v>
      </c>
      <c r="J52" s="336">
        <f t="shared" si="7"/>
        <v>18458391.910006326</v>
      </c>
      <c r="K52" s="336">
        <f t="shared" si="4"/>
        <v>131845.65650004518</v>
      </c>
      <c r="L52" s="336">
        <f t="shared" si="1"/>
        <v>-5669363.2295019366</v>
      </c>
      <c r="M52" s="336">
        <f t="shared" si="16"/>
        <v>-6460437.1685022088</v>
      </c>
      <c r="N52" s="338">
        <f t="shared" si="17"/>
        <v>11997954.741504118</v>
      </c>
      <c r="O52" s="335">
        <f t="shared" si="5"/>
        <v>10528817.426217895</v>
      </c>
    </row>
    <row r="53" spans="1:15" hidden="1" outlineLevel="1">
      <c r="A53" s="404"/>
      <c r="B53" s="337">
        <v>42490</v>
      </c>
      <c r="C53" s="337"/>
      <c r="D53" s="336"/>
      <c r="E53" s="336">
        <f t="shared" si="3"/>
        <v>26705589.030355275</v>
      </c>
      <c r="F53" s="336">
        <f t="shared" si="18"/>
        <v>26705589.030355275</v>
      </c>
      <c r="G53" s="336">
        <f t="shared" si="13"/>
        <v>376701.87571441481</v>
      </c>
      <c r="H53" s="336">
        <f t="shared" si="6"/>
        <v>-10884110.250349859</v>
      </c>
      <c r="I53" s="336">
        <f>(H41+H53+SUM(H42:H52)*2)/24</f>
        <v>-8623898.9960633647</v>
      </c>
      <c r="J53" s="336">
        <f t="shared" si="7"/>
        <v>18081690.034291908</v>
      </c>
      <c r="K53" s="336">
        <f t="shared" si="4"/>
        <v>131845.65650004518</v>
      </c>
      <c r="L53" s="336">
        <f t="shared" si="1"/>
        <v>-5537517.5730018914</v>
      </c>
      <c r="M53" s="336">
        <f t="shared" si="16"/>
        <v>-6328591.5120021626</v>
      </c>
      <c r="N53" s="338">
        <f t="shared" si="17"/>
        <v>11753098.522289746</v>
      </c>
      <c r="O53" s="335">
        <f t="shared" si="5"/>
        <v>10283961.207003525</v>
      </c>
    </row>
    <row r="54" spans="1:15" hidden="1" outlineLevel="1">
      <c r="A54" s="404"/>
      <c r="B54" s="337">
        <v>42521</v>
      </c>
      <c r="C54" s="337"/>
      <c r="D54" s="316"/>
      <c r="E54" s="316">
        <f t="shared" si="3"/>
        <v>26705589.030355275</v>
      </c>
      <c r="F54" s="336">
        <f t="shared" si="18"/>
        <v>26705589.030355275</v>
      </c>
      <c r="G54" s="336">
        <f t="shared" si="13"/>
        <v>376701.87571441481</v>
      </c>
      <c r="H54" s="336">
        <f t="shared" si="6"/>
        <v>-11260812.126064274</v>
      </c>
      <c r="I54" s="336">
        <f>(H42+H54+SUM(H43:H53)*2)/24</f>
        <v>-9000600.8717777822</v>
      </c>
      <c r="J54" s="336">
        <f t="shared" si="7"/>
        <v>17704988.158577494</v>
      </c>
      <c r="K54" s="336">
        <f t="shared" si="4"/>
        <v>131845.65650004518</v>
      </c>
      <c r="L54" s="336">
        <f t="shared" si="1"/>
        <v>-5405671.9165018462</v>
      </c>
      <c r="M54" s="336">
        <f t="shared" si="16"/>
        <v>-6196745.8555021174</v>
      </c>
      <c r="N54" s="338">
        <f t="shared" si="17"/>
        <v>11508242.303075377</v>
      </c>
      <c r="O54" s="335">
        <f t="shared" si="5"/>
        <v>10039104.987789154</v>
      </c>
    </row>
    <row r="55" spans="1:15" hidden="1" outlineLevel="1">
      <c r="A55" s="404"/>
      <c r="B55" s="337">
        <v>42551</v>
      </c>
      <c r="C55" s="337"/>
      <c r="D55" s="336"/>
      <c r="E55" s="336">
        <f t="shared" si="3"/>
        <v>26705589.030355275</v>
      </c>
      <c r="F55" s="336">
        <f t="shared" si="18"/>
        <v>26705589.030355275</v>
      </c>
      <c r="G55" s="336">
        <f t="shared" si="13"/>
        <v>376701.87571441481</v>
      </c>
      <c r="H55" s="336">
        <f t="shared" si="6"/>
        <v>-11637514.00177869</v>
      </c>
      <c r="I55" s="336">
        <f t="shared" ref="I55:I94" si="19">(H43+H55+SUM(H44:H54)*2)/24</f>
        <v>-9377302.747492196</v>
      </c>
      <c r="J55" s="336">
        <f t="shared" si="7"/>
        <v>17328286.282863081</v>
      </c>
      <c r="K55" s="336">
        <f t="shared" si="4"/>
        <v>131845.65650004518</v>
      </c>
      <c r="L55" s="336">
        <f t="shared" si="1"/>
        <v>-5273826.260001801</v>
      </c>
      <c r="M55" s="336">
        <f t="shared" si="16"/>
        <v>-6064900.1990020731</v>
      </c>
      <c r="N55" s="338">
        <f t="shared" si="17"/>
        <v>11263386.083861008</v>
      </c>
      <c r="O55" s="335">
        <f t="shared" si="5"/>
        <v>9794248.7685747836</v>
      </c>
    </row>
    <row r="56" spans="1:15" hidden="1" outlineLevel="1">
      <c r="A56" s="404"/>
      <c r="B56" s="337">
        <v>42582</v>
      </c>
      <c r="C56" s="337"/>
      <c r="D56" s="316"/>
      <c r="E56" s="316">
        <f t="shared" si="3"/>
        <v>26705589.030355275</v>
      </c>
      <c r="F56" s="336">
        <f t="shared" si="18"/>
        <v>26705589.030355275</v>
      </c>
      <c r="G56" s="336">
        <f t="shared" si="13"/>
        <v>376701.87571441481</v>
      </c>
      <c r="H56" s="336">
        <f t="shared" si="6"/>
        <v>-12014215.877493106</v>
      </c>
      <c r="I56" s="336">
        <f t="shared" si="19"/>
        <v>-9754004.6232066117</v>
      </c>
      <c r="J56" s="336">
        <f t="shared" si="7"/>
        <v>16951584.407148663</v>
      </c>
      <c r="K56" s="336">
        <f t="shared" si="4"/>
        <v>131845.65650004518</v>
      </c>
      <c r="L56" s="336">
        <f t="shared" si="1"/>
        <v>-5141980.6035017557</v>
      </c>
      <c r="M56" s="336">
        <f t="shared" si="16"/>
        <v>-5933054.542502027</v>
      </c>
      <c r="N56" s="338">
        <f t="shared" si="17"/>
        <v>11018529.864646636</v>
      </c>
      <c r="O56" s="335">
        <f t="shared" si="5"/>
        <v>9549392.5493604131</v>
      </c>
    </row>
    <row r="57" spans="1:15" hidden="1" outlineLevel="1">
      <c r="A57" s="404"/>
      <c r="B57" s="337">
        <v>42613</v>
      </c>
      <c r="C57" s="337"/>
      <c r="D57" s="336"/>
      <c r="E57" s="336">
        <f t="shared" si="3"/>
        <v>26705589.030355275</v>
      </c>
      <c r="F57" s="336">
        <f t="shared" si="18"/>
        <v>26705589.030355275</v>
      </c>
      <c r="G57" s="336">
        <f t="shared" si="13"/>
        <v>376701.87571441481</v>
      </c>
      <c r="H57" s="336">
        <f t="shared" si="6"/>
        <v>-12390917.753207522</v>
      </c>
      <c r="I57" s="336">
        <f t="shared" si="19"/>
        <v>-10130706.498921026</v>
      </c>
      <c r="J57" s="336">
        <f t="shared" si="7"/>
        <v>16574882.531434249</v>
      </c>
      <c r="K57" s="336">
        <f t="shared" si="4"/>
        <v>131845.65650004518</v>
      </c>
      <c r="L57" s="336">
        <f t="shared" si="1"/>
        <v>-5010134.9470017105</v>
      </c>
      <c r="M57" s="336">
        <f t="shared" si="16"/>
        <v>-5801208.8860019818</v>
      </c>
      <c r="N57" s="338">
        <f t="shared" si="17"/>
        <v>10773673.645432267</v>
      </c>
      <c r="O57" s="335">
        <f t="shared" si="5"/>
        <v>9304536.3301460426</v>
      </c>
    </row>
    <row r="58" spans="1:15" hidden="1" outlineLevel="1">
      <c r="A58" s="408"/>
      <c r="B58" s="337">
        <v>42643</v>
      </c>
      <c r="C58" s="337"/>
      <c r="D58" s="316"/>
      <c r="E58" s="316">
        <f t="shared" si="3"/>
        <v>26705589.030355275</v>
      </c>
      <c r="F58" s="336">
        <f t="shared" si="18"/>
        <v>26705589.030355275</v>
      </c>
      <c r="G58" s="336">
        <f t="shared" si="13"/>
        <v>376701.87571441481</v>
      </c>
      <c r="H58" s="336">
        <f t="shared" si="6"/>
        <v>-12767619.628921937</v>
      </c>
      <c r="I58" s="336">
        <f t="shared" si="19"/>
        <v>-10507408.374635443</v>
      </c>
      <c r="J58" s="336">
        <f t="shared" si="7"/>
        <v>16198180.655719832</v>
      </c>
      <c r="K58" s="336">
        <f t="shared" si="4"/>
        <v>131845.65650004518</v>
      </c>
      <c r="L58" s="336">
        <f t="shared" si="1"/>
        <v>-4878289.2905016653</v>
      </c>
      <c r="M58" s="336">
        <f t="shared" si="16"/>
        <v>-5669363.2295019366</v>
      </c>
      <c r="N58" s="338">
        <f t="shared" si="17"/>
        <v>10528817.426217895</v>
      </c>
      <c r="O58" s="335">
        <f t="shared" si="5"/>
        <v>9059680.1109316722</v>
      </c>
    </row>
    <row r="59" spans="1:15" hidden="1" outlineLevel="1">
      <c r="A59" s="408"/>
      <c r="B59" s="337">
        <v>42674</v>
      </c>
      <c r="C59" s="337"/>
      <c r="D59" s="316"/>
      <c r="E59" s="316">
        <f t="shared" si="3"/>
        <v>26705589.030355275</v>
      </c>
      <c r="F59" s="336">
        <f t="shared" si="18"/>
        <v>26705589.030355275</v>
      </c>
      <c r="G59" s="336">
        <f t="shared" si="13"/>
        <v>376701.87571441481</v>
      </c>
      <c r="H59" s="336">
        <f t="shared" si="6"/>
        <v>-13144321.504636353</v>
      </c>
      <c r="I59" s="336">
        <f t="shared" si="19"/>
        <v>-10884110.250349859</v>
      </c>
      <c r="J59" s="336">
        <f t="shared" si="7"/>
        <v>15821478.780005416</v>
      </c>
      <c r="K59" s="336">
        <f t="shared" si="4"/>
        <v>131845.65650004518</v>
      </c>
      <c r="L59" s="336">
        <f t="shared" si="1"/>
        <v>-4746443.6340016201</v>
      </c>
      <c r="M59" s="336">
        <f t="shared" si="16"/>
        <v>-5537517.5730018923</v>
      </c>
      <c r="N59" s="338">
        <f t="shared" si="17"/>
        <v>10283961.207003523</v>
      </c>
      <c r="O59" s="335">
        <f t="shared" si="5"/>
        <v>8814823.8917173017</v>
      </c>
    </row>
    <row r="60" spans="1:15" hidden="1" outlineLevel="1">
      <c r="A60" s="408"/>
      <c r="B60" s="337">
        <v>42704</v>
      </c>
      <c r="C60" s="337"/>
      <c r="D60" s="316"/>
      <c r="E60" s="316">
        <f t="shared" si="3"/>
        <v>26705589.030355275</v>
      </c>
      <c r="F60" s="336">
        <f t="shared" si="18"/>
        <v>26705589.030355275</v>
      </c>
      <c r="G60" s="336">
        <f t="shared" si="13"/>
        <v>376701.87571441481</v>
      </c>
      <c r="H60" s="336">
        <f t="shared" si="6"/>
        <v>-13521023.380350769</v>
      </c>
      <c r="I60" s="336">
        <f t="shared" si="19"/>
        <v>-11260812.126064273</v>
      </c>
      <c r="J60" s="336">
        <f t="shared" si="7"/>
        <v>15444776.904291002</v>
      </c>
      <c r="K60" s="336">
        <f t="shared" si="4"/>
        <v>131845.65650004518</v>
      </c>
      <c r="L60" s="336">
        <f t="shared" si="1"/>
        <v>-4614597.9775015749</v>
      </c>
      <c r="M60" s="336">
        <f t="shared" si="16"/>
        <v>-5405671.9165018462</v>
      </c>
      <c r="N60" s="338">
        <f t="shared" si="17"/>
        <v>10039104.987789156</v>
      </c>
      <c r="O60" s="335">
        <f t="shared" si="5"/>
        <v>8569967.6725029312</v>
      </c>
    </row>
    <row r="61" spans="1:15" hidden="1" outlineLevel="1">
      <c r="A61" s="408"/>
      <c r="B61" s="337">
        <v>42735</v>
      </c>
      <c r="C61" s="337"/>
      <c r="D61" s="316"/>
      <c r="E61" s="316">
        <f t="shared" si="3"/>
        <v>26705589.030355275</v>
      </c>
      <c r="F61" s="336">
        <f t="shared" si="18"/>
        <v>26705589.030355275</v>
      </c>
      <c r="G61" s="336">
        <f t="shared" si="13"/>
        <v>376701.87571441481</v>
      </c>
      <c r="H61" s="336">
        <f t="shared" si="6"/>
        <v>-13897725.256065184</v>
      </c>
      <c r="I61" s="336">
        <f t="shared" si="19"/>
        <v>-11637514.00177869</v>
      </c>
      <c r="J61" s="336">
        <f t="shared" si="7"/>
        <v>15068075.028576585</v>
      </c>
      <c r="K61" s="336">
        <f>(-D61*0.35)+(G61*0.35)</f>
        <v>131845.65650004518</v>
      </c>
      <c r="L61" s="336">
        <f t="shared" si="1"/>
        <v>-4482752.3210015297</v>
      </c>
      <c r="M61" s="336">
        <f t="shared" si="16"/>
        <v>-5273826.2600018019</v>
      </c>
      <c r="N61" s="338">
        <f t="shared" si="17"/>
        <v>9794248.7685747817</v>
      </c>
      <c r="O61" s="335">
        <f t="shared" si="5"/>
        <v>8325111.4532885607</v>
      </c>
    </row>
    <row r="62" spans="1:15" hidden="1" outlineLevel="1">
      <c r="A62" s="408"/>
      <c r="B62" s="337">
        <v>42766</v>
      </c>
      <c r="C62" s="337"/>
      <c r="D62" s="316"/>
      <c r="E62" s="316">
        <f t="shared" si="3"/>
        <v>26705589.030355275</v>
      </c>
      <c r="F62" s="336">
        <f t="shared" si="18"/>
        <v>26705589.030355275</v>
      </c>
      <c r="G62" s="336">
        <f t="shared" si="13"/>
        <v>376701.87571441481</v>
      </c>
      <c r="H62" s="336">
        <f t="shared" si="6"/>
        <v>-14274427.1317796</v>
      </c>
      <c r="I62" s="336">
        <f t="shared" si="19"/>
        <v>-12014215.877493106</v>
      </c>
      <c r="J62" s="336">
        <f t="shared" si="7"/>
        <v>14691373.152862169</v>
      </c>
      <c r="K62" s="336">
        <f t="shared" si="4"/>
        <v>131845.65650004518</v>
      </c>
      <c r="L62" s="336">
        <f t="shared" si="1"/>
        <v>-4350906.6645014845</v>
      </c>
      <c r="M62" s="336">
        <f t="shared" si="16"/>
        <v>-5141980.6035017557</v>
      </c>
      <c r="N62" s="338">
        <f t="shared" si="17"/>
        <v>9549392.5493604131</v>
      </c>
      <c r="O62" s="335">
        <f t="shared" si="5"/>
        <v>8080255.2340741903</v>
      </c>
    </row>
    <row r="63" spans="1:15" hidden="1" outlineLevel="1">
      <c r="A63" s="408"/>
      <c r="B63" s="337">
        <v>42794</v>
      </c>
      <c r="C63" s="337"/>
      <c r="D63" s="336"/>
      <c r="E63" s="336">
        <f t="shared" si="3"/>
        <v>26705589.030355275</v>
      </c>
      <c r="F63" s="336">
        <f t="shared" si="18"/>
        <v>26705589.030355275</v>
      </c>
      <c r="G63" s="336">
        <f t="shared" si="13"/>
        <v>376701.87571441481</v>
      </c>
      <c r="H63" s="336">
        <f t="shared" si="6"/>
        <v>-14651129.007494016</v>
      </c>
      <c r="I63" s="336">
        <f t="shared" si="19"/>
        <v>-12390917.753207522</v>
      </c>
      <c r="J63" s="336">
        <f t="shared" si="7"/>
        <v>14314671.277147753</v>
      </c>
      <c r="K63" s="336">
        <f t="shared" si="4"/>
        <v>131845.65650004518</v>
      </c>
      <c r="L63" s="336">
        <f t="shared" si="1"/>
        <v>-4219061.0080014393</v>
      </c>
      <c r="M63" s="336">
        <f t="shared" si="16"/>
        <v>-5010134.9470017105</v>
      </c>
      <c r="N63" s="338">
        <f t="shared" si="17"/>
        <v>9304536.3301460426</v>
      </c>
      <c r="O63" s="335">
        <f t="shared" si="5"/>
        <v>7835399.0148598198</v>
      </c>
    </row>
    <row r="64" spans="1:15" hidden="1" outlineLevel="1">
      <c r="A64" s="408"/>
      <c r="B64" s="337">
        <v>42825</v>
      </c>
      <c r="C64" s="337"/>
      <c r="D64" s="336"/>
      <c r="E64" s="336">
        <f t="shared" si="3"/>
        <v>26705589.030355275</v>
      </c>
      <c r="F64" s="336">
        <f t="shared" si="18"/>
        <v>26705589.030355275</v>
      </c>
      <c r="G64" s="336">
        <f t="shared" si="13"/>
        <v>376701.87571441481</v>
      </c>
      <c r="H64" s="336">
        <f t="shared" si="6"/>
        <v>-15027830.883208431</v>
      </c>
      <c r="I64" s="336">
        <f t="shared" si="19"/>
        <v>-12767619.628921935</v>
      </c>
      <c r="J64" s="336">
        <f t="shared" si="7"/>
        <v>13937969.401433339</v>
      </c>
      <c r="K64" s="336">
        <f t="shared" si="4"/>
        <v>131845.65650004518</v>
      </c>
      <c r="L64" s="336">
        <f t="shared" si="1"/>
        <v>-4087215.3515013941</v>
      </c>
      <c r="M64" s="336">
        <f t="shared" si="16"/>
        <v>-4878289.2905016653</v>
      </c>
      <c r="N64" s="338">
        <f t="shared" si="17"/>
        <v>9059680.110931674</v>
      </c>
      <c r="O64" s="335">
        <f t="shared" si="5"/>
        <v>7590542.7956454493</v>
      </c>
    </row>
    <row r="65" spans="1:17" hidden="1" outlineLevel="1">
      <c r="A65" s="408"/>
      <c r="B65" s="337">
        <v>42855</v>
      </c>
      <c r="C65" s="337"/>
      <c r="D65" s="336"/>
      <c r="E65" s="336">
        <f t="shared" si="3"/>
        <v>26705589.030355275</v>
      </c>
      <c r="F65" s="336">
        <f t="shared" si="18"/>
        <v>26705589.030355275</v>
      </c>
      <c r="G65" s="336">
        <f t="shared" si="13"/>
        <v>376701.87571441481</v>
      </c>
      <c r="H65" s="336">
        <f t="shared" si="6"/>
        <v>-15404532.758922847</v>
      </c>
      <c r="I65" s="336">
        <f t="shared" si="19"/>
        <v>-13144321.504636353</v>
      </c>
      <c r="J65" s="336">
        <f t="shared" si="7"/>
        <v>13561267.525718922</v>
      </c>
      <c r="K65" s="336">
        <f t="shared" si="4"/>
        <v>131845.65650004518</v>
      </c>
      <c r="L65" s="336">
        <f t="shared" si="1"/>
        <v>-3955369.6950013489</v>
      </c>
      <c r="M65" s="336">
        <f t="shared" si="16"/>
        <v>-4746443.634001621</v>
      </c>
      <c r="N65" s="338">
        <f t="shared" si="17"/>
        <v>8814823.8917172998</v>
      </c>
      <c r="O65" s="335">
        <f t="shared" si="5"/>
        <v>7345686.5764310788</v>
      </c>
    </row>
    <row r="66" spans="1:17" hidden="1" outlineLevel="1">
      <c r="A66" s="408"/>
      <c r="B66" s="337">
        <v>42886</v>
      </c>
      <c r="C66" s="337"/>
      <c r="D66" s="336"/>
      <c r="E66" s="336">
        <f t="shared" si="3"/>
        <v>26705589.030355275</v>
      </c>
      <c r="F66" s="336">
        <f t="shared" si="18"/>
        <v>26705589.030355275</v>
      </c>
      <c r="G66" s="336">
        <f t="shared" si="13"/>
        <v>376701.87571441481</v>
      </c>
      <c r="H66" s="336">
        <f t="shared" si="6"/>
        <v>-15781234.634637263</v>
      </c>
      <c r="I66" s="336">
        <f t="shared" si="19"/>
        <v>-13521023.380350769</v>
      </c>
      <c r="J66" s="336">
        <f t="shared" si="7"/>
        <v>13184565.650004506</v>
      </c>
      <c r="K66" s="336">
        <f t="shared" si="4"/>
        <v>131845.65650004518</v>
      </c>
      <c r="L66" s="336">
        <f t="shared" si="1"/>
        <v>-3823524.0385013036</v>
      </c>
      <c r="M66" s="336">
        <f t="shared" si="16"/>
        <v>-4614597.9775015749</v>
      </c>
      <c r="N66" s="338">
        <f t="shared" si="17"/>
        <v>8569967.6725029312</v>
      </c>
      <c r="O66" s="335">
        <f t="shared" si="5"/>
        <v>7100830.3572167084</v>
      </c>
    </row>
    <row r="67" spans="1:17" hidden="1" outlineLevel="1">
      <c r="A67" s="408"/>
      <c r="B67" s="337">
        <v>42916</v>
      </c>
      <c r="C67" s="337"/>
      <c r="D67" s="316"/>
      <c r="E67" s="316">
        <f t="shared" si="3"/>
        <v>26705589.030355275</v>
      </c>
      <c r="F67" s="336">
        <f t="shared" si="18"/>
        <v>26705589.030355275</v>
      </c>
      <c r="G67" s="336">
        <f t="shared" si="13"/>
        <v>376701.87571441481</v>
      </c>
      <c r="H67" s="336">
        <f t="shared" si="6"/>
        <v>-16157936.510351678</v>
      </c>
      <c r="I67" s="336">
        <f t="shared" si="19"/>
        <v>-13897725.256065184</v>
      </c>
      <c r="J67" s="336">
        <f t="shared" si="7"/>
        <v>12807863.77429009</v>
      </c>
      <c r="K67" s="336">
        <f t="shared" si="4"/>
        <v>131845.65650004518</v>
      </c>
      <c r="L67" s="336">
        <f t="shared" si="1"/>
        <v>-3691678.3820012584</v>
      </c>
      <c r="M67" s="336">
        <f t="shared" si="16"/>
        <v>-4482752.3210015297</v>
      </c>
      <c r="N67" s="338">
        <f t="shared" si="17"/>
        <v>8325111.4532885607</v>
      </c>
      <c r="O67" s="335">
        <f t="shared" si="5"/>
        <v>6855974.1380023379</v>
      </c>
    </row>
    <row r="68" spans="1:17" hidden="1" outlineLevel="1">
      <c r="A68" s="408"/>
      <c r="B68" s="337">
        <v>42947</v>
      </c>
      <c r="C68" s="337"/>
      <c r="D68" s="316"/>
      <c r="E68" s="316">
        <f t="shared" si="3"/>
        <v>26705589.030355275</v>
      </c>
      <c r="F68" s="336">
        <f t="shared" si="18"/>
        <v>26705589.030355275</v>
      </c>
      <c r="G68" s="336">
        <f t="shared" si="13"/>
        <v>376701.87571441481</v>
      </c>
      <c r="H68" s="336">
        <f t="shared" si="6"/>
        <v>-16534638.386066094</v>
      </c>
      <c r="I68" s="336">
        <f t="shared" si="19"/>
        <v>-14274427.131779602</v>
      </c>
      <c r="J68" s="336">
        <f t="shared" si="7"/>
        <v>12431161.898575673</v>
      </c>
      <c r="K68" s="336">
        <f t="shared" si="4"/>
        <v>131845.65650004518</v>
      </c>
      <c r="L68" s="336">
        <f t="shared" si="1"/>
        <v>-3559832.7255012132</v>
      </c>
      <c r="M68" s="336">
        <f t="shared" si="16"/>
        <v>-4350906.6645014845</v>
      </c>
      <c r="N68" s="338">
        <f t="shared" si="17"/>
        <v>8080255.2340741884</v>
      </c>
      <c r="O68" s="335">
        <f t="shared" si="5"/>
        <v>6611117.9187879674</v>
      </c>
    </row>
    <row r="69" spans="1:17" hidden="1" outlineLevel="1">
      <c r="A69" s="408"/>
      <c r="B69" s="337">
        <v>42978</v>
      </c>
      <c r="C69" s="337"/>
      <c r="D69" s="316"/>
      <c r="E69" s="316">
        <f t="shared" si="3"/>
        <v>26705589.030355275</v>
      </c>
      <c r="F69" s="336">
        <f t="shared" si="18"/>
        <v>26705589.030355275</v>
      </c>
      <c r="G69" s="336">
        <f t="shared" si="13"/>
        <v>376701.87571441481</v>
      </c>
      <c r="H69" s="336">
        <f t="shared" si="6"/>
        <v>-16911340.261780508</v>
      </c>
      <c r="I69" s="336">
        <f t="shared" si="19"/>
        <v>-14651129.007494016</v>
      </c>
      <c r="J69" s="336">
        <f t="shared" si="7"/>
        <v>12054460.022861259</v>
      </c>
      <c r="K69" s="336">
        <f t="shared" si="4"/>
        <v>131845.65650004518</v>
      </c>
      <c r="L69" s="336">
        <f t="shared" si="1"/>
        <v>-3427987.069001168</v>
      </c>
      <c r="M69" s="336">
        <f t="shared" si="16"/>
        <v>-4219061.0080014402</v>
      </c>
      <c r="N69" s="338">
        <f t="shared" si="17"/>
        <v>7835399.0148598189</v>
      </c>
      <c r="O69" s="335">
        <f t="shared" si="5"/>
        <v>6366261.6995735988</v>
      </c>
    </row>
    <row r="70" spans="1:17" hidden="1" outlineLevel="1">
      <c r="A70" s="408"/>
      <c r="B70" s="337">
        <v>43008</v>
      </c>
      <c r="C70" s="337"/>
      <c r="D70" s="316"/>
      <c r="E70" s="316">
        <f t="shared" si="3"/>
        <v>26705589.030355275</v>
      </c>
      <c r="F70" s="336">
        <f t="shared" si="18"/>
        <v>26705589.030355275</v>
      </c>
      <c r="G70" s="336">
        <f t="shared" si="13"/>
        <v>376701.87571441481</v>
      </c>
      <c r="H70" s="336">
        <f t="shared" si="6"/>
        <v>-17288042.137494922</v>
      </c>
      <c r="I70" s="336">
        <f t="shared" si="19"/>
        <v>-15027830.883208429</v>
      </c>
      <c r="J70" s="336">
        <f t="shared" si="7"/>
        <v>11677758.147146845</v>
      </c>
      <c r="K70" s="336">
        <f t="shared" si="4"/>
        <v>131845.65650004518</v>
      </c>
      <c r="L70" s="336">
        <f t="shared" si="1"/>
        <v>-3296141.4125011228</v>
      </c>
      <c r="M70" s="336">
        <f t="shared" si="16"/>
        <v>-4087215.3515013941</v>
      </c>
      <c r="N70" s="338">
        <f t="shared" si="17"/>
        <v>7590542.7956454512</v>
      </c>
      <c r="O70" s="335">
        <f t="shared" si="5"/>
        <v>6121405.4803592302</v>
      </c>
    </row>
    <row r="71" spans="1:17" hidden="1" outlineLevel="1">
      <c r="A71" s="408"/>
      <c r="B71" s="337">
        <v>43039</v>
      </c>
      <c r="C71" s="337"/>
      <c r="D71" s="316"/>
      <c r="E71" s="316">
        <f t="shared" si="3"/>
        <v>26705589.030355275</v>
      </c>
      <c r="F71" s="336">
        <f t="shared" si="18"/>
        <v>26705589.030355275</v>
      </c>
      <c r="G71" s="336">
        <f t="shared" si="13"/>
        <v>376701.87571441481</v>
      </c>
      <c r="H71" s="336">
        <f t="shared" si="6"/>
        <v>-17664744.013209336</v>
      </c>
      <c r="I71" s="336">
        <f t="shared" si="19"/>
        <v>-15404532.758922845</v>
      </c>
      <c r="J71" s="336">
        <f t="shared" si="7"/>
        <v>11301056.27143243</v>
      </c>
      <c r="K71" s="336">
        <f t="shared" si="4"/>
        <v>131845.65650004518</v>
      </c>
      <c r="L71" s="336">
        <f t="shared" si="1"/>
        <v>-3164295.7560010776</v>
      </c>
      <c r="M71" s="336">
        <f t="shared" si="16"/>
        <v>-3955369.6950013489</v>
      </c>
      <c r="N71" s="338">
        <f t="shared" si="17"/>
        <v>7345686.5764310807</v>
      </c>
      <c r="O71" s="335">
        <f t="shared" si="5"/>
        <v>5876549.2611448616</v>
      </c>
    </row>
    <row r="72" spans="1:17" hidden="1" outlineLevel="1">
      <c r="A72" s="408"/>
      <c r="B72" s="337">
        <v>43069</v>
      </c>
      <c r="C72" s="337"/>
      <c r="D72" s="316"/>
      <c r="E72" s="316">
        <f t="shared" si="3"/>
        <v>26705589.030355275</v>
      </c>
      <c r="F72" s="336">
        <f t="shared" si="18"/>
        <v>26705589.030355275</v>
      </c>
      <c r="G72" s="336">
        <f t="shared" si="13"/>
        <v>376701.87571441481</v>
      </c>
      <c r="H72" s="336">
        <f t="shared" si="6"/>
        <v>-18041445.888923749</v>
      </c>
      <c r="I72" s="336">
        <f t="shared" si="19"/>
        <v>-15781234.634637265</v>
      </c>
      <c r="J72" s="336">
        <f t="shared" si="7"/>
        <v>10924354.39571801</v>
      </c>
      <c r="K72" s="336">
        <f t="shared" si="4"/>
        <v>131845.65650004518</v>
      </c>
      <c r="L72" s="336">
        <f t="shared" si="1"/>
        <v>-3032450.0995010324</v>
      </c>
      <c r="M72" s="336">
        <f t="shared" si="16"/>
        <v>-3823524.0385013036</v>
      </c>
      <c r="N72" s="338">
        <f t="shared" si="17"/>
        <v>7100830.3572167065</v>
      </c>
      <c r="O72" s="335">
        <f t="shared" si="5"/>
        <v>5631693.041930493</v>
      </c>
    </row>
    <row r="73" spans="1:17" hidden="1" outlineLevel="1">
      <c r="A73" s="911"/>
      <c r="B73" s="337">
        <v>43100</v>
      </c>
      <c r="C73" s="337"/>
      <c r="D73" s="316"/>
      <c r="E73" s="316">
        <f t="shared" si="3"/>
        <v>26705589.030355275</v>
      </c>
      <c r="F73" s="336">
        <f t="shared" ref="F73:F95" si="20">(E61+E73+SUM(E62:E72)*2)/24</f>
        <v>26705589.030355275</v>
      </c>
      <c r="G73" s="336">
        <f t="shared" si="13"/>
        <v>376701.87571441481</v>
      </c>
      <c r="H73" s="336">
        <f t="shared" si="6"/>
        <v>-18418147.764638163</v>
      </c>
      <c r="I73" s="336">
        <f t="shared" si="19"/>
        <v>-16157936.510351673</v>
      </c>
      <c r="J73" s="336">
        <f t="shared" si="7"/>
        <v>10547652.520003602</v>
      </c>
      <c r="K73" s="732">
        <f>(-D73*0.35)+(G73*0.35)+1.22</f>
        <v>131846.87650004518</v>
      </c>
      <c r="L73" s="336">
        <f t="shared" si="1"/>
        <v>-2900603.2230009874</v>
      </c>
      <c r="M73" s="336">
        <f t="shared" ref="M73:M95" si="21">(L61+L73+SUM(L62:L72)*2)/24</f>
        <v>-3691678.3311679256</v>
      </c>
      <c r="N73" s="338">
        <f t="shared" si="17"/>
        <v>6855974.1888356768</v>
      </c>
      <c r="O73" s="335">
        <f t="shared" si="5"/>
        <v>5386838.0427161241</v>
      </c>
    </row>
    <row r="74" spans="1:17" collapsed="1">
      <c r="A74" s="911"/>
      <c r="B74" s="337">
        <v>43131</v>
      </c>
      <c r="C74" s="337"/>
      <c r="D74" s="316"/>
      <c r="E74" s="316">
        <f t="shared" si="3"/>
        <v>26705589.030355275</v>
      </c>
      <c r="F74" s="338">
        <f t="shared" si="20"/>
        <v>26705589.030355275</v>
      </c>
      <c r="G74" s="338">
        <f t="shared" si="13"/>
        <v>376701.87571441481</v>
      </c>
      <c r="H74" s="338">
        <f t="shared" si="6"/>
        <v>-18794849.640352577</v>
      </c>
      <c r="I74" s="338">
        <f t="shared" si="19"/>
        <v>-16534638.386066092</v>
      </c>
      <c r="J74" s="338">
        <f t="shared" si="7"/>
        <v>10170950.644289182</v>
      </c>
      <c r="K74" s="338">
        <f t="shared" ref="K74:K95" si="22">(-D74*0.21)+(G74*0.21)</f>
        <v>79107.393900027106</v>
      </c>
      <c r="L74" s="338">
        <f t="shared" si="1"/>
        <v>-2821495.8291009604</v>
      </c>
      <c r="M74" s="338">
        <f t="shared" si="21"/>
        <v>-3562030.0006095474</v>
      </c>
      <c r="N74" s="338">
        <f t="shared" si="17"/>
        <v>6608920.6436796356</v>
      </c>
      <c r="O74" s="335">
        <f t="shared" si="5"/>
        <v>5089243.5609017368</v>
      </c>
      <c r="P74" s="81"/>
      <c r="Q74" s="910"/>
    </row>
    <row r="75" spans="1:17">
      <c r="A75" s="911"/>
      <c r="B75" s="337">
        <v>43159</v>
      </c>
      <c r="C75" s="337"/>
      <c r="D75" s="316"/>
      <c r="E75" s="316">
        <f t="shared" si="3"/>
        <v>26705589.030355275</v>
      </c>
      <c r="F75" s="338">
        <f t="shared" si="20"/>
        <v>26705589.030355275</v>
      </c>
      <c r="G75" s="338">
        <f t="shared" si="13"/>
        <v>376701.87571441481</v>
      </c>
      <c r="H75" s="338">
        <f t="shared" si="6"/>
        <v>-19171551.516066991</v>
      </c>
      <c r="I75" s="338">
        <f t="shared" si="19"/>
        <v>-16911340.261780504</v>
      </c>
      <c r="J75" s="338">
        <f t="shared" si="7"/>
        <v>9794248.7685747705</v>
      </c>
      <c r="K75" s="338">
        <f t="shared" si="22"/>
        <v>79107.393900027106</v>
      </c>
      <c r="L75" s="338">
        <f t="shared" si="1"/>
        <v>-2742388.4352009334</v>
      </c>
      <c r="M75" s="338">
        <f t="shared" si="21"/>
        <v>-3436776.5252678376</v>
      </c>
      <c r="N75" s="338">
        <f t="shared" si="17"/>
        <v>6357472.243306933</v>
      </c>
      <c r="O75" s="335">
        <f t="shared" si="5"/>
        <v>4791649.0790873505</v>
      </c>
      <c r="P75" s="81"/>
      <c r="Q75" s="910"/>
    </row>
    <row r="76" spans="1:17">
      <c r="A76" s="911"/>
      <c r="B76" s="337">
        <v>43190</v>
      </c>
      <c r="C76" s="337"/>
      <c r="D76" s="316"/>
      <c r="E76" s="316">
        <f t="shared" si="3"/>
        <v>26705589.030355275</v>
      </c>
      <c r="F76" s="338">
        <f t="shared" si="20"/>
        <v>26705589.030355275</v>
      </c>
      <c r="G76" s="338">
        <f t="shared" si="13"/>
        <v>376701.87571441481</v>
      </c>
      <c r="H76" s="338">
        <f t="shared" si="6"/>
        <v>-19548253.391781405</v>
      </c>
      <c r="I76" s="338">
        <f t="shared" si="19"/>
        <v>-17288042.137494922</v>
      </c>
      <c r="J76" s="338">
        <f t="shared" si="7"/>
        <v>9417546.892860353</v>
      </c>
      <c r="K76" s="338">
        <f t="shared" si="22"/>
        <v>79107.393900027106</v>
      </c>
      <c r="L76" s="338">
        <f t="shared" si="1"/>
        <v>-2663281.0413009063</v>
      </c>
      <c r="M76" s="338">
        <f t="shared" si="21"/>
        <v>-3315917.9051427967</v>
      </c>
      <c r="N76" s="338">
        <f t="shared" si="17"/>
        <v>6101628.9877175558</v>
      </c>
      <c r="O76" s="335">
        <f t="shared" si="5"/>
        <v>4494054.5972729642</v>
      </c>
      <c r="P76" s="81"/>
      <c r="Q76" s="910"/>
    </row>
    <row r="77" spans="1:17">
      <c r="A77" s="911"/>
      <c r="B77" s="337">
        <v>43220</v>
      </c>
      <c r="C77" s="337"/>
      <c r="D77" s="316"/>
      <c r="E77" s="316">
        <f t="shared" ref="E77:E95" si="23">E76+D77</f>
        <v>26705589.030355275</v>
      </c>
      <c r="F77" s="338">
        <f t="shared" si="20"/>
        <v>26705589.030355275</v>
      </c>
      <c r="G77" s="338">
        <f t="shared" si="13"/>
        <v>376701.87571441481</v>
      </c>
      <c r="H77" s="338">
        <f t="shared" si="6"/>
        <v>-19924955.267495818</v>
      </c>
      <c r="I77" s="338">
        <f t="shared" si="19"/>
        <v>-17664744.013209339</v>
      </c>
      <c r="J77" s="338">
        <f t="shared" si="7"/>
        <v>9040845.0171459354</v>
      </c>
      <c r="K77" s="338">
        <f t="shared" si="22"/>
        <v>79107.393900027106</v>
      </c>
      <c r="L77" s="338">
        <f t="shared" si="1"/>
        <v>-2584173.6474008793</v>
      </c>
      <c r="M77" s="338">
        <f t="shared" si="21"/>
        <v>-3199454.1402344233</v>
      </c>
      <c r="N77" s="338">
        <f t="shared" si="17"/>
        <v>5841390.8769115116</v>
      </c>
      <c r="O77" s="335">
        <f t="shared" si="5"/>
        <v>4196460.1154585769</v>
      </c>
      <c r="P77" s="81"/>
      <c r="Q77" s="910"/>
    </row>
    <row r="78" spans="1:17">
      <c r="A78" s="911"/>
      <c r="B78" s="337">
        <v>43251</v>
      </c>
      <c r="C78" s="337"/>
      <c r="D78" s="316"/>
      <c r="E78" s="316">
        <f t="shared" si="23"/>
        <v>26705589.030355275</v>
      </c>
      <c r="F78" s="338">
        <f t="shared" si="20"/>
        <v>26705589.030355275</v>
      </c>
      <c r="G78" s="338">
        <f t="shared" si="13"/>
        <v>376701.87571441481</v>
      </c>
      <c r="H78" s="338">
        <f t="shared" si="6"/>
        <v>-20301657.143210232</v>
      </c>
      <c r="I78" s="338">
        <f t="shared" si="19"/>
        <v>-18041445.888923749</v>
      </c>
      <c r="J78" s="338">
        <f t="shared" si="7"/>
        <v>8664143.1414315253</v>
      </c>
      <c r="K78" s="338">
        <f t="shared" si="22"/>
        <v>79107.393900027106</v>
      </c>
      <c r="L78" s="338">
        <f t="shared" ref="L78:L95" si="24">L77+K78</f>
        <v>-2505066.2535008523</v>
      </c>
      <c r="M78" s="338">
        <f t="shared" si="21"/>
        <v>-3087385.230542718</v>
      </c>
      <c r="N78" s="338">
        <f t="shared" si="17"/>
        <v>5576757.9108888078</v>
      </c>
      <c r="O78" s="335">
        <f t="shared" ref="O78:O94" si="25">+E78+H78+L78</f>
        <v>3898865.6336441902</v>
      </c>
      <c r="P78" s="81"/>
      <c r="Q78" s="910"/>
    </row>
    <row r="79" spans="1:17">
      <c r="A79" s="911"/>
      <c r="B79" s="337">
        <v>43281</v>
      </c>
      <c r="C79" s="337"/>
      <c r="D79" s="316"/>
      <c r="E79" s="316">
        <f t="shared" si="23"/>
        <v>26705589.030355275</v>
      </c>
      <c r="F79" s="338">
        <f t="shared" si="20"/>
        <v>26705589.030355275</v>
      </c>
      <c r="G79" s="338">
        <f t="shared" si="13"/>
        <v>376701.87571441481</v>
      </c>
      <c r="H79" s="338">
        <f t="shared" si="6"/>
        <v>-20678359.018924646</v>
      </c>
      <c r="I79" s="338">
        <f t="shared" si="19"/>
        <v>-18418147.764638163</v>
      </c>
      <c r="J79" s="338">
        <f t="shared" si="7"/>
        <v>8287441.2657171115</v>
      </c>
      <c r="K79" s="338">
        <f t="shared" si="22"/>
        <v>79107.393900027106</v>
      </c>
      <c r="L79" s="338">
        <f t="shared" si="24"/>
        <v>-2425958.8596008252</v>
      </c>
      <c r="M79" s="338">
        <f t="shared" si="21"/>
        <v>-2979711.1760676815</v>
      </c>
      <c r="N79" s="338">
        <f t="shared" si="17"/>
        <v>5307730.0896494295</v>
      </c>
      <c r="O79" s="335">
        <f t="shared" si="25"/>
        <v>3601271.1518298034</v>
      </c>
      <c r="P79" s="81"/>
      <c r="Q79" s="910"/>
    </row>
    <row r="80" spans="1:17">
      <c r="A80" s="911"/>
      <c r="B80" s="337">
        <v>43312</v>
      </c>
      <c r="C80" s="337"/>
      <c r="D80" s="316"/>
      <c r="E80" s="316">
        <f t="shared" si="23"/>
        <v>26705589.030355275</v>
      </c>
      <c r="F80" s="338">
        <f t="shared" si="20"/>
        <v>26705589.030355275</v>
      </c>
      <c r="G80" s="338">
        <f t="shared" si="13"/>
        <v>376701.87571441481</v>
      </c>
      <c r="H80" s="338">
        <f t="shared" ref="H80:H94" si="26">H79-G80</f>
        <v>-21055060.89463906</v>
      </c>
      <c r="I80" s="338">
        <f t="shared" si="19"/>
        <v>-18794849.640352581</v>
      </c>
      <c r="J80" s="338">
        <f t="shared" si="7"/>
        <v>7910739.390002694</v>
      </c>
      <c r="K80" s="338">
        <f t="shared" si="22"/>
        <v>79107.393900027106</v>
      </c>
      <c r="L80" s="338">
        <f t="shared" si="24"/>
        <v>-2346851.4657007982</v>
      </c>
      <c r="M80" s="338">
        <f t="shared" si="21"/>
        <v>-2876431.9768093131</v>
      </c>
      <c r="N80" s="338">
        <f t="shared" si="17"/>
        <v>5034307.4131933805</v>
      </c>
      <c r="O80" s="335">
        <f t="shared" si="25"/>
        <v>3303676.6700154166</v>
      </c>
      <c r="P80" s="81"/>
      <c r="Q80" s="910"/>
    </row>
    <row r="81" spans="1:17">
      <c r="A81" s="911"/>
      <c r="B81" s="337">
        <v>43343</v>
      </c>
      <c r="C81" s="337"/>
      <c r="D81" s="316"/>
      <c r="E81" s="316">
        <f t="shared" si="23"/>
        <v>26705589.030355275</v>
      </c>
      <c r="F81" s="338">
        <f t="shared" si="20"/>
        <v>26705589.030355275</v>
      </c>
      <c r="G81" s="338">
        <f t="shared" si="13"/>
        <v>376701.87571441481</v>
      </c>
      <c r="H81" s="338">
        <f t="shared" si="26"/>
        <v>-21431762.770353474</v>
      </c>
      <c r="I81" s="338">
        <f t="shared" si="19"/>
        <v>-19171551.516066991</v>
      </c>
      <c r="J81" s="338">
        <f t="shared" si="7"/>
        <v>7534037.5142882839</v>
      </c>
      <c r="K81" s="338">
        <f t="shared" si="22"/>
        <v>79107.393900027106</v>
      </c>
      <c r="L81" s="338">
        <f t="shared" si="24"/>
        <v>-2267744.0718007712</v>
      </c>
      <c r="M81" s="338">
        <f t="shared" si="21"/>
        <v>-2777547.6327676121</v>
      </c>
      <c r="N81" s="338">
        <f t="shared" si="17"/>
        <v>4756489.8815206718</v>
      </c>
      <c r="O81" s="335">
        <f t="shared" si="25"/>
        <v>3006082.1882010298</v>
      </c>
      <c r="P81" s="81"/>
      <c r="Q81" s="910"/>
    </row>
    <row r="82" spans="1:17">
      <c r="A82" s="911"/>
      <c r="B82" s="337">
        <v>43373</v>
      </c>
      <c r="C82" s="337"/>
      <c r="D82" s="316"/>
      <c r="E82" s="316">
        <f t="shared" si="23"/>
        <v>26705589.030355275</v>
      </c>
      <c r="F82" s="338">
        <f t="shared" si="20"/>
        <v>26705589.030355275</v>
      </c>
      <c r="G82" s="338">
        <f t="shared" si="13"/>
        <v>376701.87571441481</v>
      </c>
      <c r="H82" s="338">
        <f t="shared" si="26"/>
        <v>-21808464.646067888</v>
      </c>
      <c r="I82" s="338">
        <f t="shared" si="19"/>
        <v>-19548253.391781405</v>
      </c>
      <c r="J82" s="338">
        <f t="shared" si="7"/>
        <v>7157335.6385738701</v>
      </c>
      <c r="K82" s="338">
        <f t="shared" si="22"/>
        <v>79107.393900027106</v>
      </c>
      <c r="L82" s="338">
        <f t="shared" si="24"/>
        <v>-2188636.6779007441</v>
      </c>
      <c r="M82" s="338">
        <f t="shared" si="21"/>
        <v>-2683058.1439425796</v>
      </c>
      <c r="N82" s="338">
        <f t="shared" si="17"/>
        <v>4474277.4946312904</v>
      </c>
      <c r="O82" s="335">
        <f t="shared" si="25"/>
        <v>2708487.706386643</v>
      </c>
      <c r="P82" s="81"/>
      <c r="Q82" s="910"/>
    </row>
    <row r="83" spans="1:17">
      <c r="A83" s="911"/>
      <c r="B83" s="337">
        <v>43404</v>
      </c>
      <c r="C83" s="337"/>
      <c r="D83" s="316"/>
      <c r="E83" s="316">
        <f t="shared" si="23"/>
        <v>26705589.030355275</v>
      </c>
      <c r="F83" s="338">
        <f t="shared" si="20"/>
        <v>26705589.030355275</v>
      </c>
      <c r="G83" s="338">
        <f t="shared" si="13"/>
        <v>376701.87571441481</v>
      </c>
      <c r="H83" s="338">
        <f t="shared" si="26"/>
        <v>-22185166.521782301</v>
      </c>
      <c r="I83" s="338">
        <f t="shared" si="19"/>
        <v>-19924955.267495815</v>
      </c>
      <c r="J83" s="338">
        <f t="shared" si="7"/>
        <v>6780633.76285946</v>
      </c>
      <c r="K83" s="338">
        <f t="shared" si="22"/>
        <v>79107.393900027106</v>
      </c>
      <c r="L83" s="338">
        <f t="shared" si="24"/>
        <v>-2109529.2840007171</v>
      </c>
      <c r="M83" s="338">
        <f t="shared" si="21"/>
        <v>-2592963.5103342156</v>
      </c>
      <c r="N83" s="338">
        <f t="shared" si="17"/>
        <v>4187670.2525252444</v>
      </c>
      <c r="O83" s="335">
        <f t="shared" si="25"/>
        <v>2410893.2245722562</v>
      </c>
      <c r="P83" s="81"/>
      <c r="Q83" s="910"/>
    </row>
    <row r="84" spans="1:17">
      <c r="A84" s="911"/>
      <c r="B84" s="337">
        <v>43434</v>
      </c>
      <c r="C84" s="337"/>
      <c r="D84" s="316"/>
      <c r="E84" s="316">
        <f t="shared" si="23"/>
        <v>26705589.030355275</v>
      </c>
      <c r="F84" s="338">
        <f t="shared" si="20"/>
        <v>26705589.030355275</v>
      </c>
      <c r="G84" s="338">
        <f t="shared" si="13"/>
        <v>376701.87571441481</v>
      </c>
      <c r="H84" s="338">
        <f t="shared" si="26"/>
        <v>-22561868.397496715</v>
      </c>
      <c r="I84" s="338">
        <f t="shared" si="19"/>
        <v>-20301657.143210236</v>
      </c>
      <c r="J84" s="338">
        <f t="shared" ref="J84:J95" si="27">F84+I84</f>
        <v>6403931.8871450387</v>
      </c>
      <c r="K84" s="338">
        <f t="shared" si="22"/>
        <v>79107.393900027106</v>
      </c>
      <c r="L84" s="338">
        <f t="shared" si="24"/>
        <v>-2030421.8901006901</v>
      </c>
      <c r="M84" s="338">
        <f t="shared" si="21"/>
        <v>-2507263.73194252</v>
      </c>
      <c r="N84" s="338">
        <f t="shared" si="17"/>
        <v>3896668.1552025187</v>
      </c>
      <c r="O84" s="335">
        <f t="shared" si="25"/>
        <v>2113298.7427578694</v>
      </c>
      <c r="P84" s="81"/>
      <c r="Q84" s="81"/>
    </row>
    <row r="85" spans="1:17">
      <c r="A85" s="911"/>
      <c r="B85" s="337">
        <v>43465</v>
      </c>
      <c r="C85" s="337"/>
      <c r="D85" s="316"/>
      <c r="E85" s="316">
        <f t="shared" si="23"/>
        <v>26705589.030355275</v>
      </c>
      <c r="F85" s="338">
        <f t="shared" si="20"/>
        <v>26705589.030355275</v>
      </c>
      <c r="G85" s="338">
        <f t="shared" si="13"/>
        <v>376701.87571441481</v>
      </c>
      <c r="H85" s="338">
        <f t="shared" si="26"/>
        <v>-22938570.273211129</v>
      </c>
      <c r="I85" s="338">
        <f t="shared" si="19"/>
        <v>-20678359.01892465</v>
      </c>
      <c r="J85" s="338">
        <f t="shared" si="27"/>
        <v>6027230.0114306249</v>
      </c>
      <c r="K85" s="338">
        <f t="shared" si="22"/>
        <v>79107.393900027106</v>
      </c>
      <c r="L85" s="338">
        <f t="shared" si="24"/>
        <v>-1951314.496200663</v>
      </c>
      <c r="M85" s="338">
        <f t="shared" si="21"/>
        <v>-2425958.8596008252</v>
      </c>
      <c r="N85" s="338">
        <f t="shared" si="17"/>
        <v>3601271.1518297996</v>
      </c>
      <c r="O85" s="335">
        <f t="shared" si="25"/>
        <v>1815704.2609434826</v>
      </c>
      <c r="P85" s="81"/>
      <c r="Q85" s="910"/>
    </row>
    <row r="86" spans="1:17">
      <c r="A86" s="911"/>
      <c r="B86" s="337">
        <v>43496</v>
      </c>
      <c r="C86" s="337"/>
      <c r="D86" s="316"/>
      <c r="E86" s="316">
        <f t="shared" si="23"/>
        <v>26705589.030355275</v>
      </c>
      <c r="F86" s="338">
        <f t="shared" si="20"/>
        <v>26705589.030355275</v>
      </c>
      <c r="G86" s="338">
        <f t="shared" si="13"/>
        <v>376701.87571441481</v>
      </c>
      <c r="H86" s="338">
        <f t="shared" si="26"/>
        <v>-23315272.148925543</v>
      </c>
      <c r="I86" s="338">
        <f t="shared" si="19"/>
        <v>-21055060.89463906</v>
      </c>
      <c r="J86" s="338">
        <f t="shared" si="27"/>
        <v>5650528.1357162148</v>
      </c>
      <c r="K86" s="338">
        <f t="shared" si="22"/>
        <v>79107.393900027106</v>
      </c>
      <c r="L86" s="338">
        <f t="shared" si="24"/>
        <v>-1872207.102300636</v>
      </c>
      <c r="M86" s="338">
        <f t="shared" si="21"/>
        <v>-2346851.4657007982</v>
      </c>
      <c r="N86" s="338">
        <f t="shared" si="17"/>
        <v>3303676.6700154166</v>
      </c>
      <c r="O86" s="335">
        <f t="shared" si="25"/>
        <v>1518109.7791290958</v>
      </c>
      <c r="P86" s="81"/>
      <c r="Q86" s="910"/>
    </row>
    <row r="87" spans="1:17">
      <c r="A87" s="911"/>
      <c r="B87" s="337">
        <v>43524</v>
      </c>
      <c r="C87" s="337"/>
      <c r="D87" s="316"/>
      <c r="E87" s="316">
        <f t="shared" si="23"/>
        <v>26705589.030355275</v>
      </c>
      <c r="F87" s="338">
        <f t="shared" si="20"/>
        <v>26705589.030355275</v>
      </c>
      <c r="G87" s="338">
        <f t="shared" si="13"/>
        <v>376701.87571441481</v>
      </c>
      <c r="H87" s="338">
        <f t="shared" si="26"/>
        <v>-23691974.024639957</v>
      </c>
      <c r="I87" s="338">
        <f t="shared" si="19"/>
        <v>-21431762.770353474</v>
      </c>
      <c r="J87" s="338">
        <f t="shared" si="27"/>
        <v>5273826.260001801</v>
      </c>
      <c r="K87" s="338">
        <f t="shared" si="22"/>
        <v>79107.393900027106</v>
      </c>
      <c r="L87" s="338">
        <f t="shared" si="24"/>
        <v>-1793099.708400609</v>
      </c>
      <c r="M87" s="338">
        <f t="shared" si="21"/>
        <v>-2267744.0718007712</v>
      </c>
      <c r="N87" s="338">
        <f t="shared" si="17"/>
        <v>3006082.1882010298</v>
      </c>
      <c r="O87" s="335">
        <f t="shared" si="25"/>
        <v>1220515.2973147091</v>
      </c>
      <c r="P87" s="81"/>
      <c r="Q87" s="910"/>
    </row>
    <row r="88" spans="1:17">
      <c r="A88" s="911"/>
      <c r="B88" s="337">
        <v>43555</v>
      </c>
      <c r="C88" s="337"/>
      <c r="D88" s="316"/>
      <c r="E88" s="316">
        <f t="shared" si="23"/>
        <v>26705589.030355275</v>
      </c>
      <c r="F88" s="336">
        <f t="shared" si="20"/>
        <v>26705589.030355275</v>
      </c>
      <c r="G88" s="336">
        <f t="shared" si="13"/>
        <v>376701.87571441481</v>
      </c>
      <c r="H88" s="336">
        <f t="shared" si="26"/>
        <v>-24068675.90035437</v>
      </c>
      <c r="I88" s="336">
        <f t="shared" si="19"/>
        <v>-21808464.646067891</v>
      </c>
      <c r="J88" s="336">
        <f t="shared" si="27"/>
        <v>4897124.3842873834</v>
      </c>
      <c r="K88" s="336">
        <f t="shared" si="22"/>
        <v>79107.393900027106</v>
      </c>
      <c r="L88" s="336">
        <f t="shared" si="24"/>
        <v>-1713992.3145005819</v>
      </c>
      <c r="M88" s="336">
        <f t="shared" si="21"/>
        <v>-2188636.6779007437</v>
      </c>
      <c r="N88" s="338">
        <f t="shared" si="17"/>
        <v>2708487.7063866397</v>
      </c>
      <c r="O88" s="335">
        <f t="shared" si="25"/>
        <v>922920.81550032226</v>
      </c>
    </row>
    <row r="89" spans="1:17">
      <c r="A89" s="408"/>
      <c r="B89" s="337">
        <v>43585</v>
      </c>
      <c r="C89" s="337"/>
      <c r="D89" s="316"/>
      <c r="E89" s="316">
        <f t="shared" si="23"/>
        <v>26705589.030355275</v>
      </c>
      <c r="F89" s="336">
        <f t="shared" si="20"/>
        <v>26705589.030355275</v>
      </c>
      <c r="G89" s="336">
        <f t="shared" si="13"/>
        <v>376701.87571441481</v>
      </c>
      <c r="H89" s="336">
        <f t="shared" si="26"/>
        <v>-24445377.776068784</v>
      </c>
      <c r="I89" s="336">
        <f t="shared" si="19"/>
        <v>-22185166.521782301</v>
      </c>
      <c r="J89" s="336">
        <f t="shared" si="27"/>
        <v>4520422.5085729733</v>
      </c>
      <c r="K89" s="336">
        <f t="shared" si="22"/>
        <v>79107.393900027106</v>
      </c>
      <c r="L89" s="336">
        <f t="shared" si="24"/>
        <v>-1634884.9206005549</v>
      </c>
      <c r="M89" s="336">
        <f t="shared" si="21"/>
        <v>-2109529.2840007166</v>
      </c>
      <c r="N89" s="338">
        <f t="shared" si="17"/>
        <v>2410893.2245722567</v>
      </c>
      <c r="O89" s="335">
        <f t="shared" si="25"/>
        <v>625326.33368593547</v>
      </c>
    </row>
    <row r="90" spans="1:17">
      <c r="A90" s="408"/>
      <c r="B90" s="337">
        <v>43616</v>
      </c>
      <c r="C90" s="337"/>
      <c r="D90" s="316"/>
      <c r="E90" s="316">
        <f t="shared" si="23"/>
        <v>26705589.030355275</v>
      </c>
      <c r="F90" s="336">
        <f t="shared" si="20"/>
        <v>26705589.030355275</v>
      </c>
      <c r="G90" s="336">
        <f t="shared" si="13"/>
        <v>376701.87571441481</v>
      </c>
      <c r="H90" s="336">
        <f t="shared" si="26"/>
        <v>-24822079.651783198</v>
      </c>
      <c r="I90" s="336">
        <f t="shared" si="19"/>
        <v>-22561868.397496715</v>
      </c>
      <c r="J90" s="336">
        <f t="shared" si="27"/>
        <v>4143720.6328585595</v>
      </c>
      <c r="K90" s="336">
        <f t="shared" si="22"/>
        <v>79107.393900027106</v>
      </c>
      <c r="L90" s="336">
        <f t="shared" si="24"/>
        <v>-1555777.5267005279</v>
      </c>
      <c r="M90" s="336">
        <f t="shared" si="21"/>
        <v>-2030421.8901006903</v>
      </c>
      <c r="N90" s="338">
        <f t="shared" si="17"/>
        <v>2113298.742757869</v>
      </c>
      <c r="O90" s="335">
        <f t="shared" si="25"/>
        <v>327731.85187154869</v>
      </c>
    </row>
    <row r="91" spans="1:17">
      <c r="A91" s="408"/>
      <c r="B91" s="337">
        <v>43646</v>
      </c>
      <c r="C91" s="337"/>
      <c r="D91" s="316"/>
      <c r="E91" s="316">
        <f t="shared" si="23"/>
        <v>26705589.030355275</v>
      </c>
      <c r="F91" s="336">
        <f t="shared" si="20"/>
        <v>26705589.030355275</v>
      </c>
      <c r="G91" s="336">
        <f t="shared" si="13"/>
        <v>376701.87571441481</v>
      </c>
      <c r="H91" s="336">
        <f t="shared" si="26"/>
        <v>-25198781.527497612</v>
      </c>
      <c r="I91" s="336">
        <f t="shared" si="19"/>
        <v>-22938570.273211125</v>
      </c>
      <c r="J91" s="336">
        <f t="shared" si="27"/>
        <v>3767018.7571441494</v>
      </c>
      <c r="K91" s="336">
        <f t="shared" si="22"/>
        <v>79107.393900027106</v>
      </c>
      <c r="L91" s="336">
        <f t="shared" si="24"/>
        <v>-1476670.1328005008</v>
      </c>
      <c r="M91" s="336">
        <f t="shared" si="21"/>
        <v>-1951314.496200663</v>
      </c>
      <c r="N91" s="338">
        <f t="shared" si="17"/>
        <v>1815704.2609434864</v>
      </c>
      <c r="O91" s="335">
        <f t="shared" si="25"/>
        <v>30137.370057161897</v>
      </c>
    </row>
    <row r="92" spans="1:17">
      <c r="A92" s="408"/>
      <c r="B92" s="337">
        <v>43677</v>
      </c>
      <c r="C92" s="337"/>
      <c r="D92" s="316"/>
      <c r="E92" s="316">
        <f t="shared" si="23"/>
        <v>26705589.030355275</v>
      </c>
      <c r="F92" s="336">
        <f t="shared" si="20"/>
        <v>26705589.030355275</v>
      </c>
      <c r="G92" s="336">
        <f t="shared" si="13"/>
        <v>376701.87571441481</v>
      </c>
      <c r="H92" s="336">
        <f t="shared" si="26"/>
        <v>-25575483.403212026</v>
      </c>
      <c r="I92" s="336">
        <f t="shared" si="19"/>
        <v>-23315272.148925543</v>
      </c>
      <c r="J92" s="336">
        <f t="shared" si="27"/>
        <v>3390316.8814297318</v>
      </c>
      <c r="K92" s="336">
        <f t="shared" si="22"/>
        <v>79107.393900027106</v>
      </c>
      <c r="L92" s="336">
        <f t="shared" si="24"/>
        <v>-1397562.7389004738</v>
      </c>
      <c r="M92" s="336">
        <f t="shared" si="21"/>
        <v>-1872207.1023006358</v>
      </c>
      <c r="N92" s="338">
        <f t="shared" si="17"/>
        <v>1518109.7791290961</v>
      </c>
      <c r="O92" s="335">
        <f t="shared" si="25"/>
        <v>-267457.11175722489</v>
      </c>
    </row>
    <row r="93" spans="1:17">
      <c r="A93" s="408"/>
      <c r="B93" s="337">
        <v>43708</v>
      </c>
      <c r="C93" s="337"/>
      <c r="D93" s="316"/>
      <c r="E93" s="316">
        <f t="shared" si="23"/>
        <v>26705589.030355275</v>
      </c>
      <c r="F93" s="336">
        <f t="shared" si="20"/>
        <v>26705589.030355275</v>
      </c>
      <c r="G93" s="336">
        <f t="shared" si="13"/>
        <v>376701.87571441481</v>
      </c>
      <c r="H93" s="336">
        <f t="shared" si="26"/>
        <v>-25952185.27892644</v>
      </c>
      <c r="I93" s="336">
        <f t="shared" si="19"/>
        <v>-23691974.02463996</v>
      </c>
      <c r="J93" s="336">
        <f t="shared" si="27"/>
        <v>3013615.0057153143</v>
      </c>
      <c r="K93" s="336">
        <f t="shared" si="22"/>
        <v>79107.393900027106</v>
      </c>
      <c r="L93" s="336">
        <f t="shared" si="24"/>
        <v>-1318455.3450004468</v>
      </c>
      <c r="M93" s="336">
        <f t="shared" si="21"/>
        <v>-1793099.708400609</v>
      </c>
      <c r="N93" s="338">
        <f t="shared" si="17"/>
        <v>1220515.2973147053</v>
      </c>
      <c r="O93" s="335">
        <f t="shared" si="25"/>
        <v>-565051.59357161168</v>
      </c>
    </row>
    <row r="94" spans="1:17">
      <c r="A94" s="408"/>
      <c r="B94" s="337">
        <v>43738</v>
      </c>
      <c r="C94" s="337"/>
      <c r="D94" s="316"/>
      <c r="E94" s="316">
        <f t="shared" si="23"/>
        <v>26705589.030355275</v>
      </c>
      <c r="F94" s="336">
        <f t="shared" si="20"/>
        <v>26705589.030355275</v>
      </c>
      <c r="G94" s="336">
        <f t="shared" si="13"/>
        <v>376701.87571441481</v>
      </c>
      <c r="H94" s="336">
        <f t="shared" si="26"/>
        <v>-26328887.154640853</v>
      </c>
      <c r="I94" s="336">
        <f t="shared" si="19"/>
        <v>-24068675.90035437</v>
      </c>
      <c r="J94" s="336">
        <f t="shared" si="27"/>
        <v>2636913.1300009042</v>
      </c>
      <c r="K94" s="336">
        <f t="shared" si="22"/>
        <v>79107.393900027106</v>
      </c>
      <c r="L94" s="336">
        <f t="shared" si="24"/>
        <v>-1239347.9511004197</v>
      </c>
      <c r="M94" s="336">
        <f t="shared" si="21"/>
        <v>-1713992.3145005817</v>
      </c>
      <c r="N94" s="338">
        <f t="shared" si="17"/>
        <v>922920.8155003225</v>
      </c>
      <c r="O94" s="335">
        <f t="shared" si="25"/>
        <v>-862646.07538599847</v>
      </c>
    </row>
    <row r="95" spans="1:17">
      <c r="A95" s="408"/>
      <c r="B95" s="337">
        <v>43769</v>
      </c>
      <c r="C95" s="337"/>
      <c r="D95" s="316"/>
      <c r="E95" s="316">
        <f t="shared" si="23"/>
        <v>26705589.030355275</v>
      </c>
      <c r="F95" s="336">
        <f t="shared" si="20"/>
        <v>26705589.030355275</v>
      </c>
      <c r="G95" s="336">
        <f t="shared" si="13"/>
        <v>376701.87571441481</v>
      </c>
      <c r="H95" s="336">
        <f>H94-G95</f>
        <v>-26705589.030355267</v>
      </c>
      <c r="I95" s="336">
        <f>(H83+H95+SUM(H84:H94)*2)/24</f>
        <v>-24445377.776068788</v>
      </c>
      <c r="J95" s="336">
        <f t="shared" si="27"/>
        <v>2260211.2542864867</v>
      </c>
      <c r="K95" s="336">
        <f t="shared" si="22"/>
        <v>79107.393900027106</v>
      </c>
      <c r="L95" s="336">
        <f t="shared" si="24"/>
        <v>-1160240.5572003927</v>
      </c>
      <c r="M95" s="336">
        <f t="shared" si="21"/>
        <v>-1634884.9206005549</v>
      </c>
      <c r="N95" s="338">
        <f t="shared" si="17"/>
        <v>625326.33368593175</v>
      </c>
      <c r="O95" s="335">
        <f>+E95+H95+L95</f>
        <v>-1160240.5572003853</v>
      </c>
    </row>
    <row r="96" spans="1:17">
      <c r="A96" s="408"/>
      <c r="B96" s="337">
        <v>43799</v>
      </c>
      <c r="C96" s="337"/>
      <c r="D96" s="316"/>
      <c r="E96" s="316">
        <f t="shared" ref="E96" si="28">E95+D96</f>
        <v>26705589.030355275</v>
      </c>
      <c r="F96" s="336">
        <f t="shared" ref="F96" si="29">(E84+E96+SUM(E85:E95)*2)/24</f>
        <v>26705589.030355275</v>
      </c>
      <c r="G96" s="336"/>
      <c r="H96" s="336">
        <f t="shared" ref="H96" si="30">H95-G96</f>
        <v>-26705589.030355267</v>
      </c>
      <c r="I96" s="336">
        <f>(H84+H96+SUM(H85:H95)*2)/24</f>
        <v>-24806383.740295101</v>
      </c>
      <c r="J96" s="336">
        <f t="shared" ref="J96" si="31">F96+I96</f>
        <v>1899205.2900601737</v>
      </c>
      <c r="K96" s="336">
        <f t="shared" ref="K96" si="32">(-D96*0.35)+(G96*0.35)</f>
        <v>0</v>
      </c>
      <c r="L96" s="336">
        <f t="shared" ref="L96" si="33">L95+K96</f>
        <v>-1160240.5572003927</v>
      </c>
      <c r="M96" s="336">
        <f t="shared" ref="M96" si="34">(L84+L96+SUM(L85:L95)*2)/24</f>
        <v>-1559073.6681130289</v>
      </c>
      <c r="N96" s="338">
        <f t="shared" ref="N96" si="35">M96+J96</f>
        <v>340131.62194714486</v>
      </c>
      <c r="O96" s="335">
        <f>+E96+H96+L96</f>
        <v>-1160240.5572003853</v>
      </c>
    </row>
    <row r="97" spans="1:15">
      <c r="A97" s="408"/>
      <c r="B97" s="337">
        <v>43830</v>
      </c>
      <c r="C97" s="337"/>
      <c r="D97" s="316"/>
      <c r="E97" s="316">
        <f t="shared" ref="E97:E107" si="36">E96+D97</f>
        <v>26705589.030355275</v>
      </c>
      <c r="F97" s="336">
        <f t="shared" ref="F97:F107" si="37">(E85+E97+SUM(E86:E96)*2)/24</f>
        <v>26705589.030355275</v>
      </c>
      <c r="G97" s="336"/>
      <c r="H97" s="336">
        <f t="shared" ref="H97:H107" si="38">H96-G97</f>
        <v>-26705589.030355267</v>
      </c>
      <c r="I97" s="336">
        <f t="shared" ref="I97:I104" si="39">(H85+H97+SUM(H86:H96)*2)/24</f>
        <v>-25135997.881545205</v>
      </c>
      <c r="J97" s="336">
        <f t="shared" ref="J97:J107" si="40">F97+I97</f>
        <v>1569591.14881007</v>
      </c>
      <c r="K97" s="336">
        <f t="shared" ref="K97:K107" si="41">(-D97*0.35)+(G97*0.35)</f>
        <v>0</v>
      </c>
      <c r="L97" s="336">
        <f t="shared" ref="L97:L107" si="42">L96+K97</f>
        <v>-1160240.5572003927</v>
      </c>
      <c r="M97" s="336">
        <f t="shared" ref="M97:M107" si="43">(L85+L97+SUM(L86:L96)*2)/24</f>
        <v>-1489854.698450505</v>
      </c>
      <c r="N97" s="338">
        <f t="shared" ref="N97:N107" si="44">M97+J97</f>
        <v>79736.450359564973</v>
      </c>
      <c r="O97" s="335">
        <f t="shared" ref="O97:O104" si="45">+E97+H97+L97</f>
        <v>-1160240.5572003853</v>
      </c>
    </row>
    <row r="98" spans="1:15">
      <c r="A98" s="408"/>
      <c r="B98" s="337">
        <v>43861</v>
      </c>
      <c r="C98" s="337"/>
      <c r="D98" s="316"/>
      <c r="E98" s="316">
        <f t="shared" si="36"/>
        <v>26705589.030355275</v>
      </c>
      <c r="F98" s="336">
        <f t="shared" si="37"/>
        <v>26705589.030355275</v>
      </c>
      <c r="G98" s="336"/>
      <c r="H98" s="336">
        <f t="shared" si="38"/>
        <v>-26705589.030355267</v>
      </c>
      <c r="I98" s="336">
        <f t="shared" si="39"/>
        <v>-25434220.199819118</v>
      </c>
      <c r="J98" s="336">
        <f t="shared" si="40"/>
        <v>1271368.8305361569</v>
      </c>
      <c r="K98" s="336">
        <f t="shared" si="41"/>
        <v>0</v>
      </c>
      <c r="L98" s="336">
        <f t="shared" si="42"/>
        <v>-1160240.5572003927</v>
      </c>
      <c r="M98" s="336">
        <f t="shared" si="43"/>
        <v>-1427228.0116129841</v>
      </c>
      <c r="N98" s="338">
        <f t="shared" si="44"/>
        <v>-155859.18107682723</v>
      </c>
      <c r="O98" s="335">
        <f t="shared" si="45"/>
        <v>-1160240.5572003853</v>
      </c>
    </row>
    <row r="99" spans="1:15">
      <c r="A99" s="408"/>
      <c r="B99" s="337">
        <v>43890</v>
      </c>
      <c r="C99" s="337"/>
      <c r="D99" s="316"/>
      <c r="E99" s="316">
        <f t="shared" si="36"/>
        <v>26705589.030355275</v>
      </c>
      <c r="F99" s="336">
        <f t="shared" si="37"/>
        <v>26705589.030355275</v>
      </c>
      <c r="G99" s="336"/>
      <c r="H99" s="336">
        <f t="shared" si="38"/>
        <v>-26705589.030355267</v>
      </c>
      <c r="I99" s="336">
        <f t="shared" si="39"/>
        <v>-25701050.695116833</v>
      </c>
      <c r="J99" s="336">
        <f t="shared" si="40"/>
        <v>1004538.3352384418</v>
      </c>
      <c r="K99" s="336">
        <f t="shared" si="41"/>
        <v>0</v>
      </c>
      <c r="L99" s="336">
        <f t="shared" si="42"/>
        <v>-1160240.5572003927</v>
      </c>
      <c r="M99" s="336">
        <f t="shared" si="43"/>
        <v>-1371193.6076004647</v>
      </c>
      <c r="N99" s="338">
        <f t="shared" si="44"/>
        <v>-366655.27236202289</v>
      </c>
      <c r="O99" s="335">
        <f t="shared" si="45"/>
        <v>-1160240.5572003853</v>
      </c>
    </row>
    <row r="100" spans="1:15">
      <c r="A100" s="408"/>
      <c r="B100" s="337">
        <v>43921</v>
      </c>
      <c r="C100" s="337"/>
      <c r="D100" s="316"/>
      <c r="E100" s="316">
        <f t="shared" si="36"/>
        <v>26705589.030355275</v>
      </c>
      <c r="F100" s="336">
        <f t="shared" si="37"/>
        <v>26705589.030355275</v>
      </c>
      <c r="G100" s="336"/>
      <c r="H100" s="336">
        <f t="shared" si="38"/>
        <v>-26705589.030355267</v>
      </c>
      <c r="I100" s="336">
        <f t="shared" si="39"/>
        <v>-25936489.367438342</v>
      </c>
      <c r="J100" s="336">
        <f t="shared" si="40"/>
        <v>769099.66291693226</v>
      </c>
      <c r="K100" s="336">
        <f t="shared" si="41"/>
        <v>0</v>
      </c>
      <c r="L100" s="336">
        <f t="shared" si="42"/>
        <v>-1160240.5572003927</v>
      </c>
      <c r="M100" s="336">
        <f t="shared" si="43"/>
        <v>-1321751.4864129478</v>
      </c>
      <c r="N100" s="338">
        <f t="shared" si="44"/>
        <v>-552651.82349601551</v>
      </c>
      <c r="O100" s="335">
        <f t="shared" si="45"/>
        <v>-1160240.5572003853</v>
      </c>
    </row>
    <row r="101" spans="1:15">
      <c r="A101" s="408"/>
      <c r="B101" s="337">
        <v>43951</v>
      </c>
      <c r="C101" s="337"/>
      <c r="D101" s="316"/>
      <c r="E101" s="316">
        <f t="shared" si="36"/>
        <v>26705589.030355275</v>
      </c>
      <c r="F101" s="336">
        <f t="shared" si="37"/>
        <v>26705589.030355275</v>
      </c>
      <c r="G101" s="336"/>
      <c r="H101" s="336">
        <f t="shared" si="38"/>
        <v>-26705589.030355267</v>
      </c>
      <c r="I101" s="336">
        <f t="shared" si="39"/>
        <v>-26140536.216783646</v>
      </c>
      <c r="J101" s="336">
        <f t="shared" si="40"/>
        <v>565052.81357162818</v>
      </c>
      <c r="K101" s="336">
        <f t="shared" si="41"/>
        <v>0</v>
      </c>
      <c r="L101" s="336">
        <f t="shared" si="42"/>
        <v>-1160240.5572003927</v>
      </c>
      <c r="M101" s="336">
        <f t="shared" si="43"/>
        <v>-1278901.6480504333</v>
      </c>
      <c r="N101" s="338">
        <f t="shared" si="44"/>
        <v>-713848.83447880507</v>
      </c>
      <c r="O101" s="335">
        <f t="shared" si="45"/>
        <v>-1160240.5572003853</v>
      </c>
    </row>
    <row r="102" spans="1:15">
      <c r="A102" s="408"/>
      <c r="B102" s="337">
        <v>43982</v>
      </c>
      <c r="C102" s="337"/>
      <c r="D102" s="316"/>
      <c r="E102" s="316">
        <f t="shared" si="36"/>
        <v>26705589.030355275</v>
      </c>
      <c r="F102" s="336">
        <f t="shared" si="37"/>
        <v>26705589.030355275</v>
      </c>
      <c r="G102" s="336"/>
      <c r="H102" s="336">
        <f t="shared" si="38"/>
        <v>-26705589.030355267</v>
      </c>
      <c r="I102" s="336">
        <f t="shared" si="39"/>
        <v>-26313191.243152753</v>
      </c>
      <c r="J102" s="336">
        <f t="shared" si="40"/>
        <v>392397.78720252216</v>
      </c>
      <c r="K102" s="336">
        <f t="shared" si="41"/>
        <v>0</v>
      </c>
      <c r="L102" s="336">
        <f t="shared" si="42"/>
        <v>-1160240.5572003927</v>
      </c>
      <c r="M102" s="336">
        <f t="shared" si="43"/>
        <v>-1242644.0925129207</v>
      </c>
      <c r="N102" s="338">
        <f t="shared" si="44"/>
        <v>-850246.30531039857</v>
      </c>
      <c r="O102" s="335">
        <f t="shared" si="45"/>
        <v>-1160240.5572003853</v>
      </c>
    </row>
    <row r="103" spans="1:15">
      <c r="A103" s="408"/>
      <c r="B103" s="337">
        <v>44012</v>
      </c>
      <c r="C103" s="337"/>
      <c r="D103" s="316"/>
      <c r="E103" s="316">
        <f t="shared" si="36"/>
        <v>26705589.030355275</v>
      </c>
      <c r="F103" s="336">
        <f t="shared" si="37"/>
        <v>26705589.030355275</v>
      </c>
      <c r="G103" s="336"/>
      <c r="H103" s="336">
        <f t="shared" si="38"/>
        <v>-26705589.030355267</v>
      </c>
      <c r="I103" s="336">
        <f t="shared" si="39"/>
        <v>-26454454.44654566</v>
      </c>
      <c r="J103" s="336">
        <f t="shared" si="40"/>
        <v>251134.58380961418</v>
      </c>
      <c r="K103" s="336">
        <f t="shared" si="41"/>
        <v>0</v>
      </c>
      <c r="L103" s="336">
        <f t="shared" si="42"/>
        <v>-1160240.5572003927</v>
      </c>
      <c r="M103" s="336">
        <f t="shared" si="43"/>
        <v>-1212978.8198004107</v>
      </c>
      <c r="N103" s="338">
        <f t="shared" si="44"/>
        <v>-961844.23599079647</v>
      </c>
      <c r="O103" s="335">
        <f t="shared" si="45"/>
        <v>-1160240.5572003853</v>
      </c>
    </row>
    <row r="104" spans="1:15">
      <c r="A104" s="408"/>
      <c r="B104" s="337">
        <v>44043</v>
      </c>
      <c r="C104" s="337"/>
      <c r="D104" s="316"/>
      <c r="E104" s="316">
        <f t="shared" si="36"/>
        <v>26705589.030355275</v>
      </c>
      <c r="F104" s="336">
        <f t="shared" si="37"/>
        <v>26705589.030355275</v>
      </c>
      <c r="G104" s="336"/>
      <c r="H104" s="336">
        <f t="shared" si="38"/>
        <v>-26705589.030355267</v>
      </c>
      <c r="I104" s="336">
        <f t="shared" si="39"/>
        <v>-26564325.826962367</v>
      </c>
      <c r="J104" s="336">
        <f t="shared" si="40"/>
        <v>141263.20339290798</v>
      </c>
      <c r="K104" s="336">
        <f t="shared" si="41"/>
        <v>0</v>
      </c>
      <c r="L104" s="336">
        <f t="shared" si="42"/>
        <v>-1160240.5572003927</v>
      </c>
      <c r="M104" s="336">
        <f t="shared" si="43"/>
        <v>-1189905.8299129028</v>
      </c>
      <c r="N104" s="338">
        <f t="shared" si="44"/>
        <v>-1048642.6265199948</v>
      </c>
      <c r="O104" s="335">
        <f t="shared" si="45"/>
        <v>-1160240.5572003853</v>
      </c>
    </row>
    <row r="105" spans="1:15">
      <c r="A105" s="408"/>
      <c r="B105" s="337">
        <v>44074</v>
      </c>
      <c r="C105" s="337"/>
      <c r="D105" s="316"/>
      <c r="E105" s="316">
        <f t="shared" si="36"/>
        <v>26705589.030355275</v>
      </c>
      <c r="F105" s="336">
        <f t="shared" si="37"/>
        <v>26705589.030355275</v>
      </c>
      <c r="G105" s="336"/>
      <c r="H105" s="336">
        <f t="shared" si="38"/>
        <v>-26705589.030355267</v>
      </c>
      <c r="I105" s="336">
        <f>(H93+H105+SUM(H94:H104)*2)/24</f>
        <v>-26642805.384402867</v>
      </c>
      <c r="J105" s="336">
        <f t="shared" si="40"/>
        <v>62783.645952407271</v>
      </c>
      <c r="K105" s="336">
        <f t="shared" si="41"/>
        <v>0</v>
      </c>
      <c r="L105" s="336">
        <f t="shared" si="42"/>
        <v>-1160240.5572003927</v>
      </c>
      <c r="M105" s="336">
        <f t="shared" si="43"/>
        <v>-1173425.1228503974</v>
      </c>
      <c r="N105" s="338">
        <f t="shared" si="44"/>
        <v>-1110641.4768979901</v>
      </c>
      <c r="O105" s="335">
        <f>+E105+H105+L105</f>
        <v>-1160240.5572003853</v>
      </c>
    </row>
    <row r="106" spans="1:15">
      <c r="A106" s="408"/>
      <c r="B106" s="337">
        <v>44104</v>
      </c>
      <c r="C106" s="337"/>
      <c r="D106" s="316"/>
      <c r="E106" s="316">
        <f t="shared" si="36"/>
        <v>26705589.030355275</v>
      </c>
      <c r="F106" s="336">
        <f t="shared" si="37"/>
        <v>26705589.030355275</v>
      </c>
      <c r="G106" s="336"/>
      <c r="H106" s="336">
        <f t="shared" si="38"/>
        <v>-26705589.030355267</v>
      </c>
      <c r="I106" s="336">
        <f>(H94+H106+SUM(H95:H105)*2)/24</f>
        <v>-26689893.11886717</v>
      </c>
      <c r="J106" s="336">
        <f t="shared" si="40"/>
        <v>15695.911488104612</v>
      </c>
      <c r="K106" s="336">
        <f t="shared" si="41"/>
        <v>0</v>
      </c>
      <c r="L106" s="336">
        <f t="shared" si="42"/>
        <v>-1160240.5572003927</v>
      </c>
      <c r="M106" s="336">
        <f t="shared" si="43"/>
        <v>-1163536.6986128937</v>
      </c>
      <c r="N106" s="338">
        <f t="shared" si="44"/>
        <v>-1147840.7871247891</v>
      </c>
      <c r="O106" s="335">
        <f>+E106+H106+L106</f>
        <v>-1160240.5572003853</v>
      </c>
    </row>
    <row r="107" spans="1:15">
      <c r="A107" s="408"/>
      <c r="B107" s="337">
        <v>44135</v>
      </c>
      <c r="C107" s="337"/>
      <c r="D107" s="316"/>
      <c r="E107" s="316">
        <f t="shared" si="36"/>
        <v>26705589.030355275</v>
      </c>
      <c r="F107" s="336">
        <f t="shared" si="37"/>
        <v>26705589.030355275</v>
      </c>
      <c r="G107" s="336"/>
      <c r="H107" s="336">
        <f t="shared" si="38"/>
        <v>-26705589.030355267</v>
      </c>
      <c r="I107" s="336">
        <f>(H95+H107+SUM(H96:H106)*2)/24</f>
        <v>-26705589.030355271</v>
      </c>
      <c r="J107" s="336">
        <f t="shared" si="40"/>
        <v>0</v>
      </c>
      <c r="K107" s="336">
        <f t="shared" si="41"/>
        <v>0</v>
      </c>
      <c r="L107" s="336">
        <f t="shared" si="42"/>
        <v>-1160240.5572003927</v>
      </c>
      <c r="M107" s="336">
        <f t="shared" si="43"/>
        <v>-1160240.5572003927</v>
      </c>
      <c r="N107" s="338">
        <f t="shared" si="44"/>
        <v>-1160240.5572003927</v>
      </c>
      <c r="O107" s="335">
        <f>+E107+H107+L107</f>
        <v>-1160240.5572003853</v>
      </c>
    </row>
    <row r="108" spans="1:15">
      <c r="A108" s="408"/>
      <c r="B108" s="337">
        <v>44165</v>
      </c>
      <c r="C108" s="337"/>
      <c r="D108" s="316"/>
      <c r="E108" s="316">
        <f t="shared" ref="E108:E113" si="46">E107+D108</f>
        <v>26705589.030355275</v>
      </c>
      <c r="F108" s="336">
        <f t="shared" ref="F108:F113" si="47">(E96+E108+SUM(E97:E107)*2)/24</f>
        <v>26705589.030355275</v>
      </c>
      <c r="G108" s="336"/>
      <c r="H108" s="336">
        <f t="shared" ref="H108:H113" si="48">H107-G108</f>
        <v>-26705589.030355267</v>
      </c>
      <c r="I108" s="336">
        <f t="shared" ref="I108:I113" si="49">(H96+H108+SUM(H97:H107)*2)/24</f>
        <v>-26705589.030355271</v>
      </c>
      <c r="J108" s="336">
        <f t="shared" ref="J108:J113" si="50">F108+I108</f>
        <v>0</v>
      </c>
      <c r="K108" s="336">
        <f t="shared" ref="K108:K113" si="51">(-D108*0.35)+(G108*0.35)</f>
        <v>0</v>
      </c>
      <c r="L108" s="336">
        <f t="shared" ref="L108:L113" si="52">L107+K108</f>
        <v>-1160240.5572003927</v>
      </c>
      <c r="M108" s="336">
        <f t="shared" ref="M108:M113" si="53">(L96+L108+SUM(L97:L107)*2)/24</f>
        <v>-1160240.5572003927</v>
      </c>
      <c r="N108" s="338">
        <f t="shared" ref="N108:N113" si="54">M108+J108</f>
        <v>-1160240.5572003927</v>
      </c>
      <c r="O108" s="335">
        <f t="shared" ref="O108:O113" si="55">+E108+H108+L108</f>
        <v>-1160240.5572003853</v>
      </c>
    </row>
    <row r="109" spans="1:15">
      <c r="A109" s="408"/>
      <c r="B109" s="337">
        <v>44196</v>
      </c>
      <c r="C109" s="337"/>
      <c r="D109" s="316"/>
      <c r="E109" s="316">
        <f t="shared" si="46"/>
        <v>26705589.030355275</v>
      </c>
      <c r="F109" s="336">
        <f t="shared" si="47"/>
        <v>26705589.030355275</v>
      </c>
      <c r="G109" s="336"/>
      <c r="H109" s="336">
        <f t="shared" si="48"/>
        <v>-26705589.030355267</v>
      </c>
      <c r="I109" s="336">
        <f t="shared" si="49"/>
        <v>-26705589.030355271</v>
      </c>
      <c r="J109" s="336">
        <f t="shared" si="50"/>
        <v>0</v>
      </c>
      <c r="K109" s="336">
        <f t="shared" si="51"/>
        <v>0</v>
      </c>
      <c r="L109" s="336">
        <f t="shared" si="52"/>
        <v>-1160240.5572003927</v>
      </c>
      <c r="M109" s="336">
        <f t="shared" si="53"/>
        <v>-1160240.5572003927</v>
      </c>
      <c r="N109" s="338">
        <f t="shared" si="54"/>
        <v>-1160240.5572003927</v>
      </c>
      <c r="O109" s="335">
        <f t="shared" si="55"/>
        <v>-1160240.5572003853</v>
      </c>
    </row>
    <row r="110" spans="1:15">
      <c r="A110" s="408"/>
      <c r="B110" s="337">
        <v>44227</v>
      </c>
      <c r="C110" s="337"/>
      <c r="D110" s="316"/>
      <c r="E110" s="316">
        <f t="shared" si="46"/>
        <v>26705589.030355275</v>
      </c>
      <c r="F110" s="336">
        <f t="shared" si="47"/>
        <v>26705589.030355275</v>
      </c>
      <c r="G110" s="336"/>
      <c r="H110" s="336">
        <f t="shared" si="48"/>
        <v>-26705589.030355267</v>
      </c>
      <c r="I110" s="336">
        <f t="shared" si="49"/>
        <v>-26705589.030355271</v>
      </c>
      <c r="J110" s="336">
        <f t="shared" si="50"/>
        <v>0</v>
      </c>
      <c r="K110" s="336">
        <f t="shared" si="51"/>
        <v>0</v>
      </c>
      <c r="L110" s="336">
        <f t="shared" si="52"/>
        <v>-1160240.5572003927</v>
      </c>
      <c r="M110" s="336">
        <f t="shared" si="53"/>
        <v>-1160240.5572003927</v>
      </c>
      <c r="N110" s="338">
        <f t="shared" si="54"/>
        <v>-1160240.5572003927</v>
      </c>
      <c r="O110" s="335">
        <f t="shared" si="55"/>
        <v>-1160240.5572003853</v>
      </c>
    </row>
    <row r="111" spans="1:15">
      <c r="A111" s="408"/>
      <c r="B111" s="337">
        <v>44255</v>
      </c>
      <c r="C111" s="337"/>
      <c r="D111" s="316"/>
      <c r="E111" s="316">
        <f t="shared" si="46"/>
        <v>26705589.030355275</v>
      </c>
      <c r="F111" s="336">
        <f t="shared" si="47"/>
        <v>26705589.030355275</v>
      </c>
      <c r="G111" s="336"/>
      <c r="H111" s="336">
        <f t="shared" si="48"/>
        <v>-26705589.030355267</v>
      </c>
      <c r="I111" s="336">
        <f t="shared" si="49"/>
        <v>-26705589.030355271</v>
      </c>
      <c r="J111" s="336">
        <f t="shared" si="50"/>
        <v>0</v>
      </c>
      <c r="K111" s="336">
        <f t="shared" si="51"/>
        <v>0</v>
      </c>
      <c r="L111" s="336">
        <f t="shared" si="52"/>
        <v>-1160240.5572003927</v>
      </c>
      <c r="M111" s="336">
        <f t="shared" si="53"/>
        <v>-1160240.5572003927</v>
      </c>
      <c r="N111" s="338">
        <f t="shared" si="54"/>
        <v>-1160240.5572003927</v>
      </c>
      <c r="O111" s="335">
        <f t="shared" si="55"/>
        <v>-1160240.5572003853</v>
      </c>
    </row>
    <row r="112" spans="1:15">
      <c r="A112" s="408"/>
      <c r="B112" s="337">
        <v>44286</v>
      </c>
      <c r="C112" s="337"/>
      <c r="D112" s="316"/>
      <c r="E112" s="316">
        <f t="shared" si="46"/>
        <v>26705589.030355275</v>
      </c>
      <c r="F112" s="336">
        <f t="shared" si="47"/>
        <v>26705589.030355275</v>
      </c>
      <c r="G112" s="336"/>
      <c r="H112" s="336">
        <f t="shared" si="48"/>
        <v>-26705589.030355267</v>
      </c>
      <c r="I112" s="336">
        <f t="shared" si="49"/>
        <v>-26705589.030355271</v>
      </c>
      <c r="J112" s="336">
        <f t="shared" si="50"/>
        <v>0</v>
      </c>
      <c r="K112" s="336">
        <f t="shared" si="51"/>
        <v>0</v>
      </c>
      <c r="L112" s="336">
        <f t="shared" si="52"/>
        <v>-1160240.5572003927</v>
      </c>
      <c r="M112" s="336">
        <f t="shared" si="53"/>
        <v>-1160240.5572003927</v>
      </c>
      <c r="N112" s="338">
        <f t="shared" si="54"/>
        <v>-1160240.5572003927</v>
      </c>
      <c r="O112" s="335">
        <f t="shared" si="55"/>
        <v>-1160240.5572003853</v>
      </c>
    </row>
    <row r="113" spans="1:15">
      <c r="A113" s="408"/>
      <c r="B113" s="337">
        <v>44316</v>
      </c>
      <c r="C113" s="337"/>
      <c r="D113" s="316"/>
      <c r="E113" s="316">
        <f t="shared" si="46"/>
        <v>26705589.030355275</v>
      </c>
      <c r="F113" s="336">
        <f t="shared" si="47"/>
        <v>26705589.030355275</v>
      </c>
      <c r="G113" s="336"/>
      <c r="H113" s="336">
        <f t="shared" si="48"/>
        <v>-26705589.030355267</v>
      </c>
      <c r="I113" s="336">
        <f t="shared" si="49"/>
        <v>-26705589.030355271</v>
      </c>
      <c r="J113" s="336">
        <f t="shared" si="50"/>
        <v>0</v>
      </c>
      <c r="K113" s="336">
        <f t="shared" si="51"/>
        <v>0</v>
      </c>
      <c r="L113" s="336">
        <f t="shared" si="52"/>
        <v>-1160240.5572003927</v>
      </c>
      <c r="M113" s="336">
        <f t="shared" si="53"/>
        <v>-1160240.5572003927</v>
      </c>
      <c r="N113" s="338">
        <f t="shared" si="54"/>
        <v>-1160240.5572003927</v>
      </c>
      <c r="O113" s="335">
        <f t="shared" si="55"/>
        <v>-1160240.5572003853</v>
      </c>
    </row>
    <row r="114" spans="1:15">
      <c r="A114" s="408"/>
      <c r="B114" s="337"/>
      <c r="C114" s="337"/>
      <c r="D114" s="316"/>
      <c r="E114" s="316"/>
      <c r="F114" s="336"/>
      <c r="G114" s="336"/>
      <c r="H114" s="336"/>
      <c r="I114" s="336"/>
      <c r="J114" s="336"/>
      <c r="K114" s="336"/>
      <c r="L114" s="336"/>
      <c r="M114" s="336"/>
      <c r="N114" s="338"/>
      <c r="O114" s="335"/>
    </row>
    <row r="115" spans="1:15">
      <c r="A115" s="408"/>
      <c r="B115" s="337"/>
      <c r="C115" s="337"/>
      <c r="D115" s="316"/>
      <c r="E115" s="316"/>
      <c r="F115" s="336"/>
      <c r="G115" s="336"/>
      <c r="H115" s="336"/>
      <c r="I115" s="336"/>
      <c r="J115" s="336"/>
      <c r="K115" s="336"/>
      <c r="L115" s="336"/>
      <c r="M115" s="336"/>
      <c r="N115" s="338"/>
      <c r="O115" s="335"/>
    </row>
    <row r="116" spans="1:15">
      <c r="A116" s="408"/>
      <c r="B116" s="337"/>
      <c r="C116" s="337"/>
      <c r="D116" s="316"/>
      <c r="E116" s="316"/>
      <c r="F116" s="336"/>
      <c r="G116" s="336"/>
      <c r="H116" s="336"/>
      <c r="I116" s="336"/>
      <c r="J116" s="336"/>
      <c r="K116" s="336"/>
      <c r="L116" s="336"/>
      <c r="M116" s="336"/>
      <c r="N116" s="338"/>
      <c r="O116" s="335"/>
    </row>
    <row r="117" spans="1:15">
      <c r="A117" s="408"/>
      <c r="B117" s="337"/>
      <c r="C117" s="337"/>
      <c r="D117" s="316"/>
      <c r="E117" s="316"/>
      <c r="F117" s="336"/>
      <c r="G117" s="336"/>
      <c r="H117" s="336"/>
      <c r="I117" s="336"/>
      <c r="J117" s="336"/>
      <c r="K117" s="336"/>
      <c r="L117" s="336"/>
      <c r="M117" s="336"/>
      <c r="N117" s="338"/>
      <c r="O117" s="335"/>
    </row>
    <row r="118" spans="1:15" ht="13.5" thickBot="1">
      <c r="A118" s="408"/>
      <c r="B118" s="409"/>
      <c r="C118" s="409"/>
      <c r="D118" s="409"/>
      <c r="E118" s="409"/>
      <c r="F118" s="409"/>
      <c r="G118" s="409"/>
      <c r="H118" s="409"/>
      <c r="I118" s="409"/>
      <c r="J118" s="409"/>
      <c r="K118" s="409"/>
      <c r="L118" s="409"/>
      <c r="M118" s="409"/>
      <c r="N118" s="409"/>
      <c r="O118" s="339"/>
    </row>
    <row r="119" spans="1:15" ht="13.5" thickBot="1">
      <c r="A119" s="410"/>
      <c r="B119" s="340" t="s">
        <v>623</v>
      </c>
      <c r="C119" s="341"/>
      <c r="D119" s="317"/>
      <c r="E119" s="317"/>
      <c r="F119" s="342"/>
      <c r="G119" s="342">
        <f>SUM(G24:G35)</f>
        <v>4135549.271095274</v>
      </c>
      <c r="H119" s="342"/>
      <c r="I119" s="342"/>
      <c r="J119" s="342"/>
      <c r="K119" s="342"/>
      <c r="L119" s="342"/>
      <c r="M119" s="342"/>
      <c r="N119" s="343"/>
      <c r="O119" s="411"/>
    </row>
    <row r="121" spans="1:15">
      <c r="B121" s="719" t="s">
        <v>799</v>
      </c>
      <c r="G121" s="720">
        <f>SUM(G74:G85)</f>
        <v>4520422.508572978</v>
      </c>
    </row>
    <row r="122" spans="1:15">
      <c r="B122" s="719" t="s">
        <v>800</v>
      </c>
      <c r="G122" s="720">
        <f>SUM(G102:G113)</f>
        <v>0</v>
      </c>
    </row>
  </sheetData>
  <mergeCells count="1">
    <mergeCell ref="D5:E5"/>
  </mergeCells>
  <printOptions horizontalCentered="1"/>
  <pageMargins left="0" right="0" top="0.75" bottom="0.75" header="0.3" footer="0.3"/>
  <pageSetup scale="6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pageSetUpPr fitToPage="1"/>
  </sheetPr>
  <dimension ref="A1:AC224"/>
  <sheetViews>
    <sheetView zoomScaleNormal="100" workbookViewId="0">
      <pane xSplit="2" ySplit="9" topLeftCell="G212" activePane="bottomRight" state="frozen"/>
      <selection activeCell="E87" sqref="E87:E98"/>
      <selection pane="topRight" activeCell="E87" sqref="E87:E98"/>
      <selection pane="bottomLeft" activeCell="E87" sqref="E87:E98"/>
      <selection pane="bottomRight" activeCell="N136" sqref="N136"/>
    </sheetView>
  </sheetViews>
  <sheetFormatPr defaultColWidth="9.33203125" defaultRowHeight="12.75" outlineLevelRow="1" outlineLevelCol="1"/>
  <cols>
    <col min="1" max="1" width="2.1640625" style="34" customWidth="1"/>
    <col min="2" max="2" width="29.6640625" style="34" customWidth="1"/>
    <col min="3" max="3" width="3.1640625" style="34" customWidth="1"/>
    <col min="4" max="4" width="13.5" style="34" bestFit="1" customWidth="1" outlineLevel="1"/>
    <col min="5" max="6" width="16.1640625" style="34" bestFit="1" customWidth="1"/>
    <col min="7" max="7" width="14" style="34" customWidth="1"/>
    <col min="8" max="8" width="18.5" style="36" bestFit="1" customWidth="1"/>
    <col min="9" max="9" width="16.33203125" style="36" bestFit="1" customWidth="1"/>
    <col min="10" max="10" width="16.1640625" style="36" bestFit="1" customWidth="1"/>
    <col min="11" max="11" width="18.5" style="37" customWidth="1"/>
    <col min="12" max="12" width="15.6640625" style="37" customWidth="1"/>
    <col min="13" max="13" width="16.33203125" style="37" bestFit="1" customWidth="1"/>
    <col min="14" max="14" width="16.1640625" style="37" bestFit="1" customWidth="1"/>
    <col min="15" max="15" width="16.1640625" style="37" bestFit="1" customWidth="1" outlineLevel="1"/>
    <col min="16" max="16" width="17.83203125" style="38" bestFit="1" customWidth="1"/>
    <col min="17" max="17" width="19.6640625" style="37" bestFit="1" customWidth="1"/>
    <col min="18" max="18" width="2" style="37" customWidth="1"/>
    <col min="19" max="19" width="15.33203125" style="37" bestFit="1" customWidth="1"/>
    <col min="20" max="20" width="47.5" style="37" bestFit="1" customWidth="1"/>
    <col min="21" max="21" width="9.33203125" style="37"/>
    <col min="22" max="22" width="15.83203125" style="37" bestFit="1" customWidth="1"/>
    <col min="23" max="29" width="9.33203125" style="37"/>
    <col min="30" max="16384" width="9.33203125" style="34"/>
  </cols>
  <sheetData>
    <row r="1" spans="1:17" ht="14.25" customHeight="1">
      <c r="B1" s="35" t="s">
        <v>8</v>
      </c>
      <c r="Q1" s="39"/>
    </row>
    <row r="2" spans="1:17">
      <c r="B2" s="35" t="s">
        <v>100</v>
      </c>
      <c r="J2" s="712" t="s">
        <v>11</v>
      </c>
      <c r="K2" s="699"/>
    </row>
    <row r="3" spans="1:17" ht="12.75" customHeight="1">
      <c r="B3" s="35" t="s">
        <v>167</v>
      </c>
      <c r="J3" s="712" t="s">
        <v>173</v>
      </c>
      <c r="K3" s="700"/>
    </row>
    <row r="4" spans="1:17" ht="12.75" customHeight="1">
      <c r="B4" s="40" t="s">
        <v>139</v>
      </c>
      <c r="J4" s="712" t="s">
        <v>175</v>
      </c>
      <c r="K4" s="912">
        <v>28300601</v>
      </c>
    </row>
    <row r="5" spans="1:17">
      <c r="B5" s="35"/>
      <c r="C5" s="35"/>
      <c r="H5" s="44" t="s">
        <v>174</v>
      </c>
      <c r="J5" s="712" t="s">
        <v>176</v>
      </c>
      <c r="K5" s="712" t="s">
        <v>700</v>
      </c>
    </row>
    <row r="6" spans="1:17">
      <c r="D6" s="41"/>
      <c r="E6" s="41"/>
      <c r="F6" s="42"/>
      <c r="G6" s="43"/>
      <c r="H6" s="745" t="s">
        <v>173</v>
      </c>
      <c r="I6" s="745"/>
      <c r="J6" s="712" t="s">
        <v>177</v>
      </c>
      <c r="K6" s="712" t="s">
        <v>701</v>
      </c>
      <c r="L6" s="45"/>
      <c r="M6" s="45"/>
      <c r="N6" s="45"/>
      <c r="O6" s="45"/>
      <c r="P6" s="46"/>
    </row>
    <row r="7" spans="1:17">
      <c r="A7" s="47"/>
      <c r="B7" s="47"/>
      <c r="C7" s="47"/>
      <c r="D7" s="48" t="s">
        <v>78</v>
      </c>
      <c r="E7" s="48" t="s">
        <v>78</v>
      </c>
      <c r="F7" s="49"/>
      <c r="G7" s="50"/>
      <c r="H7" s="51"/>
      <c r="I7" s="51"/>
      <c r="J7" s="51"/>
      <c r="K7" s="51"/>
      <c r="L7" s="51"/>
      <c r="M7" s="51"/>
      <c r="N7" s="51"/>
      <c r="O7" s="52"/>
      <c r="P7" s="53"/>
      <c r="Q7" s="54"/>
    </row>
    <row r="8" spans="1:17" ht="16.5" customHeight="1">
      <c r="D8" s="43" t="s">
        <v>79</v>
      </c>
      <c r="E8" s="55" t="s">
        <v>2</v>
      </c>
      <c r="F8" s="56" t="s">
        <v>101</v>
      </c>
      <c r="G8" s="43" t="s">
        <v>12</v>
      </c>
      <c r="H8" s="44" t="s">
        <v>13</v>
      </c>
      <c r="I8" s="44" t="s">
        <v>102</v>
      </c>
      <c r="J8" s="44" t="s">
        <v>11</v>
      </c>
      <c r="K8" s="377" t="s">
        <v>12</v>
      </c>
      <c r="L8" s="377" t="s">
        <v>13</v>
      </c>
      <c r="M8" s="377" t="s">
        <v>103</v>
      </c>
      <c r="N8" s="377" t="s">
        <v>104</v>
      </c>
      <c r="O8" s="377" t="s">
        <v>798</v>
      </c>
      <c r="P8" s="57"/>
      <c r="Q8" s="57"/>
    </row>
    <row r="9" spans="1:17">
      <c r="A9" s="37"/>
      <c r="B9" s="58" t="s">
        <v>10</v>
      </c>
      <c r="C9" s="58"/>
      <c r="D9" s="55" t="s">
        <v>20</v>
      </c>
      <c r="E9" s="55"/>
      <c r="F9" s="57" t="s">
        <v>2</v>
      </c>
      <c r="G9" s="55" t="s">
        <v>3</v>
      </c>
      <c r="H9" s="59" t="s">
        <v>3</v>
      </c>
      <c r="I9" s="59" t="s">
        <v>3</v>
      </c>
      <c r="J9" s="59" t="s">
        <v>9</v>
      </c>
      <c r="K9" s="377" t="s">
        <v>17</v>
      </c>
      <c r="L9" s="377" t="s">
        <v>17</v>
      </c>
      <c r="M9" s="377" t="s">
        <v>11</v>
      </c>
      <c r="N9" s="377" t="s">
        <v>103</v>
      </c>
      <c r="O9" s="377"/>
      <c r="P9" s="57"/>
      <c r="Q9" s="57"/>
    </row>
    <row r="10" spans="1:17" ht="13.5" customHeight="1">
      <c r="A10" s="37"/>
      <c r="B10" s="58"/>
      <c r="C10" s="58"/>
      <c r="D10" s="59" t="s">
        <v>105</v>
      </c>
      <c r="E10" s="59" t="s">
        <v>23</v>
      </c>
      <c r="F10" s="57" t="s">
        <v>24</v>
      </c>
      <c r="G10" s="59" t="s">
        <v>106</v>
      </c>
      <c r="H10" s="57" t="s">
        <v>107</v>
      </c>
      <c r="I10" s="59" t="s">
        <v>25</v>
      </c>
      <c r="J10" s="59" t="s">
        <v>108</v>
      </c>
      <c r="K10" s="377" t="s">
        <v>628</v>
      </c>
      <c r="L10" s="377" t="s">
        <v>110</v>
      </c>
      <c r="M10" s="377" t="s">
        <v>80</v>
      </c>
      <c r="N10" s="377" t="s">
        <v>111</v>
      </c>
      <c r="O10" s="377"/>
      <c r="P10" s="57"/>
      <c r="Q10" s="57"/>
    </row>
    <row r="11" spans="1:17" ht="16.5" customHeight="1">
      <c r="A11" s="47"/>
      <c r="B11" s="60"/>
      <c r="C11" s="60"/>
      <c r="D11" s="51"/>
      <c r="E11" s="51"/>
      <c r="F11" s="61"/>
      <c r="G11" s="51" t="s">
        <v>112</v>
      </c>
      <c r="H11" s="61"/>
      <c r="I11" s="51"/>
      <c r="J11" s="51"/>
      <c r="K11" s="557" t="s">
        <v>715</v>
      </c>
      <c r="L11" s="557"/>
      <c r="M11" s="557"/>
      <c r="N11" s="557"/>
      <c r="O11" s="377"/>
      <c r="P11" s="57"/>
      <c r="Q11" s="57"/>
    </row>
    <row r="12" spans="1:17" ht="14.25" hidden="1" customHeight="1" outlineLevel="1">
      <c r="B12" s="62" t="s">
        <v>5</v>
      </c>
      <c r="D12" s="43"/>
      <c r="E12" s="63">
        <v>0</v>
      </c>
      <c r="F12" s="64"/>
      <c r="G12" s="43"/>
      <c r="H12" s="44"/>
      <c r="I12" s="65"/>
      <c r="J12" s="65"/>
      <c r="K12" s="384"/>
      <c r="L12" s="384"/>
      <c r="M12" s="384"/>
      <c r="N12" s="384"/>
      <c r="O12" s="384"/>
      <c r="P12" s="67"/>
      <c r="Q12" s="68"/>
    </row>
    <row r="13" spans="1:17" hidden="1" outlineLevel="1">
      <c r="B13" s="69">
        <v>39813</v>
      </c>
      <c r="C13" s="69"/>
      <c r="D13" s="295">
        <v>2971023.941612903</v>
      </c>
      <c r="E13" s="296">
        <f>E12+D13</f>
        <v>2971023.941612903</v>
      </c>
      <c r="F13" s="70"/>
      <c r="G13" s="63"/>
      <c r="H13" s="71"/>
      <c r="I13" s="65"/>
      <c r="J13" s="65"/>
      <c r="K13" s="561">
        <f>(-D13*0.35)+(G13*0.35)</f>
        <v>-1039858.379564516</v>
      </c>
      <c r="L13" s="561">
        <f t="shared" ref="L13:L76" si="0">L12+K13</f>
        <v>-1039858.379564516</v>
      </c>
      <c r="M13" s="561"/>
      <c r="N13" s="384"/>
      <c r="O13" s="384"/>
      <c r="P13" s="67"/>
      <c r="Q13" s="73"/>
    </row>
    <row r="14" spans="1:17" hidden="1" outlineLevel="1">
      <c r="B14" s="69">
        <v>39844</v>
      </c>
      <c r="C14" s="69"/>
      <c r="D14" s="74">
        <v>4210615.479230769</v>
      </c>
      <c r="E14" s="74">
        <f>E13+D14</f>
        <v>7181639.420843672</v>
      </c>
      <c r="F14" s="70"/>
      <c r="G14" s="63"/>
      <c r="H14" s="71"/>
      <c r="I14" s="65"/>
      <c r="J14" s="65"/>
      <c r="K14" s="561">
        <f t="shared" ref="K14:K77" si="1">(-D14*0.35)+(G14*0.35)</f>
        <v>-1473715.4177307691</v>
      </c>
      <c r="L14" s="561">
        <f>L13+K14</f>
        <v>-2513573.7972952854</v>
      </c>
      <c r="M14" s="561"/>
      <c r="N14" s="384"/>
      <c r="O14" s="384"/>
      <c r="P14" s="67"/>
      <c r="Q14" s="73"/>
    </row>
    <row r="15" spans="1:17" hidden="1" outlineLevel="1">
      <c r="B15" s="69">
        <v>39872</v>
      </c>
      <c r="C15" s="69"/>
      <c r="D15" s="74">
        <v>1326293.9392307692</v>
      </c>
      <c r="E15" s="74">
        <f>E14+D15</f>
        <v>8507933.3600744419</v>
      </c>
      <c r="F15" s="70"/>
      <c r="G15" s="63"/>
      <c r="H15" s="71"/>
      <c r="I15" s="65"/>
      <c r="J15" s="65"/>
      <c r="K15" s="561">
        <f t="shared" si="1"/>
        <v>-464202.87873076915</v>
      </c>
      <c r="L15" s="561">
        <f>L14+K15</f>
        <v>-2977776.6760260547</v>
      </c>
      <c r="M15" s="561"/>
      <c r="N15" s="384"/>
      <c r="O15" s="384"/>
      <c r="P15" s="67"/>
      <c r="Q15" s="73"/>
    </row>
    <row r="16" spans="1:17" hidden="1" outlineLevel="1">
      <c r="B16" s="69">
        <v>39903</v>
      </c>
      <c r="C16" s="69"/>
      <c r="D16" s="74">
        <v>2212378.979230769</v>
      </c>
      <c r="E16" s="74">
        <f t="shared" ref="E16:E79" si="2">E15+D16</f>
        <v>10720312.339305211</v>
      </c>
      <c r="F16" s="70"/>
      <c r="G16" s="63"/>
      <c r="H16" s="71"/>
      <c r="I16" s="65"/>
      <c r="J16" s="65"/>
      <c r="K16" s="561">
        <f t="shared" si="1"/>
        <v>-774332.64273076912</v>
      </c>
      <c r="L16" s="561">
        <f t="shared" si="0"/>
        <v>-3752109.3187568239</v>
      </c>
      <c r="M16" s="561"/>
      <c r="N16" s="384"/>
      <c r="O16" s="384"/>
      <c r="P16" s="67"/>
      <c r="Q16" s="73"/>
    </row>
    <row r="17" spans="2:20" hidden="1" outlineLevel="1">
      <c r="B17" s="69">
        <v>39933</v>
      </c>
      <c r="C17" s="75"/>
      <c r="D17" s="74">
        <v>3135962.4692307692</v>
      </c>
      <c r="E17" s="74">
        <f t="shared" si="2"/>
        <v>13856274.80853598</v>
      </c>
      <c r="F17" s="70"/>
      <c r="G17" s="63"/>
      <c r="H17" s="71"/>
      <c r="I17" s="65"/>
      <c r="J17" s="65"/>
      <c r="K17" s="561">
        <f t="shared" si="1"/>
        <v>-1097586.8642307692</v>
      </c>
      <c r="L17" s="561">
        <f t="shared" si="0"/>
        <v>-4849696.1829875931</v>
      </c>
      <c r="M17" s="561"/>
      <c r="N17" s="384"/>
      <c r="O17" s="384"/>
      <c r="P17" s="67"/>
      <c r="Q17" s="73"/>
    </row>
    <row r="18" spans="2:20" hidden="1" outlineLevel="1">
      <c r="B18" s="69">
        <v>39964</v>
      </c>
      <c r="C18" s="69"/>
      <c r="D18" s="74">
        <v>3656730.709230769</v>
      </c>
      <c r="E18" s="74">
        <f t="shared" si="2"/>
        <v>17513005.517766748</v>
      </c>
      <c r="F18" s="70"/>
      <c r="G18" s="63"/>
      <c r="H18" s="71"/>
      <c r="I18" s="65"/>
      <c r="J18" s="65"/>
      <c r="K18" s="561">
        <f t="shared" si="1"/>
        <v>-1279855.7482307691</v>
      </c>
      <c r="L18" s="561">
        <f>L17+K18</f>
        <v>-6129551.9312183624</v>
      </c>
      <c r="M18" s="561"/>
      <c r="N18" s="384"/>
      <c r="O18" s="384"/>
      <c r="P18" s="67"/>
      <c r="Q18" s="73"/>
    </row>
    <row r="19" spans="2:20" hidden="1" outlineLevel="1">
      <c r="B19" s="69">
        <v>39994</v>
      </c>
      <c r="C19" s="69"/>
      <c r="D19" s="74">
        <v>3818756.5592307691</v>
      </c>
      <c r="E19" s="74">
        <f t="shared" si="2"/>
        <v>21331762.076997519</v>
      </c>
      <c r="F19" s="70"/>
      <c r="G19" s="63"/>
      <c r="H19" s="71"/>
      <c r="I19" s="65"/>
      <c r="J19" s="65"/>
      <c r="K19" s="561">
        <f>(-D19*0.35)+(G19*0.35)</f>
        <v>-1336564.7957307692</v>
      </c>
      <c r="L19" s="561">
        <f t="shared" si="0"/>
        <v>-7466116.7269491311</v>
      </c>
      <c r="M19" s="561"/>
      <c r="N19" s="384"/>
      <c r="O19" s="384"/>
      <c r="P19" s="67"/>
      <c r="Q19" s="73"/>
    </row>
    <row r="20" spans="2:20" hidden="1" outlineLevel="1">
      <c r="B20" s="69">
        <v>40025</v>
      </c>
      <c r="C20" s="69"/>
      <c r="D20" s="74">
        <v>2489369.3792307694</v>
      </c>
      <c r="E20" s="74">
        <f t="shared" si="2"/>
        <v>23821131.456228286</v>
      </c>
      <c r="F20" s="70"/>
      <c r="G20" s="63"/>
      <c r="H20" s="71"/>
      <c r="I20" s="65"/>
      <c r="J20" s="65"/>
      <c r="K20" s="561">
        <f t="shared" si="1"/>
        <v>-871279.28273076925</v>
      </c>
      <c r="L20" s="561">
        <f t="shared" si="0"/>
        <v>-8337396.0096799005</v>
      </c>
      <c r="M20" s="561"/>
      <c r="N20" s="384"/>
      <c r="O20" s="384"/>
      <c r="P20" s="67"/>
      <c r="Q20" s="73"/>
    </row>
    <row r="21" spans="2:20" hidden="1" outlineLevel="1">
      <c r="B21" s="69">
        <v>40056</v>
      </c>
      <c r="C21" s="69"/>
      <c r="D21" s="74">
        <v>479294.20923076896</v>
      </c>
      <c r="E21" s="74">
        <f t="shared" si="2"/>
        <v>24300425.665459055</v>
      </c>
      <c r="F21" s="70"/>
      <c r="G21" s="63"/>
      <c r="H21" s="71"/>
      <c r="I21" s="65"/>
      <c r="J21" s="65"/>
      <c r="K21" s="561">
        <f t="shared" si="1"/>
        <v>-167752.97323076913</v>
      </c>
      <c r="L21" s="561">
        <f>L20+K21</f>
        <v>-8505148.9829106703</v>
      </c>
      <c r="M21" s="561"/>
      <c r="N21" s="384"/>
      <c r="O21" s="384"/>
      <c r="P21" s="67"/>
      <c r="Q21" s="73"/>
    </row>
    <row r="22" spans="2:20" hidden="1" outlineLevel="1">
      <c r="B22" s="69">
        <v>40086</v>
      </c>
      <c r="C22" s="69"/>
      <c r="D22" s="74">
        <v>-537483.31076923106</v>
      </c>
      <c r="E22" s="74">
        <f t="shared" si="2"/>
        <v>23762942.354689825</v>
      </c>
      <c r="F22" s="70"/>
      <c r="G22" s="74"/>
      <c r="H22" s="72"/>
      <c r="I22" s="70"/>
      <c r="J22" s="70"/>
      <c r="K22" s="561">
        <f t="shared" si="1"/>
        <v>188119.15876923085</v>
      </c>
      <c r="L22" s="561">
        <f t="shared" si="0"/>
        <v>-8317029.8241414391</v>
      </c>
      <c r="M22" s="561"/>
      <c r="N22" s="384"/>
      <c r="O22" s="384"/>
      <c r="P22" s="67"/>
      <c r="Q22" s="73"/>
    </row>
    <row r="23" spans="2:20" ht="12.75" hidden="1" customHeight="1" outlineLevel="1">
      <c r="B23" s="69">
        <v>40117</v>
      </c>
      <c r="C23" s="69"/>
      <c r="D23" s="74">
        <v>2286811.6292307694</v>
      </c>
      <c r="E23" s="74">
        <f t="shared" si="2"/>
        <v>26049753.983920597</v>
      </c>
      <c r="F23" s="70"/>
      <c r="G23" s="74"/>
      <c r="H23" s="72"/>
      <c r="I23" s="70"/>
      <c r="J23" s="70"/>
      <c r="K23" s="72">
        <f t="shared" si="1"/>
        <v>-800384.07023076923</v>
      </c>
      <c r="L23" s="72">
        <f t="shared" si="0"/>
        <v>-9117413.894372208</v>
      </c>
      <c r="M23" s="74"/>
      <c r="N23" s="66"/>
      <c r="O23" s="66"/>
      <c r="P23" s="67"/>
      <c r="Q23" s="73"/>
    </row>
    <row r="24" spans="2:20" ht="12.75" hidden="1" customHeight="1" outlineLevel="1">
      <c r="B24" s="69">
        <v>40147</v>
      </c>
      <c r="C24" s="69"/>
      <c r="D24" s="74">
        <v>2250059.8892307691</v>
      </c>
      <c r="E24" s="74">
        <f t="shared" si="2"/>
        <v>28299813.873151366</v>
      </c>
      <c r="F24" s="70">
        <f>(E12+E24+SUM(E13:E23)*2)/24</f>
        <v>16180509.32183416</v>
      </c>
      <c r="G24" s="74"/>
      <c r="H24" s="72"/>
      <c r="I24" s="70"/>
      <c r="J24" s="70">
        <f>F24+I24</f>
        <v>16180509.32183416</v>
      </c>
      <c r="K24" s="72">
        <f t="shared" si="1"/>
        <v>-787520.96123076917</v>
      </c>
      <c r="L24" s="72">
        <f>L23+K24</f>
        <v>-9904934.8556029778</v>
      </c>
      <c r="M24" s="70">
        <f>(L12+L24+SUM(L13:L23)*2)/24</f>
        <v>-5663178.2626419561</v>
      </c>
      <c r="N24" s="67">
        <f>M24+J24</f>
        <v>10517331.059192203</v>
      </c>
      <c r="O24" s="67">
        <f>E24+H24+L24</f>
        <v>18394879.01754839</v>
      </c>
      <c r="P24" s="67"/>
      <c r="Q24" s="73"/>
    </row>
    <row r="25" spans="2:20" hidden="1" outlineLevel="1">
      <c r="B25" s="69">
        <v>40178</v>
      </c>
      <c r="C25" s="69"/>
      <c r="D25" s="74">
        <v>3070987.7509827814</v>
      </c>
      <c r="E25" s="74">
        <f t="shared" si="2"/>
        <v>31370801.624134146</v>
      </c>
      <c r="F25" s="70">
        <f>(E13+E25+SUM(E14:E24)*2)/24</f>
        <v>18542992.303320516</v>
      </c>
      <c r="G25" s="74"/>
      <c r="H25" s="72"/>
      <c r="I25" s="70"/>
      <c r="J25" s="70">
        <f>F25+I25</f>
        <v>18542992.303320516</v>
      </c>
      <c r="K25" s="72">
        <f t="shared" si="1"/>
        <v>-1074845.7128439734</v>
      </c>
      <c r="L25" s="72">
        <f>L24+K25</f>
        <v>-10979780.568446951</v>
      </c>
      <c r="M25" s="70">
        <f>(L13+L25+SUM(L14:L24)*2)/24</f>
        <v>-6490047.3061621813</v>
      </c>
      <c r="N25" s="67">
        <f>M25+J25</f>
        <v>12052944.997158334</v>
      </c>
      <c r="O25" s="67">
        <f>E25+H25+L25</f>
        <v>20391021.055687197</v>
      </c>
      <c r="P25" s="67"/>
      <c r="Q25" s="73"/>
    </row>
    <row r="26" spans="2:20" hidden="1" outlineLevel="1">
      <c r="B26" s="69">
        <v>40209</v>
      </c>
      <c r="C26" s="69"/>
      <c r="D26" s="74">
        <v>3650502.4584651189</v>
      </c>
      <c r="E26" s="74">
        <f t="shared" si="2"/>
        <v>35021304.082599267</v>
      </c>
      <c r="F26" s="70">
        <f>(E14+E26+SUM(E15:E25)*2)/24</f>
        <v>20886302.400998723</v>
      </c>
      <c r="G26" s="74"/>
      <c r="H26" s="72"/>
      <c r="I26" s="70"/>
      <c r="J26" s="70">
        <f t="shared" ref="J26:J89" si="3">F26+I26</f>
        <v>20886302.400998723</v>
      </c>
      <c r="K26" s="72">
        <f t="shared" si="1"/>
        <v>-1277675.8604627915</v>
      </c>
      <c r="L26" s="72">
        <f t="shared" si="0"/>
        <v>-12257456.428909743</v>
      </c>
      <c r="M26" s="70">
        <f t="shared" ref="M26:M88" si="4">(L14+L26+SUM(L15:L25)*2)/24</f>
        <v>-7310205.8403495513</v>
      </c>
      <c r="N26" s="67">
        <f t="shared" ref="N26:N88" si="5">M26+J26</f>
        <v>13576096.560649171</v>
      </c>
      <c r="O26" s="67">
        <f>E26+H26+L26</f>
        <v>22763847.653689526</v>
      </c>
      <c r="P26" s="67"/>
      <c r="Q26" s="73"/>
      <c r="S26" s="76"/>
      <c r="T26" s="76"/>
    </row>
    <row r="27" spans="2:20" hidden="1" outlineLevel="1">
      <c r="B27" s="69">
        <v>40237</v>
      </c>
      <c r="C27" s="69"/>
      <c r="D27" s="74">
        <v>4519927.7695586318</v>
      </c>
      <c r="E27" s="74">
        <f t="shared" si="2"/>
        <v>39541231.852157898</v>
      </c>
      <c r="F27" s="70">
        <f t="shared" ref="F27:F90" si="6">(E15+E27+SUM(E16:E26)*2)/24</f>
        <v>23339342.532408684</v>
      </c>
      <c r="G27" s="74"/>
      <c r="H27" s="72"/>
      <c r="I27" s="70"/>
      <c r="J27" s="70">
        <f t="shared" si="3"/>
        <v>23339342.532408684</v>
      </c>
      <c r="K27" s="72">
        <f t="shared" si="1"/>
        <v>-1581974.7193455209</v>
      </c>
      <c r="L27" s="72">
        <f t="shared" si="0"/>
        <v>-13839431.148255264</v>
      </c>
      <c r="M27" s="70">
        <f t="shared" si="4"/>
        <v>-8168769.8863430396</v>
      </c>
      <c r="N27" s="67">
        <f t="shared" si="5"/>
        <v>15170572.646065645</v>
      </c>
      <c r="O27" s="67">
        <f t="shared" ref="O27:O36" si="7">E27+H27+L27</f>
        <v>25701800.703902632</v>
      </c>
      <c r="P27" s="67"/>
      <c r="Q27" s="73"/>
      <c r="S27" s="76"/>
      <c r="T27" s="76"/>
    </row>
    <row r="28" spans="2:20" hidden="1" outlineLevel="1">
      <c r="B28" s="69">
        <v>40268</v>
      </c>
      <c r="C28" s="69"/>
      <c r="D28" s="74">
        <v>3288323.2454433106</v>
      </c>
      <c r="E28" s="74">
        <f>E27+D28</f>
        <v>42829555.097601205</v>
      </c>
      <c r="F28" s="70">
        <f t="shared" si="6"/>
        <v>25970281.751174495</v>
      </c>
      <c r="G28" s="74"/>
      <c r="H28" s="72">
        <f>H27-G28</f>
        <v>0</v>
      </c>
      <c r="I28" s="70">
        <f>(H16+H28+SUM(H17:H27)*2)/24</f>
        <v>0</v>
      </c>
      <c r="J28" s="70">
        <f t="shared" si="3"/>
        <v>25970281.751174495</v>
      </c>
      <c r="K28" s="72">
        <f>(-D28*0.35)+(G28*0.35)</f>
        <v>-1150913.1359051587</v>
      </c>
      <c r="L28" s="72">
        <f t="shared" si="0"/>
        <v>-14990344.284160424</v>
      </c>
      <c r="M28" s="70">
        <f t="shared" si="4"/>
        <v>-9089598.6129110735</v>
      </c>
      <c r="N28" s="67">
        <f t="shared" si="5"/>
        <v>16880683.138263419</v>
      </c>
      <c r="O28" s="67">
        <f t="shared" si="7"/>
        <v>27839210.813440781</v>
      </c>
      <c r="P28" s="67"/>
      <c r="Q28" s="73"/>
      <c r="S28" s="76"/>
      <c r="T28" s="76"/>
    </row>
    <row r="29" spans="2:20" ht="12" hidden="1" customHeight="1" outlineLevel="1">
      <c r="B29" s="913" t="s">
        <v>168</v>
      </c>
      <c r="C29" s="69"/>
      <c r="D29" s="74">
        <v>272965.27742110763</v>
      </c>
      <c r="E29" s="74">
        <f>E28+D29</f>
        <v>43102520.375022314</v>
      </c>
      <c r="F29" s="70">
        <f>(E17+E29+SUM(E18:E28)*2)/24</f>
        <v>28526760.43137376</v>
      </c>
      <c r="G29" s="124">
        <v>235685</v>
      </c>
      <c r="H29" s="72">
        <f>H28-G29</f>
        <v>-235685</v>
      </c>
      <c r="I29" s="70">
        <f>(H17+H29+SUM(H18:H28)*2)/24</f>
        <v>-9820.2083333333339</v>
      </c>
      <c r="J29" s="70">
        <f t="shared" si="3"/>
        <v>28516940.223040428</v>
      </c>
      <c r="K29" s="72">
        <v>-15656</v>
      </c>
      <c r="L29" s="72">
        <f t="shared" si="0"/>
        <v>-15006000.284160424</v>
      </c>
      <c r="M29" s="70">
        <f t="shared" si="4"/>
        <v>-9981037.7406850886</v>
      </c>
      <c r="N29" s="67">
        <f t="shared" si="5"/>
        <v>18535902.482355341</v>
      </c>
      <c r="O29" s="67">
        <f t="shared" si="7"/>
        <v>27860835.09086189</v>
      </c>
      <c r="P29" s="67"/>
      <c r="Q29" s="73"/>
      <c r="S29" s="76"/>
      <c r="T29" s="76"/>
    </row>
    <row r="30" spans="2:20" hidden="1" outlineLevel="1">
      <c r="B30" s="69">
        <v>40329</v>
      </c>
      <c r="C30" s="69"/>
      <c r="D30" s="74">
        <v>2284</v>
      </c>
      <c r="E30" s="74">
        <f t="shared" si="2"/>
        <v>43104804.375022314</v>
      </c>
      <c r="F30" s="70">
        <f>(E18+E30+SUM(E19:E29)*2)/24</f>
        <v>30811678.949029665</v>
      </c>
      <c r="G30" s="125">
        <v>240421</v>
      </c>
      <c r="H30" s="72">
        <f>H29-G30</f>
        <v>-476106</v>
      </c>
      <c r="I30" s="70">
        <f>(H18+H30+SUM(H19:H29)*2)/24</f>
        <v>-39478.166666666664</v>
      </c>
      <c r="J30" s="70">
        <f t="shared" si="3"/>
        <v>30772200.782362998</v>
      </c>
      <c r="K30" s="72">
        <v>86000</v>
      </c>
      <c r="L30" s="72">
        <f>L29+K30</f>
        <v>-14920000.284160424</v>
      </c>
      <c r="M30" s="70">
        <f t="shared" si="4"/>
        <v>-10770485.759606542</v>
      </c>
      <c r="N30" s="67">
        <f t="shared" si="5"/>
        <v>20001715.022756457</v>
      </c>
      <c r="O30" s="67">
        <f t="shared" si="7"/>
        <v>27708698.09086189</v>
      </c>
      <c r="P30" s="67"/>
      <c r="Q30" s="73"/>
      <c r="S30" s="76"/>
      <c r="T30" s="76"/>
    </row>
    <row r="31" spans="2:20" hidden="1" outlineLevel="1">
      <c r="B31" s="69">
        <v>40359</v>
      </c>
      <c r="C31" s="69"/>
      <c r="D31" s="74"/>
      <c r="E31" s="74">
        <f t="shared" si="2"/>
        <v>43104804.375022314</v>
      </c>
      <c r="F31" s="70">
        <f>(E19+E31+SUM(E20:E30)*2)/24</f>
        <v>32785213.997166339</v>
      </c>
      <c r="G31" s="126">
        <v>240421</v>
      </c>
      <c r="H31" s="72">
        <f t="shared" ref="H31:H94" si="8">H30-G31</f>
        <v>-716527</v>
      </c>
      <c r="I31" s="70">
        <f t="shared" ref="I31:I94" si="9">(H19+H31+SUM(H20:H30)*2)/24</f>
        <v>-89171.208333333328</v>
      </c>
      <c r="J31" s="70">
        <f t="shared" si="3"/>
        <v>32696042.788833007</v>
      </c>
      <c r="K31" s="72">
        <v>84000</v>
      </c>
      <c r="L31" s="72">
        <f>L30+K31</f>
        <v>-14836000.284160424</v>
      </c>
      <c r="M31" s="70">
        <f>(L19+L31+SUM(L20:L30)*2)/24</f>
        <v>-11443832.922529599</v>
      </c>
      <c r="N31" s="67">
        <f t="shared" si="5"/>
        <v>21252209.866303407</v>
      </c>
      <c r="O31" s="67">
        <f t="shared" si="7"/>
        <v>27552277.09086189</v>
      </c>
      <c r="P31" s="67"/>
      <c r="Q31" s="76"/>
      <c r="S31" s="76"/>
      <c r="T31" s="76"/>
    </row>
    <row r="32" spans="2:20" hidden="1" outlineLevel="1">
      <c r="B32" s="69">
        <v>40390</v>
      </c>
      <c r="C32" s="69"/>
      <c r="D32" s="74"/>
      <c r="E32" s="74">
        <f t="shared" si="2"/>
        <v>43104804.375022314</v>
      </c>
      <c r="F32" s="70">
        <f t="shared" si="6"/>
        <v>34495910.464533798</v>
      </c>
      <c r="G32" s="74">
        <v>240421</v>
      </c>
      <c r="H32" s="72">
        <f>H31-G32</f>
        <v>-956948</v>
      </c>
      <c r="I32" s="70">
        <f t="shared" si="9"/>
        <v>-158899.33333333334</v>
      </c>
      <c r="J32" s="70">
        <f t="shared" si="3"/>
        <v>34337011.131200463</v>
      </c>
      <c r="K32" s="72">
        <v>84000</v>
      </c>
      <c r="L32" s="72">
        <f t="shared" si="0"/>
        <v>-14752000.284160424</v>
      </c>
      <c r="M32" s="70">
        <f t="shared" si="4"/>
        <v>-12018186.582183426</v>
      </c>
      <c r="N32" s="67">
        <f t="shared" si="5"/>
        <v>22318824.549017034</v>
      </c>
      <c r="O32" s="67">
        <f t="shared" si="7"/>
        <v>27395856.09086189</v>
      </c>
      <c r="P32" s="67"/>
      <c r="Q32" s="76"/>
      <c r="S32" s="76"/>
      <c r="T32" s="76"/>
    </row>
    <row r="33" spans="2:29" hidden="1" outlineLevel="1">
      <c r="B33" s="69">
        <v>40421</v>
      </c>
      <c r="C33" s="69"/>
      <c r="D33" s="74"/>
      <c r="E33" s="74">
        <f t="shared" si="2"/>
        <v>43104804.375022314</v>
      </c>
      <c r="F33" s="70">
        <f t="shared" si="6"/>
        <v>36082912.615715347</v>
      </c>
      <c r="G33" s="74">
        <v>240421</v>
      </c>
      <c r="H33" s="72">
        <f t="shared" si="8"/>
        <v>-1197369</v>
      </c>
      <c r="I33" s="70">
        <f t="shared" si="9"/>
        <v>-248662.54166666666</v>
      </c>
      <c r="J33" s="70">
        <f t="shared" si="3"/>
        <v>35834250.074048683</v>
      </c>
      <c r="K33" s="72">
        <v>84000</v>
      </c>
      <c r="L33" s="72">
        <f t="shared" si="0"/>
        <v>-14668000.284160424</v>
      </c>
      <c r="M33" s="70">
        <f t="shared" si="4"/>
        <v>-12542247.231172187</v>
      </c>
      <c r="N33" s="67">
        <f t="shared" si="5"/>
        <v>23292002.842876494</v>
      </c>
      <c r="O33" s="67">
        <f t="shared" si="7"/>
        <v>27239435.09086189</v>
      </c>
      <c r="P33" s="67"/>
      <c r="Q33" s="76"/>
      <c r="S33" s="76"/>
      <c r="T33" s="76"/>
    </row>
    <row r="34" spans="2:29" hidden="1" outlineLevel="1">
      <c r="B34" s="69">
        <v>40451</v>
      </c>
      <c r="C34" s="69"/>
      <c r="D34" s="74"/>
      <c r="E34" s="74">
        <f t="shared" si="2"/>
        <v>43104804.375022314</v>
      </c>
      <c r="F34" s="70">
        <f t="shared" si="6"/>
        <v>37672339.312794335</v>
      </c>
      <c r="G34" s="74">
        <v>240421</v>
      </c>
      <c r="H34" s="72">
        <f t="shared" si="8"/>
        <v>-1437790</v>
      </c>
      <c r="I34" s="70">
        <f t="shared" si="9"/>
        <v>-358460.83333333331</v>
      </c>
      <c r="J34" s="70">
        <f>F34+I34</f>
        <v>37313878.479460999</v>
      </c>
      <c r="K34" s="72">
        <v>84545</v>
      </c>
      <c r="L34" s="72">
        <f t="shared" si="0"/>
        <v>-14583455.284160424</v>
      </c>
      <c r="M34" s="70">
        <f t="shared" si="4"/>
        <v>-13060133.762891717</v>
      </c>
      <c r="N34" s="67">
        <f>M34+J34</f>
        <v>24253744.716569282</v>
      </c>
      <c r="O34" s="67">
        <f t="shared" si="7"/>
        <v>27083559.09086189</v>
      </c>
      <c r="P34" s="67"/>
      <c r="Q34" s="76"/>
      <c r="S34" s="76"/>
      <c r="T34" s="76"/>
    </row>
    <row r="35" spans="2:29" hidden="1" outlineLevel="1">
      <c r="B35" s="69">
        <v>40482</v>
      </c>
      <c r="C35" s="69"/>
      <c r="D35" s="74"/>
      <c r="E35" s="72">
        <f t="shared" si="2"/>
        <v>43104804.375022314</v>
      </c>
      <c r="F35" s="70">
        <f t="shared" si="6"/>
        <v>39188877.329937428</v>
      </c>
      <c r="G35" s="72">
        <v>240421</v>
      </c>
      <c r="H35" s="72">
        <f t="shared" si="8"/>
        <v>-1678211</v>
      </c>
      <c r="I35" s="70">
        <f t="shared" si="9"/>
        <v>-488294.20833333331</v>
      </c>
      <c r="J35" s="70">
        <f t="shared" si="3"/>
        <v>38700583.121604092</v>
      </c>
      <c r="K35" s="72">
        <f t="shared" si="1"/>
        <v>84147.349999999991</v>
      </c>
      <c r="L35" s="72">
        <f t="shared" si="0"/>
        <v>-14499307.934160424</v>
      </c>
      <c r="M35" s="70">
        <f t="shared" si="4"/>
        <v>-13545480.408717019</v>
      </c>
      <c r="N35" s="67">
        <f t="shared" si="5"/>
        <v>25155102.712887071</v>
      </c>
      <c r="O35" s="67">
        <f t="shared" si="7"/>
        <v>26927285.440861888</v>
      </c>
      <c r="P35" s="67"/>
      <c r="Q35" s="65"/>
      <c r="R35" s="38"/>
      <c r="S35" s="65"/>
      <c r="T35" s="65"/>
      <c r="U35" s="38"/>
      <c r="V35" s="38"/>
      <c r="W35" s="38"/>
      <c r="X35" s="38"/>
      <c r="Y35" s="38"/>
      <c r="Z35" s="38"/>
      <c r="AA35" s="38"/>
    </row>
    <row r="36" spans="2:29" ht="12.75" hidden="1" customHeight="1" outlineLevel="1">
      <c r="B36" s="69">
        <v>40512</v>
      </c>
      <c r="C36" s="69"/>
      <c r="D36" s="74"/>
      <c r="E36" s="72">
        <f t="shared" si="2"/>
        <v>43104804.375022314</v>
      </c>
      <c r="F36" s="70">
        <f t="shared" si="6"/>
        <v>40516379.033811294</v>
      </c>
      <c r="G36" s="72">
        <v>240421</v>
      </c>
      <c r="H36" s="72">
        <f t="shared" si="8"/>
        <v>-1918632</v>
      </c>
      <c r="I36" s="70">
        <f t="shared" si="9"/>
        <v>-638162.66666666663</v>
      </c>
      <c r="J36" s="70">
        <f t="shared" si="3"/>
        <v>39878216.367144629</v>
      </c>
      <c r="K36" s="72">
        <f t="shared" si="1"/>
        <v>84147.349999999991</v>
      </c>
      <c r="L36" s="72">
        <f t="shared" si="0"/>
        <v>-14415160.584160425</v>
      </c>
      <c r="M36" s="70">
        <f>(L24+L36+SUM(L25:L35)*2)/24</f>
        <v>-13957652.065731419</v>
      </c>
      <c r="N36" s="67">
        <f t="shared" si="5"/>
        <v>25920564.301413208</v>
      </c>
      <c r="O36" s="67">
        <f t="shared" si="7"/>
        <v>26771011.79086189</v>
      </c>
      <c r="P36" s="67"/>
      <c r="Q36" s="65"/>
      <c r="R36" s="38"/>
      <c r="S36" s="65"/>
      <c r="T36" s="65"/>
      <c r="U36" s="38"/>
      <c r="V36" s="38"/>
      <c r="W36" s="38"/>
      <c r="X36" s="38"/>
      <c r="Y36" s="38"/>
      <c r="Z36" s="38"/>
      <c r="AA36" s="38"/>
    </row>
    <row r="37" spans="2:29" hidden="1" outlineLevel="1">
      <c r="B37" s="69">
        <v>40543</v>
      </c>
      <c r="C37" s="69"/>
      <c r="D37" s="74"/>
      <c r="E37" s="74">
        <f t="shared" si="2"/>
        <v>43104804.375022314</v>
      </c>
      <c r="F37" s="70">
        <f t="shared" si="6"/>
        <v>41622170.41934292</v>
      </c>
      <c r="G37" s="74">
        <v>240421</v>
      </c>
      <c r="H37" s="72">
        <f t="shared" si="8"/>
        <v>-2159053</v>
      </c>
      <c r="I37" s="70">
        <f t="shared" si="9"/>
        <v>-808066.20833333337</v>
      </c>
      <c r="J37" s="70">
        <f t="shared" si="3"/>
        <v>40814104.211009584</v>
      </c>
      <c r="K37" s="72">
        <f t="shared" si="1"/>
        <v>84147.349999999991</v>
      </c>
      <c r="L37" s="72">
        <f t="shared" si="0"/>
        <v>-14331013.234160425</v>
      </c>
      <c r="M37" s="70">
        <f t="shared" si="4"/>
        <v>-14285212.832159372</v>
      </c>
      <c r="N37" s="67">
        <f t="shared" si="5"/>
        <v>26528891.378850214</v>
      </c>
      <c r="O37" s="67">
        <f>E37+H37+L37</f>
        <v>26614738.140861891</v>
      </c>
      <c r="P37" s="67"/>
      <c r="Q37" s="76"/>
      <c r="S37" s="76"/>
      <c r="T37" s="76"/>
    </row>
    <row r="38" spans="2:29" hidden="1" outlineLevel="1">
      <c r="B38" s="69">
        <v>40574</v>
      </c>
      <c r="C38" s="69"/>
      <c r="D38" s="74"/>
      <c r="E38" s="74">
        <f t="shared" si="2"/>
        <v>43104804.375022314</v>
      </c>
      <c r="F38" s="70">
        <f t="shared" si="6"/>
        <v>42447899.712814219</v>
      </c>
      <c r="G38" s="74">
        <v>240421</v>
      </c>
      <c r="H38" s="72">
        <f t="shared" si="8"/>
        <v>-2399474</v>
      </c>
      <c r="I38" s="70">
        <f t="shared" si="9"/>
        <v>-998004.83333333337</v>
      </c>
      <c r="J38" s="70">
        <f t="shared" si="3"/>
        <v>41449894.879480883</v>
      </c>
      <c r="K38" s="72">
        <f t="shared" si="1"/>
        <v>84147.349999999991</v>
      </c>
      <c r="L38" s="72">
        <f t="shared" si="0"/>
        <v>-14246865.884160426</v>
      </c>
      <c r="M38" s="70">
        <f t="shared" si="4"/>
        <v>-14507739.587199548</v>
      </c>
      <c r="N38" s="67">
        <f t="shared" si="5"/>
        <v>26942155.292281337</v>
      </c>
      <c r="O38" s="67">
        <f t="shared" ref="O38:O48" si="10">E38+H38+L38</f>
        <v>26458464.490861889</v>
      </c>
      <c r="P38" s="67"/>
      <c r="Q38" s="76"/>
      <c r="S38" s="76"/>
      <c r="T38" s="76"/>
    </row>
    <row r="39" spans="2:29" s="36" customFormat="1" hidden="1" outlineLevel="1">
      <c r="B39" s="77">
        <v>40602</v>
      </c>
      <c r="C39" s="77"/>
      <c r="D39" s="72"/>
      <c r="E39" s="70">
        <f t="shared" si="2"/>
        <v>43104804.375022314</v>
      </c>
      <c r="F39" s="70">
        <f>(E27+E39+SUM(E28:E38)*2)/24</f>
        <v>42933194.413451202</v>
      </c>
      <c r="G39" s="74">
        <v>240421</v>
      </c>
      <c r="H39" s="70">
        <f>H38-G39</f>
        <v>-2639895</v>
      </c>
      <c r="I39" s="70">
        <f>(H27+H39+SUM(H28:H38)*2)/24</f>
        <v>-1207978.5416666667</v>
      </c>
      <c r="J39" s="70">
        <f>F39+I39</f>
        <v>41725215.871784538</v>
      </c>
      <c r="K39" s="70">
        <f t="shared" si="1"/>
        <v>84147.349999999991</v>
      </c>
      <c r="L39" s="70">
        <f t="shared" si="0"/>
        <v>-14162718.534160426</v>
      </c>
      <c r="M39" s="70">
        <f t="shared" si="4"/>
        <v>-14604101.955581041</v>
      </c>
      <c r="N39" s="67">
        <f t="shared" si="5"/>
        <v>27121113.916203499</v>
      </c>
      <c r="O39" s="67">
        <f t="shared" si="10"/>
        <v>26302190.840861887</v>
      </c>
      <c r="P39" s="67"/>
      <c r="Q39" s="65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2:29" hidden="1" outlineLevel="1">
      <c r="B40" s="77">
        <v>40633</v>
      </c>
      <c r="C40" s="69"/>
      <c r="D40" s="74"/>
      <c r="E40" s="74">
        <f t="shared" si="2"/>
        <v>43104804.375022314</v>
      </c>
      <c r="F40" s="70">
        <f>(E28+E40+SUM(E29:E39)*2)/24</f>
        <v>43093145.321796425</v>
      </c>
      <c r="G40" s="74">
        <v>240421</v>
      </c>
      <c r="H40" s="70">
        <f>H39-G40</f>
        <v>-2880316</v>
      </c>
      <c r="I40" s="70">
        <f>(H28+H40+SUM(H29:H39)*2)/24</f>
        <v>-1437987.3333333333</v>
      </c>
      <c r="J40" s="70">
        <f t="shared" si="3"/>
        <v>41655157.988463089</v>
      </c>
      <c r="K40" s="72">
        <f t="shared" si="1"/>
        <v>84147.349999999991</v>
      </c>
      <c r="L40" s="72">
        <f>L39+K40</f>
        <v>-14078571.184160426</v>
      </c>
      <c r="M40" s="70">
        <f>(L28+L40+SUM(L29:L39)*2)/24</f>
        <v>-14579581.717493758</v>
      </c>
      <c r="N40" s="67">
        <f>M40+J40</f>
        <v>27075576.270969331</v>
      </c>
      <c r="O40" s="67">
        <f t="shared" si="10"/>
        <v>26145917.190861888</v>
      </c>
      <c r="P40" s="67"/>
      <c r="Q40" s="76"/>
    </row>
    <row r="41" spans="2:29" hidden="1" outlineLevel="1">
      <c r="B41" s="69">
        <v>40663</v>
      </c>
      <c r="C41" s="69"/>
      <c r="D41" s="74"/>
      <c r="E41" s="74">
        <f t="shared" si="2"/>
        <v>43104804.375022314</v>
      </c>
      <c r="F41" s="70">
        <f t="shared" si="6"/>
        <v>43104709.208355643</v>
      </c>
      <c r="G41" s="74">
        <v>240421</v>
      </c>
      <c r="H41" s="72">
        <f t="shared" si="8"/>
        <v>-3120737</v>
      </c>
      <c r="I41" s="70">
        <f t="shared" ref="I41:I46" si="11">(H29+H41+SUM(H30:H40)*2)/24</f>
        <v>-1678211</v>
      </c>
      <c r="J41" s="70">
        <f t="shared" si="3"/>
        <v>41426498.208355643</v>
      </c>
      <c r="K41" s="72">
        <f t="shared" si="1"/>
        <v>84147.349999999991</v>
      </c>
      <c r="L41" s="72">
        <f t="shared" si="0"/>
        <v>-13994423.834160427</v>
      </c>
      <c r="M41" s="70">
        <f t="shared" si="4"/>
        <v>-14499442.152910426</v>
      </c>
      <c r="N41" s="67">
        <f t="shared" si="5"/>
        <v>26927056.055445217</v>
      </c>
      <c r="O41" s="67">
        <f t="shared" si="10"/>
        <v>25989643.54086189</v>
      </c>
      <c r="P41" s="67"/>
      <c r="Q41" s="76"/>
    </row>
    <row r="42" spans="2:29" ht="14.25" hidden="1" customHeight="1" outlineLevel="1">
      <c r="B42" s="69">
        <v>40694</v>
      </c>
      <c r="C42" s="69"/>
      <c r="D42" s="74"/>
      <c r="E42" s="74">
        <f t="shared" si="2"/>
        <v>43104804.375022314</v>
      </c>
      <c r="F42" s="70">
        <f t="shared" si="6"/>
        <v>43104804.375022307</v>
      </c>
      <c r="G42" s="74">
        <v>240421</v>
      </c>
      <c r="H42" s="72">
        <f t="shared" si="8"/>
        <v>-3361158</v>
      </c>
      <c r="I42" s="70">
        <f t="shared" si="11"/>
        <v>-1918632</v>
      </c>
      <c r="J42" s="70">
        <f t="shared" si="3"/>
        <v>41186172.375022307</v>
      </c>
      <c r="K42" s="72">
        <f t="shared" si="1"/>
        <v>84147.349999999991</v>
      </c>
      <c r="L42" s="72">
        <f t="shared" si="0"/>
        <v>-13910276.484160427</v>
      </c>
      <c r="M42" s="70">
        <f>(L30+L42+SUM(L31:L41)*2)/24</f>
        <v>-14415221.309160424</v>
      </c>
      <c r="N42" s="67">
        <f t="shared" si="5"/>
        <v>26770951.065861881</v>
      </c>
      <c r="O42" s="67">
        <f t="shared" si="10"/>
        <v>25833369.890861887</v>
      </c>
      <c r="P42" s="67"/>
      <c r="Q42" s="79"/>
    </row>
    <row r="43" spans="2:29" hidden="1" outlineLevel="1">
      <c r="B43" s="69">
        <v>40724</v>
      </c>
      <c r="C43" s="69"/>
      <c r="D43" s="74"/>
      <c r="E43" s="74">
        <f t="shared" si="2"/>
        <v>43104804.375022314</v>
      </c>
      <c r="F43" s="70">
        <f t="shared" si="6"/>
        <v>43104804.375022307</v>
      </c>
      <c r="G43" s="74">
        <v>240421</v>
      </c>
      <c r="H43" s="72">
        <f t="shared" si="8"/>
        <v>-3601579</v>
      </c>
      <c r="I43" s="70">
        <f t="shared" si="11"/>
        <v>-2159053</v>
      </c>
      <c r="J43" s="70">
        <f t="shared" si="3"/>
        <v>40945751.375022307</v>
      </c>
      <c r="K43" s="72">
        <f t="shared" si="1"/>
        <v>84147.349999999991</v>
      </c>
      <c r="L43" s="72">
        <f>L42+K43</f>
        <v>-13826129.134160427</v>
      </c>
      <c r="M43" s="70">
        <f>(L31+L43+SUM(L32:L42)*2)/24</f>
        <v>-14331071.519577092</v>
      </c>
      <c r="N43" s="67">
        <f t="shared" si="5"/>
        <v>26614679.855445214</v>
      </c>
      <c r="O43" s="67">
        <f t="shared" si="10"/>
        <v>25677096.240861885</v>
      </c>
      <c r="P43" s="67"/>
      <c r="Q43" s="76"/>
    </row>
    <row r="44" spans="2:29" hidden="1" outlineLevel="1">
      <c r="B44" s="69">
        <v>40755</v>
      </c>
      <c r="C44" s="69"/>
      <c r="D44" s="74"/>
      <c r="E44" s="74">
        <f t="shared" si="2"/>
        <v>43104804.375022314</v>
      </c>
      <c r="F44" s="70">
        <f t="shared" si="6"/>
        <v>43104804.375022307</v>
      </c>
      <c r="G44" s="74">
        <v>240421</v>
      </c>
      <c r="H44" s="72">
        <f t="shared" si="8"/>
        <v>-3842000</v>
      </c>
      <c r="I44" s="70">
        <f t="shared" si="11"/>
        <v>-2399474</v>
      </c>
      <c r="J44" s="70">
        <f t="shared" si="3"/>
        <v>40705330.375022307</v>
      </c>
      <c r="K44" s="72">
        <f t="shared" si="1"/>
        <v>84147.349999999991</v>
      </c>
      <c r="L44" s="72">
        <f t="shared" si="0"/>
        <v>-13741981.784160428</v>
      </c>
      <c r="M44" s="70">
        <f>(L32+L44+SUM(L33:L43)*2)/24</f>
        <v>-14246909.450827094</v>
      </c>
      <c r="N44" s="67">
        <f t="shared" si="5"/>
        <v>26458420.924195215</v>
      </c>
      <c r="O44" s="67">
        <f t="shared" si="10"/>
        <v>25520822.590861887</v>
      </c>
      <c r="P44" s="67"/>
      <c r="Q44" s="76"/>
    </row>
    <row r="45" spans="2:29" ht="12.75" hidden="1" customHeight="1" outlineLevel="1">
      <c r="B45" s="914">
        <v>40786</v>
      </c>
      <c r="C45" s="80"/>
      <c r="D45" s="74"/>
      <c r="E45" s="74">
        <f t="shared" si="2"/>
        <v>43104804.375022314</v>
      </c>
      <c r="F45" s="70">
        <f t="shared" si="6"/>
        <v>43104804.375022307</v>
      </c>
      <c r="G45" s="74">
        <v>240421</v>
      </c>
      <c r="H45" s="72">
        <f t="shared" si="8"/>
        <v>-4082421</v>
      </c>
      <c r="I45" s="70">
        <f t="shared" si="11"/>
        <v>-2639895</v>
      </c>
      <c r="J45" s="70">
        <f t="shared" si="3"/>
        <v>40464909.375022307</v>
      </c>
      <c r="K45" s="72">
        <f t="shared" si="1"/>
        <v>84147.349999999991</v>
      </c>
      <c r="L45" s="72">
        <f t="shared" si="0"/>
        <v>-13657834.434160428</v>
      </c>
      <c r="M45" s="70">
        <f t="shared" si="4"/>
        <v>-14162735.102910424</v>
      </c>
      <c r="N45" s="67">
        <f t="shared" si="5"/>
        <v>26302174.272111885</v>
      </c>
      <c r="O45" s="67">
        <f t="shared" si="10"/>
        <v>25364548.940861888</v>
      </c>
      <c r="P45" s="67"/>
      <c r="Q45" s="76"/>
    </row>
    <row r="46" spans="2:29" hidden="1" outlineLevel="1">
      <c r="B46" s="914">
        <v>40816</v>
      </c>
      <c r="C46" s="80"/>
      <c r="D46" s="74"/>
      <c r="E46" s="74">
        <f t="shared" si="2"/>
        <v>43104804.375022314</v>
      </c>
      <c r="F46" s="70">
        <f t="shared" si="6"/>
        <v>43104804.375022307</v>
      </c>
      <c r="G46" s="74">
        <v>240421</v>
      </c>
      <c r="H46" s="72">
        <f t="shared" si="8"/>
        <v>-4322842</v>
      </c>
      <c r="I46" s="70">
        <f t="shared" si="11"/>
        <v>-2880316</v>
      </c>
      <c r="J46" s="70">
        <f t="shared" si="3"/>
        <v>40224488.375022307</v>
      </c>
      <c r="K46" s="72">
        <f t="shared" si="1"/>
        <v>84147.349999999991</v>
      </c>
      <c r="L46" s="72">
        <f t="shared" si="0"/>
        <v>-13573687.084160428</v>
      </c>
      <c r="M46" s="70">
        <f t="shared" si="4"/>
        <v>-14078571.184160426</v>
      </c>
      <c r="N46" s="67">
        <f t="shared" si="5"/>
        <v>26145917.190861881</v>
      </c>
      <c r="O46" s="67">
        <f t="shared" si="10"/>
        <v>25208275.290861886</v>
      </c>
      <c r="P46" s="67"/>
      <c r="Q46" s="76"/>
    </row>
    <row r="47" spans="2:29" hidden="1" outlineLevel="1">
      <c r="B47" s="914">
        <v>40847</v>
      </c>
      <c r="C47" s="80"/>
      <c r="D47" s="74"/>
      <c r="E47" s="74">
        <f t="shared" si="2"/>
        <v>43104804.375022314</v>
      </c>
      <c r="F47" s="70">
        <f t="shared" si="6"/>
        <v>43104804.375022307</v>
      </c>
      <c r="G47" s="74">
        <v>240421</v>
      </c>
      <c r="H47" s="72">
        <f t="shared" si="8"/>
        <v>-4563263</v>
      </c>
      <c r="I47" s="70">
        <f t="shared" si="9"/>
        <v>-3120737</v>
      </c>
      <c r="J47" s="70">
        <f t="shared" si="3"/>
        <v>39984067.375022307</v>
      </c>
      <c r="K47" s="72">
        <f t="shared" si="1"/>
        <v>84147.349999999991</v>
      </c>
      <c r="L47" s="72">
        <f t="shared" si="0"/>
        <v>-13489539.734160429</v>
      </c>
      <c r="M47" s="70">
        <f t="shared" si="4"/>
        <v>-13994423.834160425</v>
      </c>
      <c r="N47" s="67">
        <f t="shared" si="5"/>
        <v>25989643.540861882</v>
      </c>
      <c r="O47" s="67">
        <f t="shared" si="10"/>
        <v>25052001.640861884</v>
      </c>
      <c r="P47" s="67"/>
      <c r="Q47" s="76"/>
    </row>
    <row r="48" spans="2:29" ht="12.75" hidden="1" customHeight="1" outlineLevel="1">
      <c r="B48" s="914">
        <v>40877</v>
      </c>
      <c r="C48" s="80"/>
      <c r="D48" s="74"/>
      <c r="E48" s="74">
        <f t="shared" si="2"/>
        <v>43104804.375022314</v>
      </c>
      <c r="F48" s="70">
        <f t="shared" si="6"/>
        <v>43104804.375022307</v>
      </c>
      <c r="G48" s="74">
        <v>240421</v>
      </c>
      <c r="H48" s="72">
        <f t="shared" si="8"/>
        <v>-4803684</v>
      </c>
      <c r="I48" s="70">
        <f t="shared" si="9"/>
        <v>-3361158</v>
      </c>
      <c r="J48" s="70">
        <f t="shared" si="3"/>
        <v>39743646.375022307</v>
      </c>
      <c r="K48" s="72">
        <f t="shared" si="1"/>
        <v>84147.349999999991</v>
      </c>
      <c r="L48" s="72">
        <f t="shared" si="0"/>
        <v>-13405392.384160429</v>
      </c>
      <c r="M48" s="70">
        <f t="shared" si="4"/>
        <v>-13910276.484160425</v>
      </c>
      <c r="N48" s="67">
        <f t="shared" si="5"/>
        <v>25833369.890861884</v>
      </c>
      <c r="O48" s="67">
        <f t="shared" si="10"/>
        <v>24895727.990861885</v>
      </c>
      <c r="P48" s="67"/>
      <c r="Q48" s="76"/>
    </row>
    <row r="49" spans="2:19" hidden="1" outlineLevel="1">
      <c r="B49" s="914">
        <v>40908</v>
      </c>
      <c r="C49" s="80"/>
      <c r="D49" s="74"/>
      <c r="E49" s="74">
        <f t="shared" si="2"/>
        <v>43104804.375022314</v>
      </c>
      <c r="F49" s="70">
        <f t="shared" si="6"/>
        <v>43104804.375022307</v>
      </c>
      <c r="G49" s="74">
        <v>240421</v>
      </c>
      <c r="H49" s="72">
        <f t="shared" si="8"/>
        <v>-5044105</v>
      </c>
      <c r="I49" s="70">
        <f t="shared" si="9"/>
        <v>-3601579</v>
      </c>
      <c r="J49" s="70">
        <f t="shared" si="3"/>
        <v>39503225.375022307</v>
      </c>
      <c r="K49" s="72">
        <f t="shared" si="1"/>
        <v>84147.349999999991</v>
      </c>
      <c r="L49" s="72">
        <f t="shared" si="0"/>
        <v>-13321245.03416043</v>
      </c>
      <c r="M49" s="70">
        <f t="shared" si="4"/>
        <v>-13826129.134160427</v>
      </c>
      <c r="N49" s="67">
        <f>M49+J49</f>
        <v>25677096.240861878</v>
      </c>
      <c r="O49" s="67">
        <f>E49+H49+L49</f>
        <v>24739454.340861887</v>
      </c>
      <c r="P49" s="67"/>
      <c r="Q49" s="76"/>
    </row>
    <row r="50" spans="2:19" hidden="1" outlineLevel="1">
      <c r="B50" s="914">
        <v>40939</v>
      </c>
      <c r="C50" s="80"/>
      <c r="D50" s="74"/>
      <c r="E50" s="74">
        <f t="shared" si="2"/>
        <v>43104804.375022314</v>
      </c>
      <c r="F50" s="70">
        <f t="shared" si="6"/>
        <v>43104804.375022307</v>
      </c>
      <c r="G50" s="74">
        <v>240421</v>
      </c>
      <c r="H50" s="72">
        <f t="shared" si="8"/>
        <v>-5284526</v>
      </c>
      <c r="I50" s="70">
        <f t="shared" si="9"/>
        <v>-3842000</v>
      </c>
      <c r="J50" s="70">
        <f t="shared" si="3"/>
        <v>39262804.375022307</v>
      </c>
      <c r="K50" s="72">
        <f t="shared" si="1"/>
        <v>84147.349999999991</v>
      </c>
      <c r="L50" s="72">
        <f t="shared" si="0"/>
        <v>-13237097.68416043</v>
      </c>
      <c r="M50" s="70">
        <f t="shared" si="4"/>
        <v>-13741981.784160428</v>
      </c>
      <c r="N50" s="67">
        <f t="shared" si="5"/>
        <v>25520822.590861879</v>
      </c>
      <c r="O50" s="67">
        <f t="shared" ref="O50:O114" si="12">E50+H50+L50</f>
        <v>24583180.690861885</v>
      </c>
      <c r="P50" s="67"/>
      <c r="Q50" s="76"/>
    </row>
    <row r="51" spans="2:19" hidden="1" outlineLevel="1">
      <c r="B51" s="914">
        <v>40968</v>
      </c>
      <c r="C51" s="80"/>
      <c r="D51" s="74"/>
      <c r="E51" s="74">
        <f t="shared" si="2"/>
        <v>43104804.375022314</v>
      </c>
      <c r="F51" s="70">
        <f t="shared" si="6"/>
        <v>43104804.375022307</v>
      </c>
      <c r="G51" s="74">
        <v>240421</v>
      </c>
      <c r="H51" s="72">
        <f t="shared" si="8"/>
        <v>-5524947</v>
      </c>
      <c r="I51" s="70">
        <f t="shared" si="9"/>
        <v>-4082421</v>
      </c>
      <c r="J51" s="70">
        <f t="shared" si="3"/>
        <v>39022383.375022307</v>
      </c>
      <c r="K51" s="72">
        <f t="shared" si="1"/>
        <v>84147.349999999991</v>
      </c>
      <c r="L51" s="72">
        <f t="shared" si="0"/>
        <v>-13152950.33416043</v>
      </c>
      <c r="M51" s="70">
        <f t="shared" si="4"/>
        <v>-13657834.434160432</v>
      </c>
      <c r="N51" s="67">
        <f t="shared" si="5"/>
        <v>25364548.940861873</v>
      </c>
      <c r="O51" s="67">
        <f t="shared" si="12"/>
        <v>24426907.040861882</v>
      </c>
      <c r="P51" s="67"/>
      <c r="Q51" s="76"/>
    </row>
    <row r="52" spans="2:19" hidden="1" outlineLevel="1">
      <c r="B52" s="914">
        <v>40999</v>
      </c>
      <c r="C52" s="80"/>
      <c r="D52" s="74"/>
      <c r="E52" s="74">
        <f t="shared" si="2"/>
        <v>43104804.375022314</v>
      </c>
      <c r="F52" s="70">
        <f t="shared" si="6"/>
        <v>43104804.375022307</v>
      </c>
      <c r="G52" s="74">
        <v>240421</v>
      </c>
      <c r="H52" s="72">
        <f t="shared" si="8"/>
        <v>-5765368</v>
      </c>
      <c r="I52" s="70">
        <f t="shared" si="9"/>
        <v>-4322842</v>
      </c>
      <c r="J52" s="70">
        <f t="shared" si="3"/>
        <v>38781962.375022307</v>
      </c>
      <c r="K52" s="72">
        <f t="shared" si="1"/>
        <v>84147.349999999991</v>
      </c>
      <c r="L52" s="72">
        <f t="shared" si="0"/>
        <v>-13068802.984160431</v>
      </c>
      <c r="M52" s="70">
        <f t="shared" si="4"/>
        <v>-13573687.084160427</v>
      </c>
      <c r="N52" s="67">
        <f t="shared" si="5"/>
        <v>25208275.290861882</v>
      </c>
      <c r="O52" s="67">
        <f>E52+H52+L52</f>
        <v>24270633.390861884</v>
      </c>
      <c r="P52" s="67"/>
      <c r="Q52" s="76"/>
    </row>
    <row r="53" spans="2:19" hidden="1" outlineLevel="1">
      <c r="B53" s="69">
        <v>41029</v>
      </c>
      <c r="C53" s="80"/>
      <c r="D53" s="74"/>
      <c r="E53" s="74">
        <f t="shared" si="2"/>
        <v>43104804.375022314</v>
      </c>
      <c r="F53" s="70">
        <f t="shared" si="6"/>
        <v>43104804.375022307</v>
      </c>
      <c r="G53" s="74">
        <v>240421</v>
      </c>
      <c r="H53" s="72">
        <f t="shared" si="8"/>
        <v>-6005789</v>
      </c>
      <c r="I53" s="70">
        <f t="shared" si="9"/>
        <v>-4563263</v>
      </c>
      <c r="J53" s="70">
        <f t="shared" si="3"/>
        <v>38541541.375022307</v>
      </c>
      <c r="K53" s="72">
        <f t="shared" si="1"/>
        <v>84147.349999999991</v>
      </c>
      <c r="L53" s="72">
        <f t="shared" si="0"/>
        <v>-12984655.634160431</v>
      </c>
      <c r="M53" s="70">
        <f t="shared" si="4"/>
        <v>-13489539.734160425</v>
      </c>
      <c r="N53" s="67">
        <f t="shared" si="5"/>
        <v>25052001.640861884</v>
      </c>
      <c r="O53" s="67">
        <f t="shared" si="12"/>
        <v>24114359.740861885</v>
      </c>
      <c r="P53" s="67"/>
      <c r="Q53" s="76"/>
    </row>
    <row r="54" spans="2:19" hidden="1" outlineLevel="1">
      <c r="B54" s="77">
        <v>41060</v>
      </c>
      <c r="C54" s="80"/>
      <c r="D54" s="74"/>
      <c r="E54" s="74">
        <f t="shared" si="2"/>
        <v>43104804.375022314</v>
      </c>
      <c r="F54" s="70">
        <f t="shared" si="6"/>
        <v>43104804.375022307</v>
      </c>
      <c r="G54" s="74">
        <v>240421</v>
      </c>
      <c r="H54" s="70">
        <f t="shared" si="8"/>
        <v>-6246210</v>
      </c>
      <c r="I54" s="70">
        <f>(H42+H54+SUM(H43:H53)*2)/24</f>
        <v>-4803684</v>
      </c>
      <c r="J54" s="70">
        <f t="shared" si="3"/>
        <v>38301120.375022307</v>
      </c>
      <c r="K54" s="70">
        <f t="shared" si="1"/>
        <v>84147.349999999991</v>
      </c>
      <c r="L54" s="70">
        <f>L53+K54</f>
        <v>-12900508.284160431</v>
      </c>
      <c r="M54" s="70">
        <f t="shared" si="4"/>
        <v>-13405392.384160429</v>
      </c>
      <c r="N54" s="67">
        <f t="shared" si="5"/>
        <v>24895727.990861878</v>
      </c>
      <c r="O54" s="67">
        <f t="shared" si="12"/>
        <v>23958086.090861883</v>
      </c>
      <c r="P54" s="67"/>
      <c r="Q54" s="76"/>
    </row>
    <row r="55" spans="2:19" hidden="1" outlineLevel="1">
      <c r="B55" s="69">
        <v>41090</v>
      </c>
      <c r="C55" s="80"/>
      <c r="D55" s="74"/>
      <c r="E55" s="74">
        <f t="shared" si="2"/>
        <v>43104804.375022314</v>
      </c>
      <c r="F55" s="70">
        <f t="shared" si="6"/>
        <v>43104804.375022307</v>
      </c>
      <c r="G55" s="74">
        <f>G54</f>
        <v>240421</v>
      </c>
      <c r="H55" s="72">
        <f>H54-G55</f>
        <v>-6486631</v>
      </c>
      <c r="I55" s="70">
        <f t="shared" si="9"/>
        <v>-5044105</v>
      </c>
      <c r="J55" s="70">
        <f t="shared" si="3"/>
        <v>38060699.375022307</v>
      </c>
      <c r="K55" s="72">
        <v>84141</v>
      </c>
      <c r="L55" s="72">
        <f t="shared" si="0"/>
        <v>-12816367.284160431</v>
      </c>
      <c r="M55" s="70">
        <f t="shared" si="4"/>
        <v>-13321245.298743762</v>
      </c>
      <c r="N55" s="67">
        <f t="shared" si="5"/>
        <v>24739454.076278545</v>
      </c>
      <c r="O55" s="67">
        <f t="shared" si="12"/>
        <v>23801806.090861883</v>
      </c>
      <c r="P55" s="67"/>
      <c r="Q55" s="76"/>
    </row>
    <row r="56" spans="2:19" ht="12.75" hidden="1" customHeight="1" outlineLevel="1">
      <c r="B56" s="69">
        <v>41121</v>
      </c>
      <c r="C56" s="80"/>
      <c r="D56" s="74"/>
      <c r="E56" s="74">
        <f t="shared" si="2"/>
        <v>43104804.375022314</v>
      </c>
      <c r="F56" s="70">
        <f t="shared" si="6"/>
        <v>43104804.375022307</v>
      </c>
      <c r="G56" s="74">
        <f t="shared" ref="G56:G119" si="13">G55</f>
        <v>240421</v>
      </c>
      <c r="H56" s="72">
        <f t="shared" si="8"/>
        <v>-6727052</v>
      </c>
      <c r="I56" s="70">
        <f t="shared" si="9"/>
        <v>-5284526</v>
      </c>
      <c r="J56" s="70">
        <f t="shared" si="3"/>
        <v>37820278.375022307</v>
      </c>
      <c r="K56" s="72">
        <f t="shared" si="1"/>
        <v>84147.349999999991</v>
      </c>
      <c r="L56" s="72">
        <f t="shared" si="0"/>
        <v>-12732219.934160432</v>
      </c>
      <c r="M56" s="70">
        <f t="shared" si="4"/>
        <v>-13237098.477910429</v>
      </c>
      <c r="N56" s="67">
        <f t="shared" si="5"/>
        <v>24583179.897111878</v>
      </c>
      <c r="O56" s="67">
        <f t="shared" si="12"/>
        <v>23645532.440861881</v>
      </c>
      <c r="P56" s="67"/>
      <c r="Q56" s="76"/>
    </row>
    <row r="57" spans="2:19" ht="12.75" hidden="1" customHeight="1" outlineLevel="1">
      <c r="B57" s="69">
        <v>41152</v>
      </c>
      <c r="C57" s="80"/>
      <c r="D57" s="74"/>
      <c r="E57" s="74">
        <f t="shared" si="2"/>
        <v>43104804.375022314</v>
      </c>
      <c r="F57" s="70">
        <f t="shared" si="6"/>
        <v>43104804.375022307</v>
      </c>
      <c r="G57" s="74">
        <f t="shared" si="13"/>
        <v>240421</v>
      </c>
      <c r="H57" s="72">
        <f t="shared" si="8"/>
        <v>-6967473</v>
      </c>
      <c r="I57" s="70">
        <f t="shared" si="9"/>
        <v>-5524947</v>
      </c>
      <c r="J57" s="70">
        <f t="shared" si="3"/>
        <v>37579857.375022307</v>
      </c>
      <c r="K57" s="72">
        <f t="shared" si="1"/>
        <v>84147.349999999991</v>
      </c>
      <c r="L57" s="72">
        <f t="shared" si="0"/>
        <v>-12648072.584160432</v>
      </c>
      <c r="M57" s="70">
        <f t="shared" si="4"/>
        <v>-13152951.657077098</v>
      </c>
      <c r="N57" s="67">
        <f t="shared" si="5"/>
        <v>24426905.717945211</v>
      </c>
      <c r="O57" s="67">
        <f t="shared" si="12"/>
        <v>23489258.790861882</v>
      </c>
      <c r="P57" s="67"/>
      <c r="Q57" s="76"/>
    </row>
    <row r="58" spans="2:19" hidden="1" outlineLevel="1">
      <c r="B58" s="69">
        <v>41182</v>
      </c>
      <c r="C58" s="80"/>
      <c r="D58" s="74"/>
      <c r="E58" s="74">
        <f t="shared" si="2"/>
        <v>43104804.375022314</v>
      </c>
      <c r="F58" s="70">
        <f>(E46+E58+SUM(E47:E57)*2)/24</f>
        <v>43104804.375022307</v>
      </c>
      <c r="G58" s="74">
        <f t="shared" si="13"/>
        <v>240421</v>
      </c>
      <c r="H58" s="72">
        <f t="shared" si="8"/>
        <v>-7207894</v>
      </c>
      <c r="I58" s="70">
        <f t="shared" si="9"/>
        <v>-5765368</v>
      </c>
      <c r="J58" s="70">
        <f>F58+I58</f>
        <v>37339436.375022307</v>
      </c>
      <c r="K58" s="72">
        <f t="shared" si="1"/>
        <v>84147.349999999991</v>
      </c>
      <c r="L58" s="72">
        <f t="shared" si="0"/>
        <v>-12563925.234160433</v>
      </c>
      <c r="M58" s="70">
        <f>(L46+L58+SUM(L47:L57)*2)/24</f>
        <v>-13068804.836243764</v>
      </c>
      <c r="N58" s="67">
        <f t="shared" si="5"/>
        <v>24270631.538778543</v>
      </c>
      <c r="O58" s="67">
        <f t="shared" si="12"/>
        <v>23332985.140861884</v>
      </c>
      <c r="P58" s="67"/>
      <c r="Q58" s="76"/>
    </row>
    <row r="59" spans="2:19" hidden="1" outlineLevel="1">
      <c r="B59" s="69">
        <v>41213</v>
      </c>
      <c r="C59" s="80"/>
      <c r="D59" s="74"/>
      <c r="E59" s="74">
        <f t="shared" si="2"/>
        <v>43104804.375022314</v>
      </c>
      <c r="F59" s="70">
        <f t="shared" si="6"/>
        <v>43104804.375022307</v>
      </c>
      <c r="G59" s="74">
        <f t="shared" si="13"/>
        <v>240421</v>
      </c>
      <c r="H59" s="72">
        <f t="shared" si="8"/>
        <v>-7448315</v>
      </c>
      <c r="I59" s="70">
        <f t="shared" si="9"/>
        <v>-6005789</v>
      </c>
      <c r="J59" s="70">
        <f>F59+I59</f>
        <v>37099015.375022307</v>
      </c>
      <c r="K59" s="72">
        <f t="shared" si="1"/>
        <v>84147.349999999991</v>
      </c>
      <c r="L59" s="72">
        <f t="shared" si="0"/>
        <v>-12479777.884160433</v>
      </c>
      <c r="M59" s="70">
        <f>(L47+L59+SUM(L48:L58)*2)/24</f>
        <v>-12984658.015410433</v>
      </c>
      <c r="N59" s="67">
        <f t="shared" si="5"/>
        <v>24114357.359611876</v>
      </c>
      <c r="O59" s="67">
        <f t="shared" si="12"/>
        <v>23176711.490861882</v>
      </c>
      <c r="P59" s="67"/>
      <c r="Q59" s="76"/>
    </row>
    <row r="60" spans="2:19" ht="12.75" hidden="1" customHeight="1" outlineLevel="1">
      <c r="B60" s="69">
        <v>41243</v>
      </c>
      <c r="C60" s="80"/>
      <c r="D60" s="74"/>
      <c r="E60" s="74">
        <f t="shared" si="2"/>
        <v>43104804.375022314</v>
      </c>
      <c r="F60" s="70">
        <f t="shared" si="6"/>
        <v>43104804.375022307</v>
      </c>
      <c r="G60" s="74">
        <f t="shared" si="13"/>
        <v>240421</v>
      </c>
      <c r="H60" s="72">
        <f t="shared" si="8"/>
        <v>-7688736</v>
      </c>
      <c r="I60" s="70">
        <f t="shared" si="9"/>
        <v>-6246210</v>
      </c>
      <c r="J60" s="70">
        <f t="shared" si="3"/>
        <v>36858594.375022307</v>
      </c>
      <c r="K60" s="72">
        <f t="shared" si="1"/>
        <v>84147.349999999991</v>
      </c>
      <c r="L60" s="72">
        <f t="shared" si="0"/>
        <v>-12395630.534160433</v>
      </c>
      <c r="M60" s="70">
        <f>(L48+L60+SUM(L49:L59)*2)/24</f>
        <v>-12900511.194577098</v>
      </c>
      <c r="N60" s="67">
        <f t="shared" si="5"/>
        <v>23958083.180445209</v>
      </c>
      <c r="O60" s="67">
        <f t="shared" si="12"/>
        <v>23020437.840861879</v>
      </c>
      <c r="P60" s="67"/>
      <c r="Q60" s="76"/>
    </row>
    <row r="61" spans="2:19" hidden="1" outlineLevel="1">
      <c r="B61" s="69">
        <v>41274</v>
      </c>
      <c r="C61" s="80"/>
      <c r="D61" s="74"/>
      <c r="E61" s="74">
        <f t="shared" si="2"/>
        <v>43104804.375022314</v>
      </c>
      <c r="F61" s="70">
        <f t="shared" si="6"/>
        <v>43104804.375022307</v>
      </c>
      <c r="G61" s="74">
        <f t="shared" si="13"/>
        <v>240421</v>
      </c>
      <c r="H61" s="72">
        <f t="shared" si="8"/>
        <v>-7929157</v>
      </c>
      <c r="I61" s="70">
        <f t="shared" si="9"/>
        <v>-6486631</v>
      </c>
      <c r="J61" s="70">
        <f t="shared" si="3"/>
        <v>36618173.375022307</v>
      </c>
      <c r="K61" s="72">
        <f t="shared" si="1"/>
        <v>84147.349999999991</v>
      </c>
      <c r="L61" s="72">
        <f t="shared" si="0"/>
        <v>-12311483.184160434</v>
      </c>
      <c r="M61" s="70">
        <f t="shared" si="4"/>
        <v>-12816364.373743763</v>
      </c>
      <c r="N61" s="67">
        <f t="shared" si="5"/>
        <v>23801809.001278542</v>
      </c>
      <c r="O61" s="67">
        <f t="shared" si="12"/>
        <v>22864164.190861881</v>
      </c>
      <c r="P61" s="67"/>
      <c r="Q61" s="76"/>
    </row>
    <row r="62" spans="2:19" hidden="1" outlineLevel="1">
      <c r="B62" s="69">
        <v>41305</v>
      </c>
      <c r="C62" s="80"/>
      <c r="D62" s="74"/>
      <c r="E62" s="74">
        <f t="shared" si="2"/>
        <v>43104804.375022314</v>
      </c>
      <c r="F62" s="70">
        <f t="shared" si="6"/>
        <v>43104804.375022307</v>
      </c>
      <c r="G62" s="74">
        <f t="shared" si="13"/>
        <v>240421</v>
      </c>
      <c r="H62" s="72">
        <f t="shared" si="8"/>
        <v>-8169578</v>
      </c>
      <c r="I62" s="70">
        <f t="shared" si="9"/>
        <v>-6727052</v>
      </c>
      <c r="J62" s="70">
        <f t="shared" si="3"/>
        <v>36377752.375022307</v>
      </c>
      <c r="K62" s="72">
        <f t="shared" si="1"/>
        <v>84147.349999999991</v>
      </c>
      <c r="L62" s="72">
        <f t="shared" si="0"/>
        <v>-12227335.834160434</v>
      </c>
      <c r="M62" s="70">
        <f>(L50+L62+SUM(L51:L61)*2)/24</f>
        <v>-12732217.552910432</v>
      </c>
      <c r="N62" s="67">
        <f t="shared" si="5"/>
        <v>23645534.822111875</v>
      </c>
      <c r="O62" s="67">
        <f t="shared" si="12"/>
        <v>22707890.540861882</v>
      </c>
      <c r="P62" s="67"/>
      <c r="Q62" s="76"/>
      <c r="S62" s="76"/>
    </row>
    <row r="63" spans="2:19" hidden="1" outlineLevel="1">
      <c r="B63" s="69">
        <v>41333</v>
      </c>
      <c r="C63" s="80"/>
      <c r="D63" s="74"/>
      <c r="E63" s="74">
        <f t="shared" si="2"/>
        <v>43104804.375022314</v>
      </c>
      <c r="F63" s="70">
        <f t="shared" si="6"/>
        <v>43104804.375022307</v>
      </c>
      <c r="G63" s="74">
        <f t="shared" si="13"/>
        <v>240421</v>
      </c>
      <c r="H63" s="72">
        <f t="shared" si="8"/>
        <v>-8409999</v>
      </c>
      <c r="I63" s="70">
        <f t="shared" si="9"/>
        <v>-6967473</v>
      </c>
      <c r="J63" s="70">
        <f t="shared" si="3"/>
        <v>36137331.375022307</v>
      </c>
      <c r="K63" s="72">
        <f t="shared" si="1"/>
        <v>84147.349999999991</v>
      </c>
      <c r="L63" s="72">
        <f t="shared" si="0"/>
        <v>-12143188.484160434</v>
      </c>
      <c r="M63" s="70">
        <f t="shared" si="4"/>
        <v>-12648070.732077099</v>
      </c>
      <c r="N63" s="67">
        <f t="shared" si="5"/>
        <v>23489260.642945208</v>
      </c>
      <c r="O63" s="67">
        <f t="shared" si="12"/>
        <v>22551616.89086188</v>
      </c>
      <c r="P63" s="67"/>
      <c r="Q63" s="76"/>
    </row>
    <row r="64" spans="2:19" hidden="1" outlineLevel="1">
      <c r="B64" s="77">
        <v>41364</v>
      </c>
      <c r="C64" s="80"/>
      <c r="D64" s="74"/>
      <c r="E64" s="74">
        <f t="shared" si="2"/>
        <v>43104804.375022314</v>
      </c>
      <c r="F64" s="70">
        <f t="shared" si="6"/>
        <v>43104804.375022307</v>
      </c>
      <c r="G64" s="74">
        <f t="shared" si="13"/>
        <v>240421</v>
      </c>
      <c r="H64" s="72">
        <f t="shared" si="8"/>
        <v>-8650420</v>
      </c>
      <c r="I64" s="70">
        <f t="shared" si="9"/>
        <v>-7207894</v>
      </c>
      <c r="J64" s="70">
        <f t="shared" si="3"/>
        <v>35896910.375022307</v>
      </c>
      <c r="K64" s="72">
        <f t="shared" si="1"/>
        <v>84147.349999999991</v>
      </c>
      <c r="L64" s="72">
        <f t="shared" si="0"/>
        <v>-12059041.134160435</v>
      </c>
      <c r="M64" s="70">
        <f t="shared" si="4"/>
        <v>-12563923.911243767</v>
      </c>
      <c r="N64" s="67">
        <f t="shared" si="5"/>
        <v>23332986.46377854</v>
      </c>
      <c r="O64" s="67">
        <f t="shared" si="12"/>
        <v>22395343.240861878</v>
      </c>
      <c r="P64" s="67"/>
      <c r="Q64" s="76"/>
    </row>
    <row r="65" spans="2:17" hidden="1" outlineLevel="1">
      <c r="B65" s="69">
        <v>41394</v>
      </c>
      <c r="C65" s="80"/>
      <c r="D65" s="74"/>
      <c r="E65" s="74">
        <f t="shared" si="2"/>
        <v>43104804.375022314</v>
      </c>
      <c r="F65" s="70">
        <f t="shared" si="6"/>
        <v>43104804.375022307</v>
      </c>
      <c r="G65" s="74">
        <f t="shared" si="13"/>
        <v>240421</v>
      </c>
      <c r="H65" s="72">
        <f t="shared" si="8"/>
        <v>-8890841</v>
      </c>
      <c r="I65" s="70">
        <f t="shared" si="9"/>
        <v>-7448315</v>
      </c>
      <c r="J65" s="70">
        <f t="shared" si="3"/>
        <v>35656489.375022307</v>
      </c>
      <c r="K65" s="72">
        <f t="shared" si="1"/>
        <v>84147.349999999991</v>
      </c>
      <c r="L65" s="72">
        <f t="shared" si="0"/>
        <v>-11974893.784160435</v>
      </c>
      <c r="M65" s="70">
        <f t="shared" si="4"/>
        <v>-12479777.090410432</v>
      </c>
      <c r="N65" s="67">
        <f t="shared" si="5"/>
        <v>23176712.284611873</v>
      </c>
      <c r="O65" s="67">
        <f t="shared" si="12"/>
        <v>22239069.590861879</v>
      </c>
      <c r="P65" s="67"/>
      <c r="Q65" s="76"/>
    </row>
    <row r="66" spans="2:17" hidden="1" outlineLevel="1">
      <c r="B66" s="69">
        <v>41425</v>
      </c>
      <c r="C66" s="80"/>
      <c r="D66" s="74"/>
      <c r="E66" s="74">
        <f t="shared" si="2"/>
        <v>43104804.375022314</v>
      </c>
      <c r="F66" s="70">
        <f t="shared" si="6"/>
        <v>43104804.375022307</v>
      </c>
      <c r="G66" s="74">
        <f t="shared" si="13"/>
        <v>240421</v>
      </c>
      <c r="H66" s="72">
        <f t="shared" si="8"/>
        <v>-9131262</v>
      </c>
      <c r="I66" s="70">
        <f t="shared" si="9"/>
        <v>-7688736</v>
      </c>
      <c r="J66" s="70">
        <f t="shared" si="3"/>
        <v>35416068.375022307</v>
      </c>
      <c r="K66" s="72">
        <f t="shared" si="1"/>
        <v>84147.349999999991</v>
      </c>
      <c r="L66" s="72">
        <f t="shared" si="0"/>
        <v>-11890746.434160436</v>
      </c>
      <c r="M66" s="70">
        <f t="shared" si="4"/>
        <v>-12395630.269577099</v>
      </c>
      <c r="N66" s="67">
        <f t="shared" si="5"/>
        <v>23020438.105445206</v>
      </c>
      <c r="O66" s="67">
        <f t="shared" si="12"/>
        <v>22082795.940861881</v>
      </c>
      <c r="P66" s="67"/>
      <c r="Q66" s="76"/>
    </row>
    <row r="67" spans="2:17" hidden="1" outlineLevel="1">
      <c r="B67" s="69">
        <v>41455</v>
      </c>
      <c r="C67" s="80"/>
      <c r="D67" s="74"/>
      <c r="E67" s="74">
        <f t="shared" si="2"/>
        <v>43104804.375022314</v>
      </c>
      <c r="F67" s="70">
        <f t="shared" si="6"/>
        <v>43104804.375022307</v>
      </c>
      <c r="G67" s="74">
        <f t="shared" si="13"/>
        <v>240421</v>
      </c>
      <c r="H67" s="72">
        <f t="shared" si="8"/>
        <v>-9371683</v>
      </c>
      <c r="I67" s="70">
        <f t="shared" si="9"/>
        <v>-7929157</v>
      </c>
      <c r="J67" s="70">
        <f t="shared" si="3"/>
        <v>35175647.375022307</v>
      </c>
      <c r="K67" s="72">
        <f t="shared" si="1"/>
        <v>84147.349999999991</v>
      </c>
      <c r="L67" s="72">
        <f t="shared" si="0"/>
        <v>-11806599.084160436</v>
      </c>
      <c r="M67" s="70">
        <f t="shared" si="4"/>
        <v>-12311483.184160434</v>
      </c>
      <c r="N67" s="67">
        <f t="shared" si="5"/>
        <v>22864164.190861873</v>
      </c>
      <c r="O67" s="67">
        <f t="shared" si="12"/>
        <v>21926522.290861879</v>
      </c>
      <c r="P67" s="67"/>
      <c r="Q67" s="76"/>
    </row>
    <row r="68" spans="2:17" hidden="1" outlineLevel="1">
      <c r="B68" s="69">
        <v>41486</v>
      </c>
      <c r="C68" s="80"/>
      <c r="D68" s="74"/>
      <c r="E68" s="74">
        <f t="shared" si="2"/>
        <v>43104804.375022314</v>
      </c>
      <c r="F68" s="70">
        <f t="shared" si="6"/>
        <v>43104804.375022307</v>
      </c>
      <c r="G68" s="74">
        <f t="shared" si="13"/>
        <v>240421</v>
      </c>
      <c r="H68" s="72">
        <f t="shared" si="8"/>
        <v>-9612104</v>
      </c>
      <c r="I68" s="70">
        <f t="shared" si="9"/>
        <v>-8169578</v>
      </c>
      <c r="J68" s="70">
        <f t="shared" si="3"/>
        <v>34935226.375022307</v>
      </c>
      <c r="K68" s="72">
        <f t="shared" si="1"/>
        <v>84147.349999999991</v>
      </c>
      <c r="L68" s="72">
        <f t="shared" si="0"/>
        <v>-11722451.734160436</v>
      </c>
      <c r="M68" s="70">
        <f t="shared" si="4"/>
        <v>-12227335.834160438</v>
      </c>
      <c r="N68" s="67">
        <f t="shared" si="5"/>
        <v>22707890.540861867</v>
      </c>
      <c r="O68" s="67">
        <f t="shared" si="12"/>
        <v>21770248.640861876</v>
      </c>
      <c r="P68" s="67"/>
      <c r="Q68" s="76"/>
    </row>
    <row r="69" spans="2:17" hidden="1" outlineLevel="1">
      <c r="B69" s="69">
        <v>41517</v>
      </c>
      <c r="C69" s="80"/>
      <c r="D69" s="74"/>
      <c r="E69" s="74">
        <f t="shared" si="2"/>
        <v>43104804.375022314</v>
      </c>
      <c r="F69" s="70">
        <f t="shared" si="6"/>
        <v>43104804.375022307</v>
      </c>
      <c r="G69" s="74">
        <f t="shared" si="13"/>
        <v>240421</v>
      </c>
      <c r="H69" s="72">
        <f t="shared" si="8"/>
        <v>-9852525</v>
      </c>
      <c r="I69" s="70">
        <f t="shared" si="9"/>
        <v>-8409999</v>
      </c>
      <c r="J69" s="70">
        <f t="shared" si="3"/>
        <v>34694805.375022307</v>
      </c>
      <c r="K69" s="72">
        <f t="shared" si="1"/>
        <v>84147.349999999991</v>
      </c>
      <c r="L69" s="72">
        <f t="shared" si="0"/>
        <v>-11638304.384160437</v>
      </c>
      <c r="M69" s="70">
        <f t="shared" si="4"/>
        <v>-12143188.484160433</v>
      </c>
      <c r="N69" s="67">
        <f t="shared" si="5"/>
        <v>22551616.890861876</v>
      </c>
      <c r="O69" s="67">
        <f t="shared" si="12"/>
        <v>21613974.990861878</v>
      </c>
      <c r="P69" s="67"/>
      <c r="Q69" s="76"/>
    </row>
    <row r="70" spans="2:17" hidden="1" outlineLevel="1">
      <c r="B70" s="69">
        <v>41547</v>
      </c>
      <c r="C70" s="80"/>
      <c r="D70" s="74"/>
      <c r="E70" s="74">
        <f t="shared" si="2"/>
        <v>43104804.375022314</v>
      </c>
      <c r="F70" s="70">
        <f t="shared" si="6"/>
        <v>43104804.375022307</v>
      </c>
      <c r="G70" s="74">
        <f t="shared" si="13"/>
        <v>240421</v>
      </c>
      <c r="H70" s="72">
        <f t="shared" si="8"/>
        <v>-10092946</v>
      </c>
      <c r="I70" s="70">
        <f t="shared" si="9"/>
        <v>-8650420</v>
      </c>
      <c r="J70" s="70">
        <f t="shared" si="3"/>
        <v>34454384.375022307</v>
      </c>
      <c r="K70" s="72">
        <f t="shared" si="1"/>
        <v>84147.349999999991</v>
      </c>
      <c r="L70" s="72">
        <f t="shared" si="0"/>
        <v>-11554157.034160437</v>
      </c>
      <c r="M70" s="70">
        <f t="shared" si="4"/>
        <v>-12059041.134160435</v>
      </c>
      <c r="N70" s="67">
        <f t="shared" si="5"/>
        <v>22395343.24086187</v>
      </c>
      <c r="O70" s="67">
        <f t="shared" si="12"/>
        <v>21457701.340861879</v>
      </c>
      <c r="P70" s="67"/>
      <c r="Q70" s="76"/>
    </row>
    <row r="71" spans="2:17" hidden="1" outlineLevel="1">
      <c r="B71" s="69">
        <v>41578</v>
      </c>
      <c r="C71" s="80"/>
      <c r="D71" s="74"/>
      <c r="E71" s="74">
        <f t="shared" si="2"/>
        <v>43104804.375022314</v>
      </c>
      <c r="F71" s="70">
        <f t="shared" si="6"/>
        <v>43104804.375022307</v>
      </c>
      <c r="G71" s="74">
        <f t="shared" si="13"/>
        <v>240421</v>
      </c>
      <c r="H71" s="72">
        <f t="shared" si="8"/>
        <v>-10333367</v>
      </c>
      <c r="I71" s="70">
        <f t="shared" si="9"/>
        <v>-8890841</v>
      </c>
      <c r="J71" s="70">
        <f t="shared" si="3"/>
        <v>34213963.375022307</v>
      </c>
      <c r="K71" s="72">
        <f t="shared" si="1"/>
        <v>84147.349999999991</v>
      </c>
      <c r="L71" s="72">
        <f t="shared" si="0"/>
        <v>-11470009.684160437</v>
      </c>
      <c r="M71" s="70">
        <f t="shared" si="4"/>
        <v>-11974893.784160435</v>
      </c>
      <c r="N71" s="67">
        <f t="shared" si="5"/>
        <v>22239069.590861872</v>
      </c>
      <c r="O71" s="67">
        <f t="shared" si="12"/>
        <v>21301427.690861877</v>
      </c>
      <c r="P71" s="67"/>
      <c r="Q71" s="76"/>
    </row>
    <row r="72" spans="2:17" hidden="1" outlineLevel="1">
      <c r="B72" s="69">
        <v>41608</v>
      </c>
      <c r="C72" s="80"/>
      <c r="D72" s="74"/>
      <c r="E72" s="74">
        <f t="shared" si="2"/>
        <v>43104804.375022314</v>
      </c>
      <c r="F72" s="70">
        <f t="shared" si="6"/>
        <v>43104804.375022307</v>
      </c>
      <c r="G72" s="74">
        <f t="shared" si="13"/>
        <v>240421</v>
      </c>
      <c r="H72" s="72">
        <f t="shared" si="8"/>
        <v>-10573788</v>
      </c>
      <c r="I72" s="70">
        <f t="shared" si="9"/>
        <v>-9131262</v>
      </c>
      <c r="J72" s="70">
        <f t="shared" si="3"/>
        <v>33973542.375022307</v>
      </c>
      <c r="K72" s="72">
        <f t="shared" si="1"/>
        <v>84147.349999999991</v>
      </c>
      <c r="L72" s="72">
        <f t="shared" si="0"/>
        <v>-11385862.334160438</v>
      </c>
      <c r="M72" s="70">
        <f t="shared" si="4"/>
        <v>-11890746.434160436</v>
      </c>
      <c r="N72" s="67">
        <f t="shared" si="5"/>
        <v>22082795.940861873</v>
      </c>
      <c r="O72" s="67">
        <f t="shared" si="12"/>
        <v>21145154.040861875</v>
      </c>
      <c r="P72" s="67"/>
      <c r="Q72" s="76"/>
    </row>
    <row r="73" spans="2:17" hidden="1" outlineLevel="1">
      <c r="B73" s="69">
        <v>41639</v>
      </c>
      <c r="C73" s="80"/>
      <c r="D73" s="74"/>
      <c r="E73" s="74">
        <f t="shared" si="2"/>
        <v>43104804.375022314</v>
      </c>
      <c r="F73" s="70">
        <f t="shared" si="6"/>
        <v>43104804.375022307</v>
      </c>
      <c r="G73" s="74">
        <f t="shared" si="13"/>
        <v>240421</v>
      </c>
      <c r="H73" s="72">
        <f t="shared" si="8"/>
        <v>-10814209</v>
      </c>
      <c r="I73" s="70">
        <f t="shared" si="9"/>
        <v>-9371683</v>
      </c>
      <c r="J73" s="70">
        <f t="shared" si="3"/>
        <v>33733121.375022307</v>
      </c>
      <c r="K73" s="72">
        <f>(-D73*0.35)+(G73*0.35)+7</f>
        <v>84154.349999999991</v>
      </c>
      <c r="L73" s="72">
        <f t="shared" si="0"/>
        <v>-11301707.984160438</v>
      </c>
      <c r="M73" s="70">
        <f t="shared" si="4"/>
        <v>-11806598.792493768</v>
      </c>
      <c r="N73" s="67">
        <f t="shared" si="5"/>
        <v>21926522.582528539</v>
      </c>
      <c r="O73" s="67">
        <f t="shared" si="12"/>
        <v>20988887.390861876</v>
      </c>
      <c r="P73" s="67"/>
      <c r="Q73" s="76"/>
    </row>
    <row r="74" spans="2:17" hidden="1" outlineLevel="1">
      <c r="B74" s="69">
        <v>41670</v>
      </c>
      <c r="C74" s="80"/>
      <c r="D74" s="74"/>
      <c r="E74" s="74">
        <f t="shared" si="2"/>
        <v>43104804.375022314</v>
      </c>
      <c r="F74" s="70">
        <f t="shared" si="6"/>
        <v>43104804.375022307</v>
      </c>
      <c r="G74" s="74">
        <f t="shared" si="13"/>
        <v>240421</v>
      </c>
      <c r="H74" s="72">
        <f t="shared" si="8"/>
        <v>-11054630</v>
      </c>
      <c r="I74" s="70">
        <f t="shared" si="9"/>
        <v>-9612104</v>
      </c>
      <c r="J74" s="70">
        <f t="shared" si="3"/>
        <v>33492700.375022307</v>
      </c>
      <c r="K74" s="72">
        <f t="shared" si="1"/>
        <v>84147.349999999991</v>
      </c>
      <c r="L74" s="72">
        <f t="shared" si="0"/>
        <v>-11217560.634160439</v>
      </c>
      <c r="M74" s="70">
        <f t="shared" si="4"/>
        <v>-11722450.859160436</v>
      </c>
      <c r="N74" s="67">
        <f t="shared" si="5"/>
        <v>21770249.515861869</v>
      </c>
      <c r="O74" s="67">
        <f t="shared" si="12"/>
        <v>20832613.740861878</v>
      </c>
      <c r="P74" s="67"/>
      <c r="Q74" s="76"/>
    </row>
    <row r="75" spans="2:17" hidden="1" outlineLevel="1">
      <c r="B75" s="69">
        <v>41698</v>
      </c>
      <c r="C75" s="80"/>
      <c r="D75" s="74"/>
      <c r="E75" s="74">
        <f t="shared" si="2"/>
        <v>43104804.375022314</v>
      </c>
      <c r="F75" s="70">
        <f t="shared" si="6"/>
        <v>43104804.375022307</v>
      </c>
      <c r="G75" s="74">
        <f t="shared" si="13"/>
        <v>240421</v>
      </c>
      <c r="H75" s="72">
        <f t="shared" si="8"/>
        <v>-11295051</v>
      </c>
      <c r="I75" s="70">
        <f t="shared" si="9"/>
        <v>-9852525</v>
      </c>
      <c r="J75" s="70">
        <f t="shared" si="3"/>
        <v>33252279.375022307</v>
      </c>
      <c r="K75" s="72">
        <f t="shared" si="1"/>
        <v>84147.349999999991</v>
      </c>
      <c r="L75" s="72">
        <f t="shared" si="0"/>
        <v>-11133413.284160439</v>
      </c>
      <c r="M75" s="70">
        <f t="shared" si="4"/>
        <v>-11638302.925827103</v>
      </c>
      <c r="N75" s="67">
        <f t="shared" si="5"/>
        <v>21613976.449195206</v>
      </c>
      <c r="O75" s="67">
        <f t="shared" si="12"/>
        <v>20676340.090861876</v>
      </c>
      <c r="P75" s="67"/>
      <c r="Q75" s="76"/>
    </row>
    <row r="76" spans="2:17" hidden="1" outlineLevel="1">
      <c r="B76" s="77">
        <v>41729</v>
      </c>
      <c r="C76" s="80"/>
      <c r="D76" s="76"/>
      <c r="E76" s="74">
        <f t="shared" si="2"/>
        <v>43104804.375022314</v>
      </c>
      <c r="F76" s="70">
        <f t="shared" si="6"/>
        <v>43104804.375022307</v>
      </c>
      <c r="G76" s="74">
        <f t="shared" si="13"/>
        <v>240421</v>
      </c>
      <c r="H76" s="72">
        <f t="shared" si="8"/>
        <v>-11535472</v>
      </c>
      <c r="I76" s="70">
        <f t="shared" si="9"/>
        <v>-10092946</v>
      </c>
      <c r="J76" s="70">
        <f t="shared" si="3"/>
        <v>33011858.375022307</v>
      </c>
      <c r="K76" s="72">
        <f t="shared" si="1"/>
        <v>84147.349999999991</v>
      </c>
      <c r="L76" s="72">
        <f t="shared" si="0"/>
        <v>-11049265.934160439</v>
      </c>
      <c r="M76" s="70">
        <f t="shared" si="4"/>
        <v>-11554154.992493771</v>
      </c>
      <c r="N76" s="67">
        <f t="shared" si="5"/>
        <v>21457703.382528536</v>
      </c>
      <c r="O76" s="67">
        <f t="shared" si="12"/>
        <v>20520066.440861873</v>
      </c>
      <c r="P76" s="65"/>
      <c r="Q76" s="76"/>
    </row>
    <row r="77" spans="2:17" hidden="1" outlineLevel="1">
      <c r="B77" s="69">
        <v>41759</v>
      </c>
      <c r="C77" s="80"/>
      <c r="D77" s="76"/>
      <c r="E77" s="74">
        <f t="shared" si="2"/>
        <v>43104804.375022314</v>
      </c>
      <c r="F77" s="70">
        <f t="shared" si="6"/>
        <v>43104804.375022307</v>
      </c>
      <c r="G77" s="74">
        <f t="shared" si="13"/>
        <v>240421</v>
      </c>
      <c r="H77" s="72">
        <f t="shared" si="8"/>
        <v>-11775893</v>
      </c>
      <c r="I77" s="70">
        <f t="shared" si="9"/>
        <v>-10333367</v>
      </c>
      <c r="J77" s="70">
        <f t="shared" si="3"/>
        <v>32771437.375022307</v>
      </c>
      <c r="K77" s="72">
        <f t="shared" si="1"/>
        <v>84147.349999999991</v>
      </c>
      <c r="L77" s="72">
        <f t="shared" ref="L77:L140" si="14">L76+K77</f>
        <v>-10965118.58416044</v>
      </c>
      <c r="M77" s="70">
        <f t="shared" si="4"/>
        <v>-11470007.059160436</v>
      </c>
      <c r="N77" s="67">
        <f t="shared" si="5"/>
        <v>21301430.315861873</v>
      </c>
      <c r="O77" s="67">
        <f t="shared" si="12"/>
        <v>20363792.790861875</v>
      </c>
      <c r="P77" s="65"/>
      <c r="Q77" s="76"/>
    </row>
    <row r="78" spans="2:17" hidden="1" outlineLevel="1">
      <c r="B78" s="69">
        <v>41790</v>
      </c>
      <c r="C78" s="80"/>
      <c r="D78" s="76"/>
      <c r="E78" s="74">
        <f t="shared" si="2"/>
        <v>43104804.375022314</v>
      </c>
      <c r="F78" s="70">
        <f t="shared" si="6"/>
        <v>43104804.375022307</v>
      </c>
      <c r="G78" s="74">
        <f t="shared" si="13"/>
        <v>240421</v>
      </c>
      <c r="H78" s="72">
        <f t="shared" si="8"/>
        <v>-12016314</v>
      </c>
      <c r="I78" s="70">
        <f t="shared" si="9"/>
        <v>-10573788</v>
      </c>
      <c r="J78" s="70">
        <f t="shared" si="3"/>
        <v>32531016.375022307</v>
      </c>
      <c r="K78" s="72">
        <f t="shared" ref="K78:K121" si="15">(-D78*0.35)+(G78*0.35)</f>
        <v>84147.349999999991</v>
      </c>
      <c r="L78" s="72">
        <f t="shared" si="14"/>
        <v>-10880971.23416044</v>
      </c>
      <c r="M78" s="70">
        <f t="shared" si="4"/>
        <v>-11385859.125827104</v>
      </c>
      <c r="N78" s="67">
        <f t="shared" si="5"/>
        <v>21145157.249195203</v>
      </c>
      <c r="O78" s="67">
        <f t="shared" si="12"/>
        <v>20207519.140861876</v>
      </c>
      <c r="P78" s="65"/>
      <c r="Q78" s="76"/>
    </row>
    <row r="79" spans="2:17" hidden="1" outlineLevel="1">
      <c r="B79" s="69">
        <v>41820</v>
      </c>
      <c r="C79" s="80"/>
      <c r="D79" s="76"/>
      <c r="E79" s="74">
        <f t="shared" si="2"/>
        <v>43104804.375022314</v>
      </c>
      <c r="F79" s="70">
        <f t="shared" si="6"/>
        <v>43104804.375022307</v>
      </c>
      <c r="G79" s="74">
        <f t="shared" si="13"/>
        <v>240421</v>
      </c>
      <c r="H79" s="72">
        <f t="shared" si="8"/>
        <v>-12256735</v>
      </c>
      <c r="I79" s="70">
        <f t="shared" si="9"/>
        <v>-10814209</v>
      </c>
      <c r="J79" s="70">
        <f t="shared" si="3"/>
        <v>32290595.375022307</v>
      </c>
      <c r="K79" s="72">
        <f t="shared" si="15"/>
        <v>84147.349999999991</v>
      </c>
      <c r="L79" s="72">
        <f t="shared" si="14"/>
        <v>-10796823.88416044</v>
      </c>
      <c r="M79" s="70">
        <f t="shared" si="4"/>
        <v>-11301711.192493772</v>
      </c>
      <c r="N79" s="67">
        <f t="shared" si="5"/>
        <v>20988884.182528533</v>
      </c>
      <c r="O79" s="67">
        <f t="shared" si="12"/>
        <v>20051245.490861874</v>
      </c>
      <c r="P79" s="65"/>
      <c r="Q79" s="76"/>
    </row>
    <row r="80" spans="2:17" hidden="1" outlineLevel="1">
      <c r="B80" s="69">
        <v>41851</v>
      </c>
      <c r="C80" s="80"/>
      <c r="D80" s="76"/>
      <c r="E80" s="74">
        <f t="shared" ref="E80:E143" si="16">E79+D80</f>
        <v>43104804.375022314</v>
      </c>
      <c r="F80" s="70">
        <f t="shared" si="6"/>
        <v>43104804.375022307</v>
      </c>
      <c r="G80" s="74">
        <f t="shared" si="13"/>
        <v>240421</v>
      </c>
      <c r="H80" s="72">
        <f t="shared" si="8"/>
        <v>-12497156</v>
      </c>
      <c r="I80" s="70">
        <f t="shared" si="9"/>
        <v>-11054630</v>
      </c>
      <c r="J80" s="70">
        <f t="shared" si="3"/>
        <v>32050174.375022307</v>
      </c>
      <c r="K80" s="72">
        <f t="shared" si="15"/>
        <v>84147.349999999991</v>
      </c>
      <c r="L80" s="72">
        <f t="shared" si="14"/>
        <v>-10712676.534160441</v>
      </c>
      <c r="M80" s="70">
        <f t="shared" si="4"/>
        <v>-11217563.259160437</v>
      </c>
      <c r="N80" s="67">
        <f t="shared" si="5"/>
        <v>20832611.11586187</v>
      </c>
      <c r="O80" s="67">
        <f t="shared" si="12"/>
        <v>19894971.840861872</v>
      </c>
      <c r="P80" s="65"/>
      <c r="Q80" s="76"/>
    </row>
    <row r="81" spans="2:17" hidden="1" outlineLevel="1">
      <c r="B81" s="69">
        <v>41882</v>
      </c>
      <c r="C81" s="80"/>
      <c r="D81" s="76"/>
      <c r="E81" s="74">
        <f t="shared" si="16"/>
        <v>43104804.375022314</v>
      </c>
      <c r="F81" s="70">
        <f t="shared" si="6"/>
        <v>43104804.375022307</v>
      </c>
      <c r="G81" s="74">
        <f t="shared" si="13"/>
        <v>240421</v>
      </c>
      <c r="H81" s="72">
        <f t="shared" si="8"/>
        <v>-12737577</v>
      </c>
      <c r="I81" s="70">
        <f t="shared" si="9"/>
        <v>-11295051</v>
      </c>
      <c r="J81" s="70">
        <f t="shared" si="3"/>
        <v>31809753.375022307</v>
      </c>
      <c r="K81" s="72">
        <f t="shared" si="15"/>
        <v>84147.349999999991</v>
      </c>
      <c r="L81" s="72">
        <f t="shared" si="14"/>
        <v>-10628529.184160441</v>
      </c>
      <c r="M81" s="70">
        <f t="shared" si="4"/>
        <v>-11133415.325827105</v>
      </c>
      <c r="N81" s="67">
        <f t="shared" si="5"/>
        <v>20676338.0491952</v>
      </c>
      <c r="O81" s="67">
        <f t="shared" si="12"/>
        <v>19738698.190861873</v>
      </c>
      <c r="P81" s="65"/>
      <c r="Q81" s="76"/>
    </row>
    <row r="82" spans="2:17" ht="12.75" hidden="1" customHeight="1" outlineLevel="1">
      <c r="B82" s="69">
        <v>41912</v>
      </c>
      <c r="C82" s="80"/>
      <c r="D82" s="76"/>
      <c r="E82" s="74">
        <f t="shared" si="16"/>
        <v>43104804.375022314</v>
      </c>
      <c r="F82" s="70">
        <f t="shared" si="6"/>
        <v>43104804.375022307</v>
      </c>
      <c r="G82" s="74">
        <f t="shared" si="13"/>
        <v>240421</v>
      </c>
      <c r="H82" s="72">
        <f t="shared" si="8"/>
        <v>-12977998</v>
      </c>
      <c r="I82" s="70">
        <f t="shared" si="9"/>
        <v>-11535472</v>
      </c>
      <c r="J82" s="70">
        <f t="shared" si="3"/>
        <v>31569332.375022307</v>
      </c>
      <c r="K82" s="72">
        <f t="shared" si="15"/>
        <v>84147.349999999991</v>
      </c>
      <c r="L82" s="72">
        <f t="shared" si="14"/>
        <v>-10544381.834160442</v>
      </c>
      <c r="M82" s="70">
        <f t="shared" si="4"/>
        <v>-11049267.392493771</v>
      </c>
      <c r="N82" s="67">
        <f t="shared" si="5"/>
        <v>20520064.982528538</v>
      </c>
      <c r="O82" s="67">
        <f t="shared" si="12"/>
        <v>19582424.540861875</v>
      </c>
      <c r="P82" s="65"/>
      <c r="Q82" s="76"/>
    </row>
    <row r="83" spans="2:17" ht="12.75" hidden="1" customHeight="1" outlineLevel="1">
      <c r="B83" s="69">
        <v>41943</v>
      </c>
      <c r="C83" s="80"/>
      <c r="D83" s="76"/>
      <c r="E83" s="74">
        <f t="shared" si="16"/>
        <v>43104804.375022314</v>
      </c>
      <c r="F83" s="70">
        <f t="shared" si="6"/>
        <v>43104804.375022307</v>
      </c>
      <c r="G83" s="74">
        <f t="shared" si="13"/>
        <v>240421</v>
      </c>
      <c r="H83" s="72">
        <f t="shared" si="8"/>
        <v>-13218419</v>
      </c>
      <c r="I83" s="70">
        <f t="shared" si="9"/>
        <v>-11775893</v>
      </c>
      <c r="J83" s="70">
        <f t="shared" si="3"/>
        <v>31328911.375022307</v>
      </c>
      <c r="K83" s="72">
        <f t="shared" si="15"/>
        <v>84147.349999999991</v>
      </c>
      <c r="L83" s="72">
        <f t="shared" si="14"/>
        <v>-10460234.484160442</v>
      </c>
      <c r="M83" s="70">
        <f t="shared" si="4"/>
        <v>-10965119.45916044</v>
      </c>
      <c r="N83" s="67">
        <f t="shared" si="5"/>
        <v>20363791.915861867</v>
      </c>
      <c r="O83" s="67">
        <f t="shared" si="12"/>
        <v>19426150.890861873</v>
      </c>
      <c r="P83" s="65"/>
      <c r="Q83" s="76"/>
    </row>
    <row r="84" spans="2:17" hidden="1" outlineLevel="1">
      <c r="B84" s="69">
        <v>41973</v>
      </c>
      <c r="C84" s="80"/>
      <c r="D84" s="76"/>
      <c r="E84" s="74">
        <f t="shared" si="16"/>
        <v>43104804.375022314</v>
      </c>
      <c r="F84" s="70">
        <f t="shared" si="6"/>
        <v>43104804.375022307</v>
      </c>
      <c r="G84" s="74">
        <f t="shared" si="13"/>
        <v>240421</v>
      </c>
      <c r="H84" s="72">
        <f t="shared" si="8"/>
        <v>-13458840</v>
      </c>
      <c r="I84" s="70">
        <f t="shared" si="9"/>
        <v>-12016314</v>
      </c>
      <c r="J84" s="70">
        <f t="shared" si="3"/>
        <v>31088490.375022307</v>
      </c>
      <c r="K84" s="72">
        <f t="shared" si="15"/>
        <v>84147.349999999991</v>
      </c>
      <c r="L84" s="72">
        <f t="shared" si="14"/>
        <v>-10376087.134160442</v>
      </c>
      <c r="M84" s="70">
        <f t="shared" si="4"/>
        <v>-10880971.525827106</v>
      </c>
      <c r="N84" s="67">
        <f t="shared" si="5"/>
        <v>20207518.849195201</v>
      </c>
      <c r="O84" s="67">
        <f t="shared" si="12"/>
        <v>19269877.24086187</v>
      </c>
      <c r="P84" s="65"/>
      <c r="Q84" s="76"/>
    </row>
    <row r="85" spans="2:17" hidden="1" outlineLevel="1">
      <c r="B85" s="69">
        <v>42004</v>
      </c>
      <c r="C85" s="80"/>
      <c r="D85" s="76"/>
      <c r="E85" s="74">
        <f t="shared" si="16"/>
        <v>43104804.375022314</v>
      </c>
      <c r="F85" s="70">
        <f t="shared" si="6"/>
        <v>43104804.375022307</v>
      </c>
      <c r="G85" s="74">
        <f t="shared" si="13"/>
        <v>240421</v>
      </c>
      <c r="H85" s="72">
        <f t="shared" si="8"/>
        <v>-13699261</v>
      </c>
      <c r="I85" s="70">
        <f t="shared" si="9"/>
        <v>-12256735</v>
      </c>
      <c r="J85" s="70">
        <f t="shared" si="3"/>
        <v>30848069.375022307</v>
      </c>
      <c r="K85" s="72">
        <f t="shared" si="15"/>
        <v>84147.349999999991</v>
      </c>
      <c r="L85" s="72">
        <f t="shared" si="14"/>
        <v>-10291939.784160443</v>
      </c>
      <c r="M85" s="70">
        <f t="shared" si="4"/>
        <v>-10796823.88416044</v>
      </c>
      <c r="N85" s="67">
        <f t="shared" si="5"/>
        <v>20051245.490861867</v>
      </c>
      <c r="O85" s="67">
        <f t="shared" si="12"/>
        <v>19113603.590861872</v>
      </c>
      <c r="P85" s="65"/>
      <c r="Q85" s="76"/>
    </row>
    <row r="86" spans="2:17" ht="12.75" hidden="1" customHeight="1" outlineLevel="1">
      <c r="B86" s="69">
        <v>42035</v>
      </c>
      <c r="C86" s="80"/>
      <c r="D86" s="76"/>
      <c r="E86" s="74">
        <f t="shared" si="16"/>
        <v>43104804.375022314</v>
      </c>
      <c r="F86" s="70">
        <f t="shared" si="6"/>
        <v>43104804.375022307</v>
      </c>
      <c r="G86" s="74">
        <f t="shared" si="13"/>
        <v>240421</v>
      </c>
      <c r="H86" s="72">
        <f t="shared" si="8"/>
        <v>-13939682</v>
      </c>
      <c r="I86" s="70">
        <f t="shared" si="9"/>
        <v>-12497156</v>
      </c>
      <c r="J86" s="70">
        <f t="shared" si="3"/>
        <v>30607648.375022307</v>
      </c>
      <c r="K86" s="72">
        <f t="shared" si="15"/>
        <v>84147.349999999991</v>
      </c>
      <c r="L86" s="72">
        <f t="shared" si="14"/>
        <v>-10207792.434160443</v>
      </c>
      <c r="M86" s="70">
        <f t="shared" si="4"/>
        <v>-10712676.534160441</v>
      </c>
      <c r="N86" s="67">
        <f t="shared" si="5"/>
        <v>19894971.840861864</v>
      </c>
      <c r="O86" s="67">
        <f t="shared" si="12"/>
        <v>18957329.940861873</v>
      </c>
      <c r="P86" s="65"/>
      <c r="Q86" s="76"/>
    </row>
    <row r="87" spans="2:17" hidden="1" outlineLevel="1">
      <c r="B87" s="69">
        <v>42063</v>
      </c>
      <c r="C87" s="80"/>
      <c r="D87" s="76"/>
      <c r="E87" s="74">
        <f t="shared" si="16"/>
        <v>43104804.375022314</v>
      </c>
      <c r="F87" s="70">
        <f t="shared" si="6"/>
        <v>43104804.375022307</v>
      </c>
      <c r="G87" s="74">
        <f t="shared" si="13"/>
        <v>240421</v>
      </c>
      <c r="H87" s="72">
        <f t="shared" si="8"/>
        <v>-14180103</v>
      </c>
      <c r="I87" s="70">
        <f t="shared" si="9"/>
        <v>-12737577</v>
      </c>
      <c r="J87" s="70">
        <f t="shared" si="3"/>
        <v>30367227.375022307</v>
      </c>
      <c r="K87" s="72">
        <f t="shared" si="15"/>
        <v>84147.349999999991</v>
      </c>
      <c r="L87" s="72">
        <f t="shared" si="14"/>
        <v>-10123645.084160443</v>
      </c>
      <c r="M87" s="70">
        <f t="shared" si="4"/>
        <v>-10628529.184160441</v>
      </c>
      <c r="N87" s="67">
        <f t="shared" si="5"/>
        <v>19738698.190861866</v>
      </c>
      <c r="O87" s="67">
        <f t="shared" si="12"/>
        <v>18801056.290861871</v>
      </c>
      <c r="P87" s="65"/>
      <c r="Q87" s="76"/>
    </row>
    <row r="88" spans="2:17" hidden="1" outlineLevel="1">
      <c r="B88" s="77">
        <v>42094</v>
      </c>
      <c r="C88" s="80"/>
      <c r="D88" s="76"/>
      <c r="E88" s="74">
        <f t="shared" si="16"/>
        <v>43104804.375022314</v>
      </c>
      <c r="F88" s="70">
        <f t="shared" si="6"/>
        <v>43104804.375022307</v>
      </c>
      <c r="G88" s="74">
        <f t="shared" si="13"/>
        <v>240421</v>
      </c>
      <c r="H88" s="72">
        <f t="shared" si="8"/>
        <v>-14420524</v>
      </c>
      <c r="I88" s="70">
        <f t="shared" si="9"/>
        <v>-12977998</v>
      </c>
      <c r="J88" s="70">
        <f t="shared" si="3"/>
        <v>30126806.375022307</v>
      </c>
      <c r="K88" s="72">
        <f t="shared" si="15"/>
        <v>84147.349999999991</v>
      </c>
      <c r="L88" s="72">
        <f t="shared" si="14"/>
        <v>-10039497.734160444</v>
      </c>
      <c r="M88" s="70">
        <f t="shared" si="4"/>
        <v>-10544381.834160442</v>
      </c>
      <c r="N88" s="67">
        <f t="shared" si="5"/>
        <v>19582424.540861867</v>
      </c>
      <c r="O88" s="67">
        <f t="shared" si="12"/>
        <v>18644782.640861869</v>
      </c>
      <c r="P88" s="65"/>
      <c r="Q88" s="76"/>
    </row>
    <row r="89" spans="2:17" hidden="1" outlineLevel="1">
      <c r="B89" s="69">
        <v>42124</v>
      </c>
      <c r="C89" s="80"/>
      <c r="D89" s="76"/>
      <c r="E89" s="74">
        <f t="shared" si="16"/>
        <v>43104804.375022314</v>
      </c>
      <c r="F89" s="70">
        <f t="shared" si="6"/>
        <v>43104804.375022307</v>
      </c>
      <c r="G89" s="74">
        <f t="shared" si="13"/>
        <v>240421</v>
      </c>
      <c r="H89" s="72">
        <f t="shared" si="8"/>
        <v>-14660945</v>
      </c>
      <c r="I89" s="70">
        <f t="shared" si="9"/>
        <v>-13218419</v>
      </c>
      <c r="J89" s="70">
        <f t="shared" si="3"/>
        <v>29886385.375022307</v>
      </c>
      <c r="K89" s="72">
        <f t="shared" si="15"/>
        <v>84147.349999999991</v>
      </c>
      <c r="L89" s="72">
        <f t="shared" si="14"/>
        <v>-9955350.3841604441</v>
      </c>
      <c r="M89" s="70">
        <f t="shared" ref="M89:M152" si="17">(L77+L89+SUM(L78:L88)*2)/24</f>
        <v>-10460234.48416044</v>
      </c>
      <c r="N89" s="67">
        <f t="shared" ref="N89:N152" si="18">M89+J89</f>
        <v>19426150.890861869</v>
      </c>
      <c r="O89" s="67">
        <f t="shared" si="12"/>
        <v>18488508.99086187</v>
      </c>
      <c r="P89" s="65"/>
      <c r="Q89" s="76"/>
    </row>
    <row r="90" spans="2:17" hidden="1" outlineLevel="1">
      <c r="B90" s="69">
        <v>42155</v>
      </c>
      <c r="C90" s="80"/>
      <c r="D90" s="76"/>
      <c r="E90" s="74">
        <f t="shared" si="16"/>
        <v>43104804.375022314</v>
      </c>
      <c r="F90" s="70">
        <f t="shared" si="6"/>
        <v>43104804.375022307</v>
      </c>
      <c r="G90" s="74">
        <f t="shared" si="13"/>
        <v>240421</v>
      </c>
      <c r="H90" s="72">
        <f t="shared" si="8"/>
        <v>-14901366</v>
      </c>
      <c r="I90" s="70">
        <f t="shared" si="9"/>
        <v>-13458840</v>
      </c>
      <c r="J90" s="70">
        <f t="shared" ref="J90:J153" si="19">F90+I90</f>
        <v>29645964.375022307</v>
      </c>
      <c r="K90" s="72">
        <f t="shared" si="15"/>
        <v>84147.349999999991</v>
      </c>
      <c r="L90" s="72">
        <f t="shared" si="14"/>
        <v>-9871203.0341604445</v>
      </c>
      <c r="M90" s="70">
        <f t="shared" si="17"/>
        <v>-10376087.134160442</v>
      </c>
      <c r="N90" s="67">
        <f t="shared" si="18"/>
        <v>19269877.240861863</v>
      </c>
      <c r="O90" s="67">
        <f t="shared" si="12"/>
        <v>18332235.340861872</v>
      </c>
      <c r="P90" s="65"/>
      <c r="Q90" s="76"/>
    </row>
    <row r="91" spans="2:17" hidden="1" outlineLevel="1">
      <c r="B91" s="69">
        <v>42185</v>
      </c>
      <c r="C91" s="80"/>
      <c r="D91" s="76"/>
      <c r="E91" s="74">
        <f t="shared" si="16"/>
        <v>43104804.375022314</v>
      </c>
      <c r="F91" s="70">
        <f t="shared" ref="F91:F154" si="20">(E79+E91+SUM(E80:E90)*2)/24</f>
        <v>43104804.375022307</v>
      </c>
      <c r="G91" s="74">
        <f t="shared" si="13"/>
        <v>240421</v>
      </c>
      <c r="H91" s="72">
        <f t="shared" si="8"/>
        <v>-15141787</v>
      </c>
      <c r="I91" s="70">
        <f t="shared" si="9"/>
        <v>-13699261</v>
      </c>
      <c r="J91" s="70">
        <f t="shared" si="19"/>
        <v>29405543.375022307</v>
      </c>
      <c r="K91" s="72">
        <f t="shared" si="15"/>
        <v>84147.349999999991</v>
      </c>
      <c r="L91" s="72">
        <f t="shared" si="14"/>
        <v>-9787055.6841604449</v>
      </c>
      <c r="M91" s="70">
        <f t="shared" si="17"/>
        <v>-10291939.784160443</v>
      </c>
      <c r="N91" s="67">
        <f t="shared" si="18"/>
        <v>19113603.590861864</v>
      </c>
      <c r="O91" s="67">
        <f t="shared" si="12"/>
        <v>18175961.69086187</v>
      </c>
      <c r="P91" s="65"/>
      <c r="Q91" s="76"/>
    </row>
    <row r="92" spans="2:17" hidden="1" outlineLevel="1">
      <c r="B92" s="69">
        <v>42216</v>
      </c>
      <c r="C92" s="80"/>
      <c r="D92" s="76"/>
      <c r="E92" s="74">
        <f t="shared" si="16"/>
        <v>43104804.375022314</v>
      </c>
      <c r="F92" s="70">
        <f t="shared" si="20"/>
        <v>43104804.375022307</v>
      </c>
      <c r="G92" s="74">
        <f t="shared" si="13"/>
        <v>240421</v>
      </c>
      <c r="H92" s="72">
        <f t="shared" si="8"/>
        <v>-15382208</v>
      </c>
      <c r="I92" s="70">
        <f t="shared" si="9"/>
        <v>-13939682</v>
      </c>
      <c r="J92" s="70">
        <f t="shared" si="19"/>
        <v>29165122.375022307</v>
      </c>
      <c r="K92" s="72">
        <f t="shared" si="15"/>
        <v>84147.349999999991</v>
      </c>
      <c r="L92" s="72">
        <f t="shared" si="14"/>
        <v>-9702908.3341604453</v>
      </c>
      <c r="M92" s="70">
        <f t="shared" si="17"/>
        <v>-10207792.434160443</v>
      </c>
      <c r="N92" s="67">
        <f t="shared" si="18"/>
        <v>18957329.940861866</v>
      </c>
      <c r="O92" s="67">
        <f t="shared" si="12"/>
        <v>18019688.040861867</v>
      </c>
      <c r="P92" s="65"/>
      <c r="Q92" s="76"/>
    </row>
    <row r="93" spans="2:17" hidden="1" outlineLevel="1">
      <c r="B93" s="69">
        <v>42247</v>
      </c>
      <c r="C93" s="80"/>
      <c r="D93" s="76"/>
      <c r="E93" s="74">
        <f t="shared" si="16"/>
        <v>43104804.375022314</v>
      </c>
      <c r="F93" s="70">
        <f t="shared" si="20"/>
        <v>43104804.375022307</v>
      </c>
      <c r="G93" s="74">
        <f t="shared" si="13"/>
        <v>240421</v>
      </c>
      <c r="H93" s="72">
        <f t="shared" si="8"/>
        <v>-15622629</v>
      </c>
      <c r="I93" s="70">
        <f t="shared" si="9"/>
        <v>-14180103</v>
      </c>
      <c r="J93" s="70">
        <f t="shared" si="19"/>
        <v>28924701.375022307</v>
      </c>
      <c r="K93" s="72">
        <f t="shared" si="15"/>
        <v>84147.349999999991</v>
      </c>
      <c r="L93" s="72">
        <f t="shared" si="14"/>
        <v>-9618760.9841604456</v>
      </c>
      <c r="M93" s="70">
        <f t="shared" si="17"/>
        <v>-10123645.084160443</v>
      </c>
      <c r="N93" s="67">
        <f t="shared" si="18"/>
        <v>18801056.290861864</v>
      </c>
      <c r="O93" s="67">
        <f t="shared" si="12"/>
        <v>17863414.390861869</v>
      </c>
      <c r="P93" s="65"/>
      <c r="Q93" s="76"/>
    </row>
    <row r="94" spans="2:17" ht="12.75" hidden="1" customHeight="1" outlineLevel="1">
      <c r="B94" s="69">
        <v>42277</v>
      </c>
      <c r="C94" s="80"/>
      <c r="D94" s="76"/>
      <c r="E94" s="74">
        <f t="shared" si="16"/>
        <v>43104804.375022314</v>
      </c>
      <c r="F94" s="70">
        <f t="shared" si="20"/>
        <v>43104804.375022307</v>
      </c>
      <c r="G94" s="74">
        <f t="shared" si="13"/>
        <v>240421</v>
      </c>
      <c r="H94" s="72">
        <f t="shared" si="8"/>
        <v>-15863050</v>
      </c>
      <c r="I94" s="70">
        <f t="shared" si="9"/>
        <v>-14420524</v>
      </c>
      <c r="J94" s="70">
        <f t="shared" si="19"/>
        <v>28684280.375022307</v>
      </c>
      <c r="K94" s="72">
        <f t="shared" si="15"/>
        <v>84147.349999999991</v>
      </c>
      <c r="L94" s="72">
        <f t="shared" si="14"/>
        <v>-9534613.634160446</v>
      </c>
      <c r="M94" s="70">
        <f t="shared" si="17"/>
        <v>-10039497.734160442</v>
      </c>
      <c r="N94" s="67">
        <f t="shared" si="18"/>
        <v>18644782.640861865</v>
      </c>
      <c r="O94" s="67">
        <f t="shared" si="12"/>
        <v>17707140.74086187</v>
      </c>
      <c r="P94" s="65"/>
      <c r="Q94" s="76"/>
    </row>
    <row r="95" spans="2:17" ht="12.6" hidden="1" customHeight="1" outlineLevel="1">
      <c r="B95" s="69">
        <v>42308</v>
      </c>
      <c r="C95" s="80"/>
      <c r="D95" s="76"/>
      <c r="E95" s="74">
        <f t="shared" si="16"/>
        <v>43104804.375022314</v>
      </c>
      <c r="F95" s="70">
        <f t="shared" si="20"/>
        <v>43104804.375022307</v>
      </c>
      <c r="G95" s="74">
        <f t="shared" si="13"/>
        <v>240421</v>
      </c>
      <c r="H95" s="72">
        <f t="shared" ref="H95:H158" si="21">H94-G95</f>
        <v>-16103471</v>
      </c>
      <c r="I95" s="70">
        <f t="shared" ref="I95:I158" si="22">(H83+H95+SUM(H84:H94)*2)/24</f>
        <v>-14660945</v>
      </c>
      <c r="J95" s="70">
        <f t="shared" si="19"/>
        <v>28443859.375022307</v>
      </c>
      <c r="K95" s="72">
        <f t="shared" si="15"/>
        <v>84147.349999999991</v>
      </c>
      <c r="L95" s="72">
        <f t="shared" si="14"/>
        <v>-9450466.2841604464</v>
      </c>
      <c r="M95" s="70">
        <f t="shared" si="17"/>
        <v>-9955350.3841604441</v>
      </c>
      <c r="N95" s="67">
        <f t="shared" si="18"/>
        <v>18488508.990861863</v>
      </c>
      <c r="O95" s="67">
        <f t="shared" si="12"/>
        <v>17550867.090861868</v>
      </c>
      <c r="P95" s="65"/>
      <c r="Q95" s="76"/>
    </row>
    <row r="96" spans="2:17" hidden="1" outlineLevel="1">
      <c r="B96" s="69">
        <v>42338</v>
      </c>
      <c r="C96" s="80"/>
      <c r="D96" s="76"/>
      <c r="E96" s="74">
        <f t="shared" si="16"/>
        <v>43104804.375022314</v>
      </c>
      <c r="F96" s="70">
        <f t="shared" si="20"/>
        <v>43104804.375022307</v>
      </c>
      <c r="G96" s="74">
        <f t="shared" si="13"/>
        <v>240421</v>
      </c>
      <c r="H96" s="72">
        <f t="shared" si="21"/>
        <v>-16343892</v>
      </c>
      <c r="I96" s="70">
        <f t="shared" si="22"/>
        <v>-14901366</v>
      </c>
      <c r="J96" s="70">
        <f t="shared" si="19"/>
        <v>28203438.375022307</v>
      </c>
      <c r="K96" s="72">
        <f t="shared" si="15"/>
        <v>84147.349999999991</v>
      </c>
      <c r="L96" s="72">
        <f t="shared" si="14"/>
        <v>-9366318.9341604467</v>
      </c>
      <c r="M96" s="70">
        <f t="shared" si="17"/>
        <v>-9871203.0341604445</v>
      </c>
      <c r="N96" s="67">
        <f t="shared" si="18"/>
        <v>18332235.340861864</v>
      </c>
      <c r="O96" s="67">
        <f t="shared" si="12"/>
        <v>17394593.440861866</v>
      </c>
      <c r="P96" s="65"/>
      <c r="Q96" s="76"/>
    </row>
    <row r="97" spans="2:17" hidden="1" outlineLevel="1">
      <c r="B97" s="69">
        <v>42369</v>
      </c>
      <c r="C97" s="80"/>
      <c r="D97" s="76"/>
      <c r="E97" s="74">
        <f t="shared" si="16"/>
        <v>43104804.375022314</v>
      </c>
      <c r="F97" s="70">
        <f t="shared" si="20"/>
        <v>43104804.375022307</v>
      </c>
      <c r="G97" s="74">
        <f t="shared" si="13"/>
        <v>240421</v>
      </c>
      <c r="H97" s="72">
        <f t="shared" si="21"/>
        <v>-16584313</v>
      </c>
      <c r="I97" s="70">
        <f t="shared" si="22"/>
        <v>-15141787</v>
      </c>
      <c r="J97" s="70">
        <f t="shared" si="19"/>
        <v>27963017.375022307</v>
      </c>
      <c r="K97" s="72">
        <f t="shared" si="15"/>
        <v>84147.349999999991</v>
      </c>
      <c r="L97" s="72">
        <f t="shared" si="14"/>
        <v>-9282171.5841604471</v>
      </c>
      <c r="M97" s="70">
        <f t="shared" si="17"/>
        <v>-9787055.684160443</v>
      </c>
      <c r="N97" s="67">
        <f t="shared" si="18"/>
        <v>18175961.690861866</v>
      </c>
      <c r="O97" s="67">
        <f t="shared" si="12"/>
        <v>17238319.790861867</v>
      </c>
      <c r="P97" s="65"/>
      <c r="Q97" s="76"/>
    </row>
    <row r="98" spans="2:17" ht="12.75" hidden="1" customHeight="1" outlineLevel="1">
      <c r="B98" s="69">
        <v>42400</v>
      </c>
      <c r="C98" s="80"/>
      <c r="D98" s="76"/>
      <c r="E98" s="74">
        <f t="shared" si="16"/>
        <v>43104804.375022314</v>
      </c>
      <c r="F98" s="70">
        <f t="shared" si="20"/>
        <v>43104804.375022307</v>
      </c>
      <c r="G98" s="74">
        <f t="shared" si="13"/>
        <v>240421</v>
      </c>
      <c r="H98" s="72">
        <f t="shared" si="21"/>
        <v>-16824734</v>
      </c>
      <c r="I98" s="70">
        <f t="shared" si="22"/>
        <v>-15382208</v>
      </c>
      <c r="J98" s="70">
        <f t="shared" si="19"/>
        <v>27722596.375022307</v>
      </c>
      <c r="K98" s="72">
        <f t="shared" si="15"/>
        <v>84147.349999999991</v>
      </c>
      <c r="L98" s="72">
        <f t="shared" si="14"/>
        <v>-9198024.2341604475</v>
      </c>
      <c r="M98" s="70">
        <f t="shared" si="17"/>
        <v>-9702908.3341604453</v>
      </c>
      <c r="N98" s="67">
        <f t="shared" si="18"/>
        <v>18019688.04086186</v>
      </c>
      <c r="O98" s="67">
        <f t="shared" si="12"/>
        <v>17082046.140861869</v>
      </c>
      <c r="P98" s="65"/>
      <c r="Q98" s="76"/>
    </row>
    <row r="99" spans="2:17" hidden="1" outlineLevel="1">
      <c r="B99" s="69">
        <v>42428</v>
      </c>
      <c r="C99" s="80"/>
      <c r="D99" s="76"/>
      <c r="E99" s="74">
        <f t="shared" si="16"/>
        <v>43104804.375022314</v>
      </c>
      <c r="F99" s="70">
        <f t="shared" si="20"/>
        <v>43104804.375022307</v>
      </c>
      <c r="G99" s="74">
        <f t="shared" si="13"/>
        <v>240421</v>
      </c>
      <c r="H99" s="72">
        <f t="shared" si="21"/>
        <v>-17065155</v>
      </c>
      <c r="I99" s="70">
        <f t="shared" si="22"/>
        <v>-15622629</v>
      </c>
      <c r="J99" s="70">
        <f t="shared" si="19"/>
        <v>27482175.375022307</v>
      </c>
      <c r="K99" s="72">
        <f t="shared" si="15"/>
        <v>84147.349999999991</v>
      </c>
      <c r="L99" s="72">
        <f t="shared" si="14"/>
        <v>-9113876.8841604479</v>
      </c>
      <c r="M99" s="70">
        <f t="shared" si="17"/>
        <v>-9618760.9841604456</v>
      </c>
      <c r="N99" s="67">
        <f t="shared" si="18"/>
        <v>17863414.390861861</v>
      </c>
      <c r="O99" s="67">
        <f t="shared" si="12"/>
        <v>16925772.490861867</v>
      </c>
      <c r="P99" s="65"/>
      <c r="Q99" s="76"/>
    </row>
    <row r="100" spans="2:17" hidden="1" outlineLevel="1">
      <c r="B100" s="77">
        <v>42460</v>
      </c>
      <c r="C100" s="80"/>
      <c r="D100" s="76"/>
      <c r="E100" s="74">
        <f t="shared" si="16"/>
        <v>43104804.375022314</v>
      </c>
      <c r="F100" s="70">
        <f t="shared" si="20"/>
        <v>43104804.375022307</v>
      </c>
      <c r="G100" s="74">
        <f t="shared" si="13"/>
        <v>240421</v>
      </c>
      <c r="H100" s="72">
        <f t="shared" si="21"/>
        <v>-17305576</v>
      </c>
      <c r="I100" s="70">
        <f t="shared" si="22"/>
        <v>-15863050</v>
      </c>
      <c r="J100" s="70">
        <f t="shared" si="19"/>
        <v>27241754.375022307</v>
      </c>
      <c r="K100" s="72">
        <f t="shared" si="15"/>
        <v>84147.349999999991</v>
      </c>
      <c r="L100" s="72">
        <f t="shared" si="14"/>
        <v>-9029729.5341604482</v>
      </c>
      <c r="M100" s="70">
        <f t="shared" si="17"/>
        <v>-9534613.634160446</v>
      </c>
      <c r="N100" s="67">
        <f t="shared" si="18"/>
        <v>17707140.740861863</v>
      </c>
      <c r="O100" s="67">
        <f t="shared" si="12"/>
        <v>16769498.840861866</v>
      </c>
      <c r="P100" s="65"/>
      <c r="Q100" s="76"/>
    </row>
    <row r="101" spans="2:17" hidden="1" outlineLevel="1">
      <c r="B101" s="69">
        <v>42490</v>
      </c>
      <c r="C101" s="80"/>
      <c r="D101" s="76"/>
      <c r="E101" s="74">
        <f t="shared" si="16"/>
        <v>43104804.375022314</v>
      </c>
      <c r="F101" s="70">
        <f t="shared" si="20"/>
        <v>43104804.375022307</v>
      </c>
      <c r="G101" s="74">
        <f t="shared" si="13"/>
        <v>240421</v>
      </c>
      <c r="H101" s="72">
        <f t="shared" si="21"/>
        <v>-17545997</v>
      </c>
      <c r="I101" s="70">
        <f t="shared" si="22"/>
        <v>-16103471</v>
      </c>
      <c r="J101" s="70">
        <f t="shared" si="19"/>
        <v>27001333.375022307</v>
      </c>
      <c r="K101" s="72">
        <f t="shared" si="15"/>
        <v>84147.349999999991</v>
      </c>
      <c r="L101" s="72">
        <f t="shared" si="14"/>
        <v>-8945582.1841604486</v>
      </c>
      <c r="M101" s="70">
        <f t="shared" si="17"/>
        <v>-9450466.2841604464</v>
      </c>
      <c r="N101" s="67">
        <f t="shared" si="18"/>
        <v>17550867.090861861</v>
      </c>
      <c r="O101" s="67">
        <f t="shared" si="12"/>
        <v>16613225.190861866</v>
      </c>
      <c r="P101" s="65"/>
      <c r="Q101" s="76"/>
    </row>
    <row r="102" spans="2:17" hidden="1" outlineLevel="1">
      <c r="B102" s="69">
        <v>42521</v>
      </c>
      <c r="C102" s="80"/>
      <c r="D102" s="76"/>
      <c r="E102" s="74">
        <f t="shared" si="16"/>
        <v>43104804.375022314</v>
      </c>
      <c r="F102" s="70">
        <f t="shared" si="20"/>
        <v>43104804.375022307</v>
      </c>
      <c r="G102" s="74">
        <f t="shared" si="13"/>
        <v>240421</v>
      </c>
      <c r="H102" s="72">
        <f t="shared" si="21"/>
        <v>-17786418</v>
      </c>
      <c r="I102" s="70">
        <f t="shared" si="22"/>
        <v>-16343892</v>
      </c>
      <c r="J102" s="70">
        <f t="shared" si="19"/>
        <v>26760912.375022307</v>
      </c>
      <c r="K102" s="72">
        <f t="shared" si="15"/>
        <v>84147.349999999991</v>
      </c>
      <c r="L102" s="72">
        <f t="shared" si="14"/>
        <v>-8861434.834160449</v>
      </c>
      <c r="M102" s="70">
        <f t="shared" si="17"/>
        <v>-9366318.9341604467</v>
      </c>
      <c r="N102" s="67">
        <f t="shared" si="18"/>
        <v>17394593.440861858</v>
      </c>
      <c r="O102" s="67">
        <f t="shared" si="12"/>
        <v>16456951.540861866</v>
      </c>
      <c r="P102" s="65"/>
      <c r="Q102" s="76"/>
    </row>
    <row r="103" spans="2:17" hidden="1" outlineLevel="1">
      <c r="B103" s="69">
        <v>42551</v>
      </c>
      <c r="C103" s="80"/>
      <c r="D103" s="76"/>
      <c r="E103" s="74">
        <f t="shared" si="16"/>
        <v>43104804.375022314</v>
      </c>
      <c r="F103" s="70">
        <f t="shared" si="20"/>
        <v>43104804.375022307</v>
      </c>
      <c r="G103" s="74">
        <f t="shared" si="13"/>
        <v>240421</v>
      </c>
      <c r="H103" s="72">
        <f t="shared" si="21"/>
        <v>-18026839</v>
      </c>
      <c r="I103" s="70">
        <f t="shared" si="22"/>
        <v>-16584313</v>
      </c>
      <c r="J103" s="70">
        <f t="shared" si="19"/>
        <v>26520491.375022307</v>
      </c>
      <c r="K103" s="72">
        <f t="shared" si="15"/>
        <v>84147.349999999991</v>
      </c>
      <c r="L103" s="72">
        <f t="shared" si="14"/>
        <v>-8777287.4841604494</v>
      </c>
      <c r="M103" s="70">
        <f t="shared" si="17"/>
        <v>-9282171.5841604471</v>
      </c>
      <c r="N103" s="67">
        <f t="shared" si="18"/>
        <v>17238319.79086186</v>
      </c>
      <c r="O103" s="67">
        <f t="shared" si="12"/>
        <v>16300677.890861865</v>
      </c>
      <c r="P103" s="65"/>
      <c r="Q103" s="76"/>
    </row>
    <row r="104" spans="2:17" hidden="1" outlineLevel="1">
      <c r="B104" s="69">
        <v>42582</v>
      </c>
      <c r="C104" s="80"/>
      <c r="D104" s="76"/>
      <c r="E104" s="74">
        <f t="shared" si="16"/>
        <v>43104804.375022314</v>
      </c>
      <c r="F104" s="70">
        <f t="shared" si="20"/>
        <v>43104804.375022307</v>
      </c>
      <c r="G104" s="74">
        <f t="shared" si="13"/>
        <v>240421</v>
      </c>
      <c r="H104" s="72">
        <f t="shared" si="21"/>
        <v>-18267260</v>
      </c>
      <c r="I104" s="70">
        <f t="shared" si="22"/>
        <v>-16824734</v>
      </c>
      <c r="J104" s="70">
        <f t="shared" si="19"/>
        <v>26280070.375022307</v>
      </c>
      <c r="K104" s="72">
        <f t="shared" si="15"/>
        <v>84147.349999999991</v>
      </c>
      <c r="L104" s="72">
        <f t="shared" si="14"/>
        <v>-8693140.1341604497</v>
      </c>
      <c r="M104" s="70">
        <f t="shared" si="17"/>
        <v>-9198024.2341604475</v>
      </c>
      <c r="N104" s="67">
        <f t="shared" si="18"/>
        <v>17082046.140861861</v>
      </c>
      <c r="O104" s="67">
        <f t="shared" si="12"/>
        <v>16144404.240861865</v>
      </c>
      <c r="P104" s="65"/>
      <c r="Q104" s="76"/>
    </row>
    <row r="105" spans="2:17" hidden="1" outlineLevel="1">
      <c r="B105" s="69">
        <v>42613</v>
      </c>
      <c r="C105" s="80"/>
      <c r="D105" s="76"/>
      <c r="E105" s="74">
        <f t="shared" si="16"/>
        <v>43104804.375022314</v>
      </c>
      <c r="F105" s="70">
        <f t="shared" si="20"/>
        <v>43104804.375022307</v>
      </c>
      <c r="G105" s="74">
        <f t="shared" si="13"/>
        <v>240421</v>
      </c>
      <c r="H105" s="72">
        <f t="shared" si="21"/>
        <v>-18507681</v>
      </c>
      <c r="I105" s="70">
        <f t="shared" si="22"/>
        <v>-17065155</v>
      </c>
      <c r="J105" s="70">
        <f t="shared" si="19"/>
        <v>26039649.375022307</v>
      </c>
      <c r="K105" s="72">
        <f t="shared" si="15"/>
        <v>84147.349999999991</v>
      </c>
      <c r="L105" s="72">
        <f t="shared" si="14"/>
        <v>-8608992.7841604501</v>
      </c>
      <c r="M105" s="70">
        <f t="shared" si="17"/>
        <v>-9113876.884160446</v>
      </c>
      <c r="N105" s="67">
        <f t="shared" si="18"/>
        <v>16925772.490861863</v>
      </c>
      <c r="O105" s="67">
        <f t="shared" si="12"/>
        <v>15988130.590861864</v>
      </c>
      <c r="P105" s="65"/>
      <c r="Q105" s="76"/>
    </row>
    <row r="106" spans="2:17" ht="12.75" hidden="1" customHeight="1" outlineLevel="1">
      <c r="B106" s="69">
        <v>42643</v>
      </c>
      <c r="C106" s="80"/>
      <c r="D106" s="76"/>
      <c r="E106" s="74">
        <f t="shared" si="16"/>
        <v>43104804.375022314</v>
      </c>
      <c r="F106" s="70">
        <f t="shared" si="20"/>
        <v>43104804.375022307</v>
      </c>
      <c r="G106" s="74">
        <f t="shared" si="13"/>
        <v>240421</v>
      </c>
      <c r="H106" s="72">
        <f t="shared" si="21"/>
        <v>-18748102</v>
      </c>
      <c r="I106" s="70">
        <f t="shared" si="22"/>
        <v>-17305576</v>
      </c>
      <c r="J106" s="70">
        <f t="shared" si="19"/>
        <v>25799228.375022307</v>
      </c>
      <c r="K106" s="72">
        <f t="shared" si="15"/>
        <v>84147.349999999991</v>
      </c>
      <c r="L106" s="72">
        <f t="shared" si="14"/>
        <v>-8524845.4341604505</v>
      </c>
      <c r="M106" s="70">
        <f t="shared" si="17"/>
        <v>-9029729.5341604482</v>
      </c>
      <c r="N106" s="67">
        <f t="shared" si="18"/>
        <v>16769498.840861859</v>
      </c>
      <c r="O106" s="67">
        <f t="shared" si="12"/>
        <v>15831856.940861864</v>
      </c>
      <c r="P106" s="65"/>
      <c r="Q106" s="76"/>
    </row>
    <row r="107" spans="2:17" ht="12.75" hidden="1" customHeight="1" outlineLevel="1">
      <c r="B107" s="69">
        <v>42674</v>
      </c>
      <c r="C107" s="80"/>
      <c r="D107" s="76"/>
      <c r="E107" s="74">
        <f t="shared" si="16"/>
        <v>43104804.375022314</v>
      </c>
      <c r="F107" s="70">
        <f t="shared" si="20"/>
        <v>43104804.375022307</v>
      </c>
      <c r="G107" s="74">
        <f t="shared" si="13"/>
        <v>240421</v>
      </c>
      <c r="H107" s="72">
        <f t="shared" si="21"/>
        <v>-18988523</v>
      </c>
      <c r="I107" s="70">
        <f t="shared" si="22"/>
        <v>-17545997</v>
      </c>
      <c r="J107" s="70">
        <f t="shared" si="19"/>
        <v>25558807.375022307</v>
      </c>
      <c r="K107" s="72">
        <f t="shared" si="15"/>
        <v>84147.349999999991</v>
      </c>
      <c r="L107" s="72">
        <f t="shared" si="14"/>
        <v>-8440698.0841604508</v>
      </c>
      <c r="M107" s="70">
        <f t="shared" si="17"/>
        <v>-8945582.1841604486</v>
      </c>
      <c r="N107" s="67">
        <f t="shared" si="18"/>
        <v>16613225.190861858</v>
      </c>
      <c r="O107" s="67">
        <f t="shared" si="12"/>
        <v>15675583.290861864</v>
      </c>
      <c r="P107" s="65"/>
      <c r="Q107" s="76"/>
    </row>
    <row r="108" spans="2:17" hidden="1" outlineLevel="1">
      <c r="B108" s="69">
        <v>42704</v>
      </c>
      <c r="C108" s="80"/>
      <c r="D108" s="76"/>
      <c r="E108" s="74">
        <f t="shared" si="16"/>
        <v>43104804.375022314</v>
      </c>
      <c r="F108" s="70">
        <f t="shared" si="20"/>
        <v>43104804.375022307</v>
      </c>
      <c r="G108" s="74">
        <f t="shared" si="13"/>
        <v>240421</v>
      </c>
      <c r="H108" s="72">
        <f t="shared" si="21"/>
        <v>-19228944</v>
      </c>
      <c r="I108" s="70">
        <f t="shared" si="22"/>
        <v>-17786418</v>
      </c>
      <c r="J108" s="70">
        <f t="shared" si="19"/>
        <v>25318386.375022307</v>
      </c>
      <c r="K108" s="72">
        <f t="shared" si="15"/>
        <v>84147.349999999991</v>
      </c>
      <c r="L108" s="72">
        <f t="shared" si="14"/>
        <v>-8356550.7341604512</v>
      </c>
      <c r="M108" s="70">
        <f t="shared" si="17"/>
        <v>-8861434.834160449</v>
      </c>
      <c r="N108" s="67">
        <f t="shared" si="18"/>
        <v>16456951.540861858</v>
      </c>
      <c r="O108" s="67">
        <f t="shared" si="12"/>
        <v>15519309.640861863</v>
      </c>
      <c r="P108" s="65"/>
      <c r="Q108" s="76"/>
    </row>
    <row r="109" spans="2:17" hidden="1" outlineLevel="1">
      <c r="B109" s="69">
        <v>42735</v>
      </c>
      <c r="C109" s="80"/>
      <c r="D109" s="76"/>
      <c r="E109" s="74">
        <f t="shared" si="16"/>
        <v>43104804.375022314</v>
      </c>
      <c r="F109" s="70">
        <f t="shared" si="20"/>
        <v>43104804.375022307</v>
      </c>
      <c r="G109" s="74">
        <f t="shared" si="13"/>
        <v>240421</v>
      </c>
      <c r="H109" s="72">
        <f t="shared" si="21"/>
        <v>-19469365</v>
      </c>
      <c r="I109" s="70">
        <f t="shared" si="22"/>
        <v>-18026839</v>
      </c>
      <c r="J109" s="70">
        <f t="shared" si="19"/>
        <v>25077965.375022307</v>
      </c>
      <c r="K109" s="72">
        <f t="shared" si="15"/>
        <v>84147.349999999991</v>
      </c>
      <c r="L109" s="72">
        <f t="shared" si="14"/>
        <v>-8272403.3841604516</v>
      </c>
      <c r="M109" s="70">
        <f t="shared" si="17"/>
        <v>-8777287.4841604494</v>
      </c>
      <c r="N109" s="67">
        <f t="shared" si="18"/>
        <v>16300677.890861858</v>
      </c>
      <c r="O109" s="67">
        <f t="shared" si="12"/>
        <v>15363035.990861863</v>
      </c>
      <c r="P109" s="65"/>
      <c r="Q109" s="76"/>
    </row>
    <row r="110" spans="2:17" ht="12.75" hidden="1" customHeight="1" outlineLevel="1">
      <c r="B110" s="69">
        <v>42766</v>
      </c>
      <c r="C110" s="80"/>
      <c r="D110" s="76"/>
      <c r="E110" s="74">
        <f t="shared" si="16"/>
        <v>43104804.375022314</v>
      </c>
      <c r="F110" s="70">
        <f t="shared" si="20"/>
        <v>43104804.375022307</v>
      </c>
      <c r="G110" s="74">
        <f t="shared" si="13"/>
        <v>240421</v>
      </c>
      <c r="H110" s="72">
        <f t="shared" si="21"/>
        <v>-19709786</v>
      </c>
      <c r="I110" s="70">
        <f t="shared" si="22"/>
        <v>-18267260</v>
      </c>
      <c r="J110" s="70">
        <f t="shared" si="19"/>
        <v>24837544.375022307</v>
      </c>
      <c r="K110" s="72">
        <f t="shared" si="15"/>
        <v>84147.349999999991</v>
      </c>
      <c r="L110" s="72">
        <f t="shared" si="14"/>
        <v>-8188256.034160452</v>
      </c>
      <c r="M110" s="70">
        <f t="shared" si="17"/>
        <v>-8693140.1341604479</v>
      </c>
      <c r="N110" s="67">
        <f t="shared" si="18"/>
        <v>16144404.240861859</v>
      </c>
      <c r="O110" s="67">
        <f t="shared" si="12"/>
        <v>15206762.340861863</v>
      </c>
      <c r="P110" s="65"/>
      <c r="Q110" s="76"/>
    </row>
    <row r="111" spans="2:17" hidden="1" outlineLevel="1">
      <c r="B111" s="69">
        <v>42794</v>
      </c>
      <c r="C111" s="80"/>
      <c r="D111" s="76"/>
      <c r="E111" s="74">
        <f t="shared" si="16"/>
        <v>43104804.375022314</v>
      </c>
      <c r="F111" s="70">
        <f t="shared" si="20"/>
        <v>43104804.375022307</v>
      </c>
      <c r="G111" s="74">
        <f t="shared" si="13"/>
        <v>240421</v>
      </c>
      <c r="H111" s="72">
        <f t="shared" si="21"/>
        <v>-19950207</v>
      </c>
      <c r="I111" s="70">
        <f t="shared" si="22"/>
        <v>-18507681</v>
      </c>
      <c r="J111" s="70">
        <f t="shared" si="19"/>
        <v>24597123.375022307</v>
      </c>
      <c r="K111" s="72">
        <f t="shared" si="15"/>
        <v>84147.349999999991</v>
      </c>
      <c r="L111" s="72">
        <f t="shared" si="14"/>
        <v>-8104108.6841604523</v>
      </c>
      <c r="M111" s="70">
        <f t="shared" si="17"/>
        <v>-8608992.7841604501</v>
      </c>
      <c r="N111" s="67">
        <f t="shared" si="18"/>
        <v>15988130.590861857</v>
      </c>
      <c r="O111" s="67">
        <f t="shared" si="12"/>
        <v>15050488.690861862</v>
      </c>
      <c r="P111" s="65"/>
      <c r="Q111" s="76"/>
    </row>
    <row r="112" spans="2:17" hidden="1" outlineLevel="1">
      <c r="B112" s="77">
        <v>42825</v>
      </c>
      <c r="C112" s="80"/>
      <c r="D112" s="76"/>
      <c r="E112" s="74">
        <f t="shared" si="16"/>
        <v>43104804.375022314</v>
      </c>
      <c r="F112" s="70">
        <f t="shared" si="20"/>
        <v>43104804.375022307</v>
      </c>
      <c r="G112" s="74">
        <f t="shared" si="13"/>
        <v>240421</v>
      </c>
      <c r="H112" s="72">
        <f t="shared" si="21"/>
        <v>-20190628</v>
      </c>
      <c r="I112" s="70">
        <f t="shared" si="22"/>
        <v>-18748102</v>
      </c>
      <c r="J112" s="70">
        <f t="shared" si="19"/>
        <v>24356702.375022307</v>
      </c>
      <c r="K112" s="72">
        <f t="shared" si="15"/>
        <v>84147.349999999991</v>
      </c>
      <c r="L112" s="72">
        <f t="shared" si="14"/>
        <v>-8019961.3341604527</v>
      </c>
      <c r="M112" s="70">
        <f t="shared" si="17"/>
        <v>-8524845.4341604505</v>
      </c>
      <c r="N112" s="67">
        <f t="shared" si="18"/>
        <v>15831856.940861857</v>
      </c>
      <c r="O112" s="67">
        <f t="shared" si="12"/>
        <v>14894215.040861862</v>
      </c>
      <c r="P112" s="65"/>
      <c r="Q112" s="76"/>
    </row>
    <row r="113" spans="1:29" hidden="1" outlineLevel="1">
      <c r="B113" s="69">
        <v>42855</v>
      </c>
      <c r="C113" s="80"/>
      <c r="D113" s="76"/>
      <c r="E113" s="74">
        <f t="shared" si="16"/>
        <v>43104804.375022314</v>
      </c>
      <c r="F113" s="70">
        <f t="shared" si="20"/>
        <v>43104804.375022307</v>
      </c>
      <c r="G113" s="74">
        <f t="shared" si="13"/>
        <v>240421</v>
      </c>
      <c r="H113" s="72">
        <f t="shared" si="21"/>
        <v>-20431049</v>
      </c>
      <c r="I113" s="70">
        <f t="shared" si="22"/>
        <v>-18988523</v>
      </c>
      <c r="J113" s="70">
        <f t="shared" si="19"/>
        <v>24116281.375022307</v>
      </c>
      <c r="K113" s="72">
        <f t="shared" si="15"/>
        <v>84147.349999999991</v>
      </c>
      <c r="L113" s="72">
        <f t="shared" si="14"/>
        <v>-7935813.9841604531</v>
      </c>
      <c r="M113" s="70">
        <f t="shared" si="17"/>
        <v>-8440698.084160449</v>
      </c>
      <c r="N113" s="67">
        <f t="shared" si="18"/>
        <v>15675583.290861858</v>
      </c>
      <c r="O113" s="67">
        <f t="shared" si="12"/>
        <v>14737941.390861861</v>
      </c>
      <c r="P113" s="65"/>
      <c r="Q113" s="76"/>
    </row>
    <row r="114" spans="1:29" hidden="1" outlineLevel="1">
      <c r="B114" s="69">
        <v>42886</v>
      </c>
      <c r="C114" s="80"/>
      <c r="D114" s="76"/>
      <c r="E114" s="74">
        <f t="shared" si="16"/>
        <v>43104804.375022314</v>
      </c>
      <c r="F114" s="70">
        <f t="shared" si="20"/>
        <v>43104804.375022307</v>
      </c>
      <c r="G114" s="74">
        <f t="shared" si="13"/>
        <v>240421</v>
      </c>
      <c r="H114" s="72">
        <f t="shared" si="21"/>
        <v>-20671470</v>
      </c>
      <c r="I114" s="70">
        <f t="shared" si="22"/>
        <v>-19228944</v>
      </c>
      <c r="J114" s="70">
        <f t="shared" si="19"/>
        <v>23875860.375022307</v>
      </c>
      <c r="K114" s="72">
        <f t="shared" si="15"/>
        <v>84147.349999999991</v>
      </c>
      <c r="L114" s="72">
        <f t="shared" si="14"/>
        <v>-7851666.6341604535</v>
      </c>
      <c r="M114" s="70">
        <f t="shared" si="17"/>
        <v>-8356550.7341604521</v>
      </c>
      <c r="N114" s="67">
        <f t="shared" si="18"/>
        <v>15519309.640861854</v>
      </c>
      <c r="O114" s="67">
        <f t="shared" si="12"/>
        <v>14581667.740861861</v>
      </c>
      <c r="P114" s="65"/>
      <c r="Q114" s="76"/>
    </row>
    <row r="115" spans="1:29" hidden="1" outlineLevel="1">
      <c r="B115" s="69">
        <v>42916</v>
      </c>
      <c r="C115" s="80"/>
      <c r="D115" s="76"/>
      <c r="E115" s="74">
        <f t="shared" si="16"/>
        <v>43104804.375022314</v>
      </c>
      <c r="F115" s="70">
        <f t="shared" si="20"/>
        <v>43104804.375022307</v>
      </c>
      <c r="G115" s="74">
        <f t="shared" si="13"/>
        <v>240421</v>
      </c>
      <c r="H115" s="72">
        <f t="shared" si="21"/>
        <v>-20911891</v>
      </c>
      <c r="I115" s="70">
        <f t="shared" si="22"/>
        <v>-19469365</v>
      </c>
      <c r="J115" s="70">
        <f t="shared" si="19"/>
        <v>23635439.375022307</v>
      </c>
      <c r="K115" s="72">
        <f t="shared" si="15"/>
        <v>84147.349999999991</v>
      </c>
      <c r="L115" s="72">
        <f t="shared" si="14"/>
        <v>-7767519.2841604538</v>
      </c>
      <c r="M115" s="70">
        <f t="shared" si="17"/>
        <v>-8272403.3841604516</v>
      </c>
      <c r="N115" s="67">
        <f t="shared" si="18"/>
        <v>15363035.990861855</v>
      </c>
      <c r="O115" s="67">
        <f t="shared" ref="O115:O178" si="23">E115+H115+L115</f>
        <v>14425394.090861861</v>
      </c>
      <c r="P115" s="65"/>
      <c r="Q115" s="76"/>
    </row>
    <row r="116" spans="1:29" hidden="1" outlineLevel="1">
      <c r="B116" s="69">
        <v>42947</v>
      </c>
      <c r="C116" s="80"/>
      <c r="D116" s="76"/>
      <c r="E116" s="74">
        <f t="shared" si="16"/>
        <v>43104804.375022314</v>
      </c>
      <c r="F116" s="70">
        <f t="shared" si="20"/>
        <v>43104804.375022307</v>
      </c>
      <c r="G116" s="74">
        <f t="shared" si="13"/>
        <v>240421</v>
      </c>
      <c r="H116" s="72">
        <f t="shared" si="21"/>
        <v>-21152312</v>
      </c>
      <c r="I116" s="70">
        <f t="shared" si="22"/>
        <v>-19709786</v>
      </c>
      <c r="J116" s="70">
        <f t="shared" si="19"/>
        <v>23395018.375022307</v>
      </c>
      <c r="K116" s="72">
        <f t="shared" si="15"/>
        <v>84147.349999999991</v>
      </c>
      <c r="L116" s="72">
        <f t="shared" si="14"/>
        <v>-7683371.9341604542</v>
      </c>
      <c r="M116" s="70">
        <f t="shared" si="17"/>
        <v>-8188256.0341604529</v>
      </c>
      <c r="N116" s="67">
        <f t="shared" si="18"/>
        <v>15206762.340861853</v>
      </c>
      <c r="O116" s="67">
        <f t="shared" si="23"/>
        <v>14269120.44086186</v>
      </c>
      <c r="P116" s="65"/>
      <c r="Q116" s="76"/>
    </row>
    <row r="117" spans="1:29" hidden="1" outlineLevel="1">
      <c r="B117" s="69">
        <v>42978</v>
      </c>
      <c r="C117" s="80"/>
      <c r="D117" s="76"/>
      <c r="E117" s="74">
        <f t="shared" si="16"/>
        <v>43104804.375022314</v>
      </c>
      <c r="F117" s="70">
        <f t="shared" si="20"/>
        <v>43104804.375022307</v>
      </c>
      <c r="G117" s="74">
        <f t="shared" si="13"/>
        <v>240421</v>
      </c>
      <c r="H117" s="72">
        <f t="shared" si="21"/>
        <v>-21392733</v>
      </c>
      <c r="I117" s="70">
        <f t="shared" si="22"/>
        <v>-19950207</v>
      </c>
      <c r="J117" s="70">
        <f t="shared" si="19"/>
        <v>23154597.375022307</v>
      </c>
      <c r="K117" s="72">
        <f t="shared" si="15"/>
        <v>84147.349999999991</v>
      </c>
      <c r="L117" s="72">
        <f t="shared" si="14"/>
        <v>-7599224.5841604546</v>
      </c>
      <c r="M117" s="70">
        <f t="shared" si="17"/>
        <v>-8104108.6841604523</v>
      </c>
      <c r="N117" s="67">
        <f t="shared" si="18"/>
        <v>15050488.690861855</v>
      </c>
      <c r="O117" s="67">
        <f t="shared" si="23"/>
        <v>14112846.79086186</v>
      </c>
      <c r="P117" s="65"/>
      <c r="Q117" s="76"/>
    </row>
    <row r="118" spans="1:29" s="819" customFormat="1" ht="12.75" hidden="1" customHeight="1" outlineLevel="1">
      <c r="A118" s="737"/>
      <c r="B118" s="398">
        <v>43008</v>
      </c>
      <c r="C118" s="495"/>
      <c r="D118" s="394"/>
      <c r="E118" s="561">
        <f t="shared" si="16"/>
        <v>43104804.375022314</v>
      </c>
      <c r="F118" s="630">
        <f t="shared" si="20"/>
        <v>43104804.375022307</v>
      </c>
      <c r="G118" s="561">
        <f t="shared" si="13"/>
        <v>240421</v>
      </c>
      <c r="H118" s="561">
        <f t="shared" si="21"/>
        <v>-21633154</v>
      </c>
      <c r="I118" s="630">
        <f t="shared" si="22"/>
        <v>-20190628</v>
      </c>
      <c r="J118" s="630">
        <f t="shared" si="19"/>
        <v>22914176.375022307</v>
      </c>
      <c r="K118" s="561">
        <f t="shared" si="15"/>
        <v>84147.349999999991</v>
      </c>
      <c r="L118" s="561">
        <f t="shared" si="14"/>
        <v>-7515077.2341604549</v>
      </c>
      <c r="M118" s="630">
        <f t="shared" si="17"/>
        <v>-8019961.3341604518</v>
      </c>
      <c r="N118" s="630">
        <f t="shared" si="18"/>
        <v>14894215.040861856</v>
      </c>
      <c r="O118" s="630">
        <f t="shared" si="23"/>
        <v>13956573.14086186</v>
      </c>
      <c r="P118" s="394"/>
      <c r="Q118" s="394"/>
      <c r="R118" s="737"/>
      <c r="S118" s="737"/>
      <c r="T118" s="737"/>
      <c r="U118" s="737"/>
      <c r="V118" s="737"/>
      <c r="W118" s="737"/>
      <c r="X118" s="737"/>
      <c r="Y118" s="737"/>
      <c r="Z118" s="737"/>
      <c r="AA118" s="737"/>
      <c r="AB118" s="737"/>
      <c r="AC118" s="737"/>
    </row>
    <row r="119" spans="1:29" s="819" customFormat="1" ht="12.75" hidden="1" customHeight="1" outlineLevel="1">
      <c r="A119" s="737"/>
      <c r="B119" s="398">
        <v>43039</v>
      </c>
      <c r="C119" s="495"/>
      <c r="D119" s="394"/>
      <c r="E119" s="561">
        <f t="shared" si="16"/>
        <v>43104804.375022314</v>
      </c>
      <c r="F119" s="630">
        <f t="shared" si="20"/>
        <v>43104804.375022307</v>
      </c>
      <c r="G119" s="561">
        <f t="shared" si="13"/>
        <v>240421</v>
      </c>
      <c r="H119" s="561">
        <f t="shared" si="21"/>
        <v>-21873575</v>
      </c>
      <c r="I119" s="630">
        <f t="shared" si="22"/>
        <v>-20431049</v>
      </c>
      <c r="J119" s="630">
        <f t="shared" si="19"/>
        <v>22673755.375022307</v>
      </c>
      <c r="K119" s="561">
        <f t="shared" si="15"/>
        <v>84147.349999999991</v>
      </c>
      <c r="L119" s="561">
        <f t="shared" si="14"/>
        <v>-7430929.8841604553</v>
      </c>
      <c r="M119" s="630">
        <f t="shared" si="17"/>
        <v>-7935813.9841604531</v>
      </c>
      <c r="N119" s="630">
        <f t="shared" si="18"/>
        <v>14737941.390861854</v>
      </c>
      <c r="O119" s="630">
        <f t="shared" si="23"/>
        <v>13800299.490861859</v>
      </c>
      <c r="P119" s="394"/>
      <c r="Q119" s="394"/>
      <c r="R119" s="737"/>
      <c r="S119" s="737"/>
      <c r="T119" s="737"/>
      <c r="U119" s="737"/>
      <c r="V119" s="737"/>
      <c r="W119" s="737"/>
      <c r="X119" s="737"/>
      <c r="Y119" s="737"/>
      <c r="Z119" s="737"/>
      <c r="AA119" s="737"/>
      <c r="AB119" s="737"/>
      <c r="AC119" s="737"/>
    </row>
    <row r="120" spans="1:29" s="819" customFormat="1" hidden="1" outlineLevel="1">
      <c r="A120" s="737"/>
      <c r="B120" s="398">
        <v>43069</v>
      </c>
      <c r="C120" s="495"/>
      <c r="D120" s="394"/>
      <c r="E120" s="561">
        <f t="shared" si="16"/>
        <v>43104804.375022314</v>
      </c>
      <c r="F120" s="630">
        <f t="shared" si="20"/>
        <v>43104804.375022307</v>
      </c>
      <c r="G120" s="561">
        <f t="shared" ref="G120:G183" si="24">G119</f>
        <v>240421</v>
      </c>
      <c r="H120" s="561">
        <f t="shared" si="21"/>
        <v>-22113996</v>
      </c>
      <c r="I120" s="630">
        <f t="shared" si="22"/>
        <v>-20671470</v>
      </c>
      <c r="J120" s="630">
        <f t="shared" si="19"/>
        <v>22433334.375022307</v>
      </c>
      <c r="K120" s="561">
        <f t="shared" si="15"/>
        <v>84147.349999999991</v>
      </c>
      <c r="L120" s="561">
        <f t="shared" si="14"/>
        <v>-7346782.5341604557</v>
      </c>
      <c r="M120" s="630">
        <f t="shared" si="17"/>
        <v>-7851666.6341604544</v>
      </c>
      <c r="N120" s="630">
        <f t="shared" si="18"/>
        <v>14581667.740861852</v>
      </c>
      <c r="O120" s="630">
        <f t="shared" si="23"/>
        <v>13644025.840861859</v>
      </c>
      <c r="P120" s="394"/>
      <c r="Q120" s="394"/>
      <c r="R120" s="737"/>
      <c r="S120" s="737"/>
      <c r="T120" s="737"/>
      <c r="U120" s="737"/>
      <c r="V120" s="737"/>
      <c r="W120" s="737"/>
      <c r="X120" s="737"/>
      <c r="Y120" s="737"/>
      <c r="Z120" s="737"/>
      <c r="AA120" s="737"/>
      <c r="AB120" s="737"/>
      <c r="AC120" s="737"/>
    </row>
    <row r="121" spans="1:29" s="819" customFormat="1" hidden="1" outlineLevel="1">
      <c r="A121" s="737"/>
      <c r="B121" s="398">
        <v>43100</v>
      </c>
      <c r="C121" s="495"/>
      <c r="D121" s="394"/>
      <c r="E121" s="561">
        <f t="shared" si="16"/>
        <v>43104804.375022314</v>
      </c>
      <c r="F121" s="630">
        <f t="shared" si="20"/>
        <v>43104804.375022307</v>
      </c>
      <c r="G121" s="561">
        <f t="shared" si="24"/>
        <v>240421</v>
      </c>
      <c r="H121" s="561">
        <f t="shared" si="21"/>
        <v>-22354417</v>
      </c>
      <c r="I121" s="630">
        <f t="shared" si="22"/>
        <v>-20911891</v>
      </c>
      <c r="J121" s="630">
        <f t="shared" si="19"/>
        <v>22192913.375022307</v>
      </c>
      <c r="K121" s="561">
        <f t="shared" si="15"/>
        <v>84147.349999999991</v>
      </c>
      <c r="L121" s="561">
        <f t="shared" si="14"/>
        <v>-7262635.1841604561</v>
      </c>
      <c r="M121" s="630">
        <f t="shared" si="17"/>
        <v>-7767519.2841604538</v>
      </c>
      <c r="N121" s="630">
        <f t="shared" si="18"/>
        <v>14425394.090861853</v>
      </c>
      <c r="O121" s="630">
        <f t="shared" si="23"/>
        <v>13487752.190861858</v>
      </c>
      <c r="P121" s="394"/>
      <c r="Q121" s="394"/>
      <c r="R121" s="737"/>
      <c r="S121" s="737"/>
      <c r="T121" s="737"/>
      <c r="U121" s="737"/>
      <c r="V121" s="737"/>
      <c r="W121" s="737"/>
      <c r="X121" s="737"/>
      <c r="Y121" s="737"/>
      <c r="Z121" s="737"/>
      <c r="AA121" s="737"/>
      <c r="AB121" s="737"/>
      <c r="AC121" s="737"/>
    </row>
    <row r="122" spans="1:29" s="819" customFormat="1" ht="12.75" customHeight="1" collapsed="1">
      <c r="A122" s="737"/>
      <c r="B122" s="398">
        <v>43131</v>
      </c>
      <c r="C122" s="495"/>
      <c r="D122" s="394"/>
      <c r="E122" s="561">
        <f t="shared" si="16"/>
        <v>43104804.375022314</v>
      </c>
      <c r="F122" s="630">
        <f t="shared" si="20"/>
        <v>43104804.375022307</v>
      </c>
      <c r="G122" s="561">
        <f t="shared" si="24"/>
        <v>240421</v>
      </c>
      <c r="H122" s="561">
        <f t="shared" si="21"/>
        <v>-22594838</v>
      </c>
      <c r="I122" s="630">
        <f t="shared" si="22"/>
        <v>-21152312</v>
      </c>
      <c r="J122" s="630">
        <f t="shared" si="19"/>
        <v>21952492.375022307</v>
      </c>
      <c r="K122" s="561">
        <f>(-D122*0.21)+(G122*0.21)</f>
        <v>50488.409999999996</v>
      </c>
      <c r="L122" s="561">
        <f t="shared" si="14"/>
        <v>-7212146.7741604559</v>
      </c>
      <c r="M122" s="630">
        <f t="shared" si="17"/>
        <v>-7684774.3899937868</v>
      </c>
      <c r="N122" s="630">
        <f t="shared" si="18"/>
        <v>14267717.98502852</v>
      </c>
      <c r="O122" s="630">
        <f t="shared" si="23"/>
        <v>13297819.600861859</v>
      </c>
      <c r="P122" s="394"/>
      <c r="Q122" s="394"/>
      <c r="R122" s="737"/>
      <c r="S122" s="737"/>
      <c r="T122" s="737"/>
      <c r="U122" s="737"/>
      <c r="V122" s="737"/>
      <c r="W122" s="737"/>
      <c r="X122" s="737"/>
      <c r="Y122" s="737"/>
      <c r="Z122" s="737"/>
      <c r="AA122" s="737"/>
      <c r="AB122" s="737"/>
      <c r="AC122" s="737"/>
    </row>
    <row r="123" spans="1:29" s="819" customFormat="1">
      <c r="A123" s="737"/>
      <c r="B123" s="398">
        <v>43159</v>
      </c>
      <c r="C123" s="495"/>
      <c r="D123" s="394"/>
      <c r="E123" s="561">
        <f t="shared" si="16"/>
        <v>43104804.375022314</v>
      </c>
      <c r="F123" s="630">
        <f t="shared" si="20"/>
        <v>43104804.375022307</v>
      </c>
      <c r="G123" s="561">
        <f t="shared" si="24"/>
        <v>240421</v>
      </c>
      <c r="H123" s="561">
        <f t="shared" si="21"/>
        <v>-22835259</v>
      </c>
      <c r="I123" s="630">
        <f t="shared" si="22"/>
        <v>-21392733</v>
      </c>
      <c r="J123" s="630">
        <f t="shared" si="19"/>
        <v>21712071.375022307</v>
      </c>
      <c r="K123" s="561">
        <f t="shared" ref="K123:K157" si="25">(-D123*0.21)+(G123*0.21)</f>
        <v>50488.409999999996</v>
      </c>
      <c r="L123" s="561">
        <f t="shared" si="14"/>
        <v>-7161658.3641604558</v>
      </c>
      <c r="M123" s="630">
        <f t="shared" si="17"/>
        <v>-7604834.4074937878</v>
      </c>
      <c r="N123" s="630">
        <f t="shared" si="18"/>
        <v>14107236.967528518</v>
      </c>
      <c r="O123" s="630">
        <f t="shared" si="23"/>
        <v>13107887.010861859</v>
      </c>
      <c r="P123" s="394"/>
      <c r="Q123" s="394"/>
      <c r="R123" s="737"/>
      <c r="S123" s="737"/>
      <c r="T123" s="737"/>
      <c r="U123" s="737"/>
      <c r="V123" s="737"/>
      <c r="W123" s="737"/>
      <c r="X123" s="737"/>
      <c r="Y123" s="737"/>
      <c r="Z123" s="737"/>
      <c r="AA123" s="737"/>
      <c r="AB123" s="737"/>
      <c r="AC123" s="737"/>
    </row>
    <row r="124" spans="1:29" s="819" customFormat="1">
      <c r="A124" s="737"/>
      <c r="B124" s="398">
        <v>43190</v>
      </c>
      <c r="C124" s="495"/>
      <c r="D124" s="394"/>
      <c r="E124" s="561">
        <f t="shared" si="16"/>
        <v>43104804.375022314</v>
      </c>
      <c r="F124" s="630">
        <f t="shared" si="20"/>
        <v>43104804.375022307</v>
      </c>
      <c r="G124" s="561">
        <f t="shared" si="24"/>
        <v>240421</v>
      </c>
      <c r="H124" s="561">
        <f t="shared" si="21"/>
        <v>-23075680</v>
      </c>
      <c r="I124" s="630">
        <f t="shared" si="22"/>
        <v>-21633154</v>
      </c>
      <c r="J124" s="630">
        <f t="shared" si="19"/>
        <v>21471650.375022307</v>
      </c>
      <c r="K124" s="561">
        <f t="shared" si="25"/>
        <v>50488.409999999996</v>
      </c>
      <c r="L124" s="561">
        <f t="shared" si="14"/>
        <v>-7111169.9541604556</v>
      </c>
      <c r="M124" s="630">
        <f t="shared" si="17"/>
        <v>-7527699.336660455</v>
      </c>
      <c r="N124" s="630">
        <f t="shared" si="18"/>
        <v>13943951.038361851</v>
      </c>
      <c r="O124" s="630">
        <f t="shared" si="23"/>
        <v>12917954.420861859</v>
      </c>
      <c r="P124" s="394"/>
      <c r="Q124" s="394"/>
      <c r="R124" s="737"/>
      <c r="S124" s="737"/>
      <c r="T124" s="737"/>
      <c r="U124" s="737"/>
      <c r="V124" s="737"/>
      <c r="W124" s="737"/>
      <c r="X124" s="737"/>
      <c r="Y124" s="737"/>
      <c r="Z124" s="737"/>
      <c r="AA124" s="737"/>
      <c r="AB124" s="737"/>
      <c r="AC124" s="737"/>
    </row>
    <row r="125" spans="1:29" s="819" customFormat="1">
      <c r="A125" s="737"/>
      <c r="B125" s="398">
        <v>43220</v>
      </c>
      <c r="C125" s="495"/>
      <c r="D125" s="394"/>
      <c r="E125" s="561">
        <f t="shared" si="16"/>
        <v>43104804.375022314</v>
      </c>
      <c r="F125" s="630">
        <f t="shared" si="20"/>
        <v>43104804.375022307</v>
      </c>
      <c r="G125" s="561">
        <f t="shared" si="24"/>
        <v>240421</v>
      </c>
      <c r="H125" s="561">
        <f t="shared" si="21"/>
        <v>-23316101</v>
      </c>
      <c r="I125" s="630">
        <f t="shared" si="22"/>
        <v>-21873575</v>
      </c>
      <c r="J125" s="630">
        <f t="shared" si="19"/>
        <v>21231229.375022307</v>
      </c>
      <c r="K125" s="561">
        <f t="shared" si="25"/>
        <v>50488.409999999996</v>
      </c>
      <c r="L125" s="561">
        <f t="shared" si="14"/>
        <v>-7060681.5441604555</v>
      </c>
      <c r="M125" s="630">
        <f t="shared" si="17"/>
        <v>-7453369.1774937883</v>
      </c>
      <c r="N125" s="630">
        <f t="shared" si="18"/>
        <v>13777860.197528519</v>
      </c>
      <c r="O125" s="630">
        <f t="shared" si="23"/>
        <v>12728021.830861859</v>
      </c>
      <c r="P125" s="394"/>
      <c r="Q125" s="394"/>
      <c r="R125" s="737"/>
      <c r="S125" s="737"/>
      <c r="T125" s="737"/>
      <c r="U125" s="737"/>
      <c r="V125" s="737"/>
      <c r="W125" s="737"/>
      <c r="X125" s="737"/>
      <c r="Y125" s="737"/>
      <c r="Z125" s="737"/>
      <c r="AA125" s="737"/>
      <c r="AB125" s="737"/>
      <c r="AC125" s="737"/>
    </row>
    <row r="126" spans="1:29" s="819" customFormat="1">
      <c r="A126" s="737"/>
      <c r="B126" s="398">
        <v>43251</v>
      </c>
      <c r="C126" s="495"/>
      <c r="D126" s="394"/>
      <c r="E126" s="561">
        <f t="shared" si="16"/>
        <v>43104804.375022314</v>
      </c>
      <c r="F126" s="630">
        <f t="shared" si="20"/>
        <v>43104804.375022307</v>
      </c>
      <c r="G126" s="561">
        <f t="shared" si="24"/>
        <v>240421</v>
      </c>
      <c r="H126" s="561">
        <f t="shared" si="21"/>
        <v>-23556522</v>
      </c>
      <c r="I126" s="630">
        <f t="shared" si="22"/>
        <v>-22113996</v>
      </c>
      <c r="J126" s="630">
        <f t="shared" si="19"/>
        <v>20990808.375022307</v>
      </c>
      <c r="K126" s="561">
        <f t="shared" si="25"/>
        <v>50488.409999999996</v>
      </c>
      <c r="L126" s="561">
        <f t="shared" si="14"/>
        <v>-7010193.1341604553</v>
      </c>
      <c r="M126" s="630">
        <f t="shared" si="17"/>
        <v>-7381843.9299937887</v>
      </c>
      <c r="N126" s="630">
        <f t="shared" si="18"/>
        <v>13608964.445028517</v>
      </c>
      <c r="O126" s="630">
        <f t="shared" si="23"/>
        <v>12538089.240861859</v>
      </c>
      <c r="P126" s="394"/>
      <c r="Q126" s="394"/>
      <c r="R126" s="737"/>
      <c r="S126" s="737"/>
      <c r="T126" s="737"/>
      <c r="U126" s="737"/>
      <c r="V126" s="737"/>
      <c r="W126" s="737"/>
      <c r="X126" s="737"/>
      <c r="Y126" s="737"/>
      <c r="Z126" s="737"/>
      <c r="AA126" s="737"/>
      <c r="AB126" s="737"/>
      <c r="AC126" s="737"/>
    </row>
    <row r="127" spans="1:29" s="819" customFormat="1">
      <c r="A127" s="737"/>
      <c r="B127" s="398">
        <v>43281</v>
      </c>
      <c r="C127" s="495"/>
      <c r="D127" s="394"/>
      <c r="E127" s="561">
        <f t="shared" si="16"/>
        <v>43104804.375022314</v>
      </c>
      <c r="F127" s="630">
        <f t="shared" si="20"/>
        <v>43104804.375022307</v>
      </c>
      <c r="G127" s="561">
        <f t="shared" si="24"/>
        <v>240421</v>
      </c>
      <c r="H127" s="561">
        <f t="shared" si="21"/>
        <v>-23796943</v>
      </c>
      <c r="I127" s="630">
        <f t="shared" si="22"/>
        <v>-22354417</v>
      </c>
      <c r="J127" s="630">
        <f t="shared" si="19"/>
        <v>20750387.375022307</v>
      </c>
      <c r="K127" s="561">
        <f t="shared" si="25"/>
        <v>50488.409999999996</v>
      </c>
      <c r="L127" s="561">
        <f t="shared" si="14"/>
        <v>-6959704.7241604552</v>
      </c>
      <c r="M127" s="630">
        <f t="shared" si="17"/>
        <v>-7313123.5941604553</v>
      </c>
      <c r="N127" s="630">
        <f t="shared" si="18"/>
        <v>13437263.780861851</v>
      </c>
      <c r="O127" s="630">
        <f t="shared" si="23"/>
        <v>12348156.650861859</v>
      </c>
      <c r="P127" s="394"/>
      <c r="Q127" s="394"/>
      <c r="R127" s="737"/>
      <c r="S127" s="737"/>
      <c r="T127" s="737"/>
      <c r="U127" s="737"/>
      <c r="V127" s="737"/>
      <c r="W127" s="737"/>
      <c r="X127" s="737"/>
      <c r="Y127" s="737"/>
      <c r="Z127" s="737"/>
      <c r="AA127" s="737"/>
      <c r="AB127" s="737"/>
      <c r="AC127" s="737"/>
    </row>
    <row r="128" spans="1:29" s="819" customFormat="1">
      <c r="A128" s="737"/>
      <c r="B128" s="398">
        <v>43312</v>
      </c>
      <c r="C128" s="495"/>
      <c r="D128" s="394"/>
      <c r="E128" s="561">
        <f t="shared" si="16"/>
        <v>43104804.375022314</v>
      </c>
      <c r="F128" s="630">
        <f t="shared" si="20"/>
        <v>43104804.375022307</v>
      </c>
      <c r="G128" s="561">
        <f t="shared" si="24"/>
        <v>240421</v>
      </c>
      <c r="H128" s="561">
        <f t="shared" si="21"/>
        <v>-24037364</v>
      </c>
      <c r="I128" s="630">
        <f t="shared" si="22"/>
        <v>-22594838</v>
      </c>
      <c r="J128" s="630">
        <f t="shared" si="19"/>
        <v>20509966.375022307</v>
      </c>
      <c r="K128" s="561">
        <f t="shared" si="25"/>
        <v>50488.409999999996</v>
      </c>
      <c r="L128" s="561">
        <f t="shared" si="14"/>
        <v>-6909216.314160455</v>
      </c>
      <c r="M128" s="630">
        <f t="shared" si="17"/>
        <v>-7247208.1699937889</v>
      </c>
      <c r="N128" s="630">
        <f t="shared" si="18"/>
        <v>13262758.205028519</v>
      </c>
      <c r="O128" s="630">
        <f t="shared" si="23"/>
        <v>12158224.060861859</v>
      </c>
      <c r="P128" s="394"/>
      <c r="Q128" s="394"/>
      <c r="R128" s="737"/>
      <c r="S128" s="737"/>
      <c r="T128" s="737"/>
      <c r="U128" s="737"/>
      <c r="V128" s="737"/>
      <c r="W128" s="737"/>
      <c r="X128" s="737"/>
      <c r="Y128" s="737"/>
      <c r="Z128" s="737"/>
      <c r="AA128" s="737"/>
      <c r="AB128" s="737"/>
      <c r="AC128" s="737"/>
    </row>
    <row r="129" spans="1:29" s="819" customFormat="1">
      <c r="A129" s="737"/>
      <c r="B129" s="398">
        <v>43343</v>
      </c>
      <c r="C129" s="495"/>
      <c r="D129" s="394"/>
      <c r="E129" s="561">
        <f t="shared" si="16"/>
        <v>43104804.375022314</v>
      </c>
      <c r="F129" s="630">
        <f t="shared" si="20"/>
        <v>43104804.375022307</v>
      </c>
      <c r="G129" s="561">
        <f t="shared" si="24"/>
        <v>240421</v>
      </c>
      <c r="H129" s="561">
        <f t="shared" si="21"/>
        <v>-24277785</v>
      </c>
      <c r="I129" s="630">
        <f t="shared" si="22"/>
        <v>-22835259</v>
      </c>
      <c r="J129" s="630">
        <f t="shared" si="19"/>
        <v>20269545.375022307</v>
      </c>
      <c r="K129" s="561">
        <f t="shared" si="25"/>
        <v>50488.409999999996</v>
      </c>
      <c r="L129" s="561">
        <f t="shared" si="14"/>
        <v>-6858727.9041604549</v>
      </c>
      <c r="M129" s="630">
        <f t="shared" si="17"/>
        <v>-7184097.6574937897</v>
      </c>
      <c r="N129" s="630">
        <f t="shared" si="18"/>
        <v>13085447.717528518</v>
      </c>
      <c r="O129" s="630">
        <f t="shared" si="23"/>
        <v>11968291.47086186</v>
      </c>
      <c r="P129" s="394"/>
      <c r="Q129" s="394"/>
      <c r="R129" s="737"/>
      <c r="S129" s="737"/>
      <c r="T129" s="737"/>
      <c r="U129" s="737"/>
      <c r="V129" s="737"/>
      <c r="W129" s="737"/>
      <c r="X129" s="737"/>
      <c r="Y129" s="737"/>
      <c r="Z129" s="737"/>
      <c r="AA129" s="737"/>
      <c r="AB129" s="737"/>
      <c r="AC129" s="737"/>
    </row>
    <row r="130" spans="1:29" s="819" customFormat="1" ht="12.75" customHeight="1">
      <c r="A130" s="737"/>
      <c r="B130" s="398">
        <v>43373</v>
      </c>
      <c r="C130" s="495"/>
      <c r="D130" s="394"/>
      <c r="E130" s="561">
        <f t="shared" si="16"/>
        <v>43104804.375022314</v>
      </c>
      <c r="F130" s="630">
        <f t="shared" si="20"/>
        <v>43104804.375022307</v>
      </c>
      <c r="G130" s="561">
        <f t="shared" si="24"/>
        <v>240421</v>
      </c>
      <c r="H130" s="561">
        <f t="shared" si="21"/>
        <v>-24518206</v>
      </c>
      <c r="I130" s="630">
        <f t="shared" si="22"/>
        <v>-23075680</v>
      </c>
      <c r="J130" s="630">
        <f t="shared" si="19"/>
        <v>20029124.375022307</v>
      </c>
      <c r="K130" s="561">
        <f t="shared" si="25"/>
        <v>50488.409999999996</v>
      </c>
      <c r="L130" s="561">
        <f t="shared" si="14"/>
        <v>-6808239.4941604547</v>
      </c>
      <c r="M130" s="630">
        <f t="shared" si="17"/>
        <v>-7123792.0566604547</v>
      </c>
      <c r="N130" s="630">
        <f t="shared" si="18"/>
        <v>12905332.318361852</v>
      </c>
      <c r="O130" s="630">
        <f t="shared" si="23"/>
        <v>11778358.88086186</v>
      </c>
      <c r="P130" s="394"/>
      <c r="Q130" s="394"/>
      <c r="R130" s="737"/>
      <c r="S130" s="737"/>
      <c r="T130" s="737"/>
      <c r="U130" s="737"/>
      <c r="V130" s="737"/>
      <c r="W130" s="737"/>
      <c r="X130" s="737"/>
      <c r="Y130" s="737"/>
      <c r="Z130" s="737"/>
      <c r="AA130" s="737"/>
      <c r="AB130" s="737"/>
      <c r="AC130" s="737"/>
    </row>
    <row r="131" spans="1:29" s="819" customFormat="1" ht="12.75" customHeight="1">
      <c r="A131" s="737"/>
      <c r="B131" s="398">
        <v>43404</v>
      </c>
      <c r="C131" s="495"/>
      <c r="D131" s="394"/>
      <c r="E131" s="561">
        <f t="shared" si="16"/>
        <v>43104804.375022314</v>
      </c>
      <c r="F131" s="630">
        <f t="shared" si="20"/>
        <v>43104804.375022307</v>
      </c>
      <c r="G131" s="561">
        <f t="shared" si="24"/>
        <v>240421</v>
      </c>
      <c r="H131" s="561">
        <f t="shared" si="21"/>
        <v>-24758627</v>
      </c>
      <c r="I131" s="630">
        <f t="shared" si="22"/>
        <v>-23316101</v>
      </c>
      <c r="J131" s="630">
        <f t="shared" si="19"/>
        <v>19788703.375022307</v>
      </c>
      <c r="K131" s="561">
        <f t="shared" si="25"/>
        <v>50488.409999999996</v>
      </c>
      <c r="L131" s="561">
        <f t="shared" si="14"/>
        <v>-6757751.0841604546</v>
      </c>
      <c r="M131" s="630">
        <f t="shared" si="17"/>
        <v>-7066291.3674937896</v>
      </c>
      <c r="N131" s="630">
        <f t="shared" si="18"/>
        <v>12722412.007528517</v>
      </c>
      <c r="O131" s="630">
        <f t="shared" si="23"/>
        <v>11588426.29086186</v>
      </c>
      <c r="P131" s="394"/>
      <c r="Q131" s="394"/>
      <c r="R131" s="737"/>
      <c r="S131" s="737"/>
      <c r="T131" s="737"/>
      <c r="U131" s="737"/>
      <c r="V131" s="737"/>
      <c r="W131" s="737"/>
      <c r="X131" s="737"/>
      <c r="Y131" s="737"/>
      <c r="Z131" s="737"/>
      <c r="AA131" s="737"/>
      <c r="AB131" s="737"/>
      <c r="AC131" s="737"/>
    </row>
    <row r="132" spans="1:29" s="819" customFormat="1">
      <c r="A132" s="737"/>
      <c r="B132" s="398">
        <v>43434</v>
      </c>
      <c r="C132" s="495"/>
      <c r="D132" s="394"/>
      <c r="E132" s="561">
        <f t="shared" si="16"/>
        <v>43104804.375022314</v>
      </c>
      <c r="F132" s="630">
        <f t="shared" si="20"/>
        <v>43104804.375022307</v>
      </c>
      <c r="G132" s="561">
        <f t="shared" si="24"/>
        <v>240421</v>
      </c>
      <c r="H132" s="561">
        <f t="shared" si="21"/>
        <v>-24999048</v>
      </c>
      <c r="I132" s="630">
        <f t="shared" si="22"/>
        <v>-23556522</v>
      </c>
      <c r="J132" s="630">
        <f t="shared" si="19"/>
        <v>19548282.375022307</v>
      </c>
      <c r="K132" s="561">
        <f t="shared" si="25"/>
        <v>50488.409999999996</v>
      </c>
      <c r="L132" s="561">
        <f t="shared" si="14"/>
        <v>-6707262.6741604544</v>
      </c>
      <c r="M132" s="630">
        <f t="shared" si="17"/>
        <v>-7011595.5899937898</v>
      </c>
      <c r="N132" s="630">
        <f t="shared" si="18"/>
        <v>12536686.785028517</v>
      </c>
      <c r="O132" s="630">
        <f t="shared" si="23"/>
        <v>11398493.70086186</v>
      </c>
      <c r="P132" s="910"/>
      <c r="Q132" s="81"/>
      <c r="R132" s="737"/>
      <c r="S132" s="737"/>
      <c r="T132" s="737"/>
      <c r="U132" s="737"/>
      <c r="V132" s="737"/>
      <c r="W132" s="737"/>
      <c r="X132" s="737"/>
      <c r="Y132" s="737"/>
      <c r="Z132" s="737"/>
      <c r="AA132" s="737"/>
      <c r="AB132" s="737"/>
      <c r="AC132" s="737"/>
    </row>
    <row r="133" spans="1:29" s="819" customFormat="1">
      <c r="A133" s="737"/>
      <c r="B133" s="398">
        <v>43465</v>
      </c>
      <c r="C133" s="495"/>
      <c r="D133" s="394"/>
      <c r="E133" s="561">
        <f t="shared" si="16"/>
        <v>43104804.375022314</v>
      </c>
      <c r="F133" s="630">
        <f t="shared" si="20"/>
        <v>43104804.375022307</v>
      </c>
      <c r="G133" s="561">
        <f t="shared" si="24"/>
        <v>240421</v>
      </c>
      <c r="H133" s="561">
        <f t="shared" si="21"/>
        <v>-25239469</v>
      </c>
      <c r="I133" s="630">
        <f t="shared" si="22"/>
        <v>-23796943</v>
      </c>
      <c r="J133" s="630">
        <f t="shared" si="19"/>
        <v>19307861.375022307</v>
      </c>
      <c r="K133" s="561">
        <f t="shared" si="25"/>
        <v>50488.409999999996</v>
      </c>
      <c r="L133" s="561">
        <f t="shared" si="14"/>
        <v>-6656774.2641604543</v>
      </c>
      <c r="M133" s="630">
        <f t="shared" si="17"/>
        <v>-6959704.7241604552</v>
      </c>
      <c r="N133" s="630">
        <f>M133+J133</f>
        <v>12348156.650861852</v>
      </c>
      <c r="O133" s="630">
        <f t="shared" si="23"/>
        <v>11208561.11086186</v>
      </c>
      <c r="P133" s="394"/>
      <c r="Q133" s="394"/>
      <c r="R133" s="737"/>
      <c r="S133" s="737"/>
      <c r="T133" s="737"/>
      <c r="U133" s="737"/>
      <c r="V133" s="737"/>
      <c r="W133" s="737"/>
      <c r="X133" s="737"/>
      <c r="Y133" s="737"/>
      <c r="Z133" s="737"/>
      <c r="AA133" s="737"/>
      <c r="AB133" s="737"/>
      <c r="AC133" s="737"/>
    </row>
    <row r="134" spans="1:29" s="819" customFormat="1" ht="12.75" customHeight="1">
      <c r="A134" s="737"/>
      <c r="B134" s="398">
        <v>43496</v>
      </c>
      <c r="C134" s="495"/>
      <c r="D134" s="394"/>
      <c r="E134" s="561">
        <f t="shared" si="16"/>
        <v>43104804.375022314</v>
      </c>
      <c r="F134" s="630">
        <f t="shared" si="20"/>
        <v>43104804.375022307</v>
      </c>
      <c r="G134" s="561">
        <f t="shared" si="24"/>
        <v>240421</v>
      </c>
      <c r="H134" s="561">
        <f t="shared" si="21"/>
        <v>-25479890</v>
      </c>
      <c r="I134" s="630">
        <f t="shared" si="22"/>
        <v>-24037364</v>
      </c>
      <c r="J134" s="630">
        <f t="shared" si="19"/>
        <v>19067440.375022307</v>
      </c>
      <c r="K134" s="561">
        <f t="shared" si="25"/>
        <v>50488.409999999996</v>
      </c>
      <c r="L134" s="561">
        <f t="shared" si="14"/>
        <v>-6606285.8541604541</v>
      </c>
      <c r="M134" s="630">
        <f t="shared" si="17"/>
        <v>-6909216.314160455</v>
      </c>
      <c r="N134" s="630">
        <f t="shared" si="18"/>
        <v>12158224.060861852</v>
      </c>
      <c r="O134" s="630">
        <f t="shared" si="23"/>
        <v>11018628.52086186</v>
      </c>
      <c r="P134" s="394"/>
      <c r="Q134" s="394"/>
      <c r="R134" s="737"/>
      <c r="S134" s="737"/>
      <c r="T134" s="737"/>
      <c r="U134" s="737"/>
      <c r="V134" s="737"/>
      <c r="W134" s="737"/>
      <c r="X134" s="737"/>
      <c r="Y134" s="737"/>
      <c r="Z134" s="737"/>
      <c r="AA134" s="737"/>
      <c r="AB134" s="737"/>
      <c r="AC134" s="737"/>
    </row>
    <row r="135" spans="1:29" s="819" customFormat="1">
      <c r="A135" s="737"/>
      <c r="B135" s="398">
        <v>43524</v>
      </c>
      <c r="C135" s="495"/>
      <c r="D135" s="394"/>
      <c r="E135" s="561">
        <f t="shared" si="16"/>
        <v>43104804.375022314</v>
      </c>
      <c r="F135" s="630">
        <f t="shared" si="20"/>
        <v>43104804.375022307</v>
      </c>
      <c r="G135" s="561">
        <f t="shared" si="24"/>
        <v>240421</v>
      </c>
      <c r="H135" s="561">
        <f t="shared" si="21"/>
        <v>-25720311</v>
      </c>
      <c r="I135" s="630">
        <f t="shared" si="22"/>
        <v>-24277785</v>
      </c>
      <c r="J135" s="630">
        <f t="shared" si="19"/>
        <v>18827019.375022307</v>
      </c>
      <c r="K135" s="561">
        <f t="shared" si="25"/>
        <v>50488.409999999996</v>
      </c>
      <c r="L135" s="561">
        <f t="shared" si="14"/>
        <v>-6555797.444160454</v>
      </c>
      <c r="M135" s="630">
        <f t="shared" si="17"/>
        <v>-6858727.9041604558</v>
      </c>
      <c r="N135" s="630">
        <f t="shared" si="18"/>
        <v>11968291.470861852</v>
      </c>
      <c r="O135" s="630">
        <f t="shared" si="23"/>
        <v>10828695.930861861</v>
      </c>
      <c r="P135" s="394"/>
      <c r="Q135" s="394"/>
      <c r="R135" s="737"/>
      <c r="S135" s="737"/>
      <c r="T135" s="737"/>
      <c r="U135" s="737"/>
      <c r="V135" s="737"/>
      <c r="W135" s="737"/>
      <c r="X135" s="737"/>
      <c r="Y135" s="737"/>
      <c r="Z135" s="737"/>
      <c r="AA135" s="737"/>
      <c r="AB135" s="737"/>
      <c r="AC135" s="737"/>
    </row>
    <row r="136" spans="1:29" s="819" customFormat="1">
      <c r="A136" s="737"/>
      <c r="B136" s="398">
        <v>43555</v>
      </c>
      <c r="C136" s="495"/>
      <c r="D136" s="394"/>
      <c r="E136" s="561">
        <f t="shared" si="16"/>
        <v>43104804.375022314</v>
      </c>
      <c r="F136" s="630">
        <f t="shared" si="20"/>
        <v>43104804.375022307</v>
      </c>
      <c r="G136" s="561">
        <f t="shared" si="24"/>
        <v>240421</v>
      </c>
      <c r="H136" s="561">
        <f t="shared" si="21"/>
        <v>-25960732</v>
      </c>
      <c r="I136" s="630">
        <f t="shared" si="22"/>
        <v>-24518206</v>
      </c>
      <c r="J136" s="630">
        <f t="shared" si="19"/>
        <v>18586598.375022307</v>
      </c>
      <c r="K136" s="561">
        <f t="shared" si="25"/>
        <v>50488.409999999996</v>
      </c>
      <c r="L136" s="561">
        <f t="shared" si="14"/>
        <v>-6505309.0341604538</v>
      </c>
      <c r="M136" s="630">
        <f t="shared" si="17"/>
        <v>-6808239.4941604547</v>
      </c>
      <c r="N136" s="630">
        <f t="shared" si="18"/>
        <v>11778358.880861852</v>
      </c>
      <c r="O136" s="630">
        <f t="shared" si="23"/>
        <v>10638763.340861861</v>
      </c>
      <c r="P136" s="394"/>
      <c r="Q136" s="394"/>
      <c r="R136" s="737"/>
      <c r="S136" s="737"/>
      <c r="T136" s="737"/>
      <c r="U136" s="737"/>
      <c r="V136" s="737"/>
      <c r="W136" s="737"/>
      <c r="X136" s="737"/>
      <c r="Y136" s="737"/>
      <c r="Z136" s="737"/>
      <c r="AA136" s="737"/>
      <c r="AB136" s="737"/>
      <c r="AC136" s="737"/>
    </row>
    <row r="137" spans="1:29" s="819" customFormat="1">
      <c r="A137" s="737"/>
      <c r="B137" s="398">
        <v>43585</v>
      </c>
      <c r="C137" s="495"/>
      <c r="D137" s="394"/>
      <c r="E137" s="561">
        <f t="shared" si="16"/>
        <v>43104804.375022314</v>
      </c>
      <c r="F137" s="630">
        <f t="shared" si="20"/>
        <v>43104804.375022307</v>
      </c>
      <c r="G137" s="561">
        <f t="shared" si="24"/>
        <v>240421</v>
      </c>
      <c r="H137" s="561">
        <f t="shared" si="21"/>
        <v>-26201153</v>
      </c>
      <c r="I137" s="630">
        <f t="shared" si="22"/>
        <v>-24758627</v>
      </c>
      <c r="J137" s="630">
        <f t="shared" si="19"/>
        <v>18346177.375022307</v>
      </c>
      <c r="K137" s="561">
        <f t="shared" si="25"/>
        <v>50488.409999999996</v>
      </c>
      <c r="L137" s="561">
        <f t="shared" si="14"/>
        <v>-6454820.6241604537</v>
      </c>
      <c r="M137" s="630">
        <f t="shared" si="17"/>
        <v>-6757751.0841604546</v>
      </c>
      <c r="N137" s="630">
        <f t="shared" si="18"/>
        <v>11588426.290861852</v>
      </c>
      <c r="O137" s="630">
        <f t="shared" si="23"/>
        <v>10448830.750861861</v>
      </c>
      <c r="P137" s="394"/>
      <c r="Q137" s="394"/>
      <c r="R137" s="737"/>
      <c r="S137" s="737"/>
      <c r="T137" s="737"/>
      <c r="U137" s="737"/>
      <c r="V137" s="737"/>
      <c r="W137" s="737"/>
      <c r="X137" s="737"/>
      <c r="Y137" s="737"/>
      <c r="Z137" s="737"/>
      <c r="AA137" s="737"/>
      <c r="AB137" s="737"/>
      <c r="AC137" s="737"/>
    </row>
    <row r="138" spans="1:29" s="819" customFormat="1">
      <c r="A138" s="737"/>
      <c r="B138" s="398">
        <v>43616</v>
      </c>
      <c r="C138" s="495"/>
      <c r="D138" s="394"/>
      <c r="E138" s="561">
        <f t="shared" si="16"/>
        <v>43104804.375022314</v>
      </c>
      <c r="F138" s="630">
        <f t="shared" si="20"/>
        <v>43104804.375022307</v>
      </c>
      <c r="G138" s="561">
        <f t="shared" si="24"/>
        <v>240421</v>
      </c>
      <c r="H138" s="561">
        <f t="shared" si="21"/>
        <v>-26441574</v>
      </c>
      <c r="I138" s="630">
        <f t="shared" si="22"/>
        <v>-24999048</v>
      </c>
      <c r="J138" s="630">
        <f t="shared" si="19"/>
        <v>18105756.375022307</v>
      </c>
      <c r="K138" s="561">
        <f t="shared" si="25"/>
        <v>50488.409999999996</v>
      </c>
      <c r="L138" s="561">
        <f t="shared" si="14"/>
        <v>-6404332.2141604535</v>
      </c>
      <c r="M138" s="630">
        <f t="shared" si="17"/>
        <v>-6707262.6741604544</v>
      </c>
      <c r="N138" s="630">
        <f t="shared" si="18"/>
        <v>11398493.700861853</v>
      </c>
      <c r="O138" s="630">
        <f t="shared" si="23"/>
        <v>10258898.160861861</v>
      </c>
      <c r="P138" s="394"/>
      <c r="Q138" s="394"/>
      <c r="R138" s="737"/>
      <c r="S138" s="737"/>
      <c r="T138" s="737"/>
      <c r="U138" s="737"/>
      <c r="V138" s="737"/>
      <c r="W138" s="737"/>
      <c r="X138" s="737"/>
      <c r="Y138" s="737"/>
      <c r="Z138" s="737"/>
      <c r="AA138" s="737"/>
      <c r="AB138" s="737"/>
      <c r="AC138" s="737"/>
    </row>
    <row r="139" spans="1:29" s="819" customFormat="1">
      <c r="A139" s="737"/>
      <c r="B139" s="398">
        <v>43646</v>
      </c>
      <c r="C139" s="495"/>
      <c r="D139" s="394"/>
      <c r="E139" s="561">
        <f t="shared" si="16"/>
        <v>43104804.375022314</v>
      </c>
      <c r="F139" s="630">
        <f t="shared" si="20"/>
        <v>43104804.375022307</v>
      </c>
      <c r="G139" s="561">
        <f t="shared" si="24"/>
        <v>240421</v>
      </c>
      <c r="H139" s="561">
        <f t="shared" si="21"/>
        <v>-26681995</v>
      </c>
      <c r="I139" s="630">
        <f t="shared" si="22"/>
        <v>-25239469</v>
      </c>
      <c r="J139" s="630">
        <f t="shared" si="19"/>
        <v>17865335.375022307</v>
      </c>
      <c r="K139" s="561">
        <f t="shared" si="25"/>
        <v>50488.409999999996</v>
      </c>
      <c r="L139" s="561">
        <f t="shared" si="14"/>
        <v>-6353843.8041604534</v>
      </c>
      <c r="M139" s="630">
        <f t="shared" si="17"/>
        <v>-6656774.2641604552</v>
      </c>
      <c r="N139" s="630">
        <f t="shared" si="18"/>
        <v>11208561.110861853</v>
      </c>
      <c r="O139" s="630">
        <f t="shared" si="23"/>
        <v>10068965.570861861</v>
      </c>
      <c r="P139" s="394"/>
      <c r="Q139" s="394"/>
      <c r="R139" s="737"/>
      <c r="S139" s="737"/>
      <c r="T139" s="737"/>
      <c r="U139" s="737"/>
      <c r="V139" s="737"/>
      <c r="W139" s="737"/>
      <c r="X139" s="737"/>
      <c r="Y139" s="737"/>
      <c r="Z139" s="737"/>
      <c r="AA139" s="737"/>
      <c r="AB139" s="737"/>
      <c r="AC139" s="737"/>
    </row>
    <row r="140" spans="1:29" s="819" customFormat="1">
      <c r="A140" s="737"/>
      <c r="B140" s="398">
        <v>43677</v>
      </c>
      <c r="C140" s="495"/>
      <c r="D140" s="394"/>
      <c r="E140" s="561">
        <f t="shared" si="16"/>
        <v>43104804.375022314</v>
      </c>
      <c r="F140" s="630">
        <f t="shared" si="20"/>
        <v>43104804.375022307</v>
      </c>
      <c r="G140" s="561">
        <f t="shared" si="24"/>
        <v>240421</v>
      </c>
      <c r="H140" s="561">
        <f t="shared" si="21"/>
        <v>-26922416</v>
      </c>
      <c r="I140" s="630">
        <f t="shared" si="22"/>
        <v>-25479890</v>
      </c>
      <c r="J140" s="630">
        <f t="shared" si="19"/>
        <v>17624914.375022307</v>
      </c>
      <c r="K140" s="561">
        <f t="shared" si="25"/>
        <v>50488.409999999996</v>
      </c>
      <c r="L140" s="561">
        <f t="shared" si="14"/>
        <v>-6303355.3941604532</v>
      </c>
      <c r="M140" s="630">
        <f t="shared" si="17"/>
        <v>-6606285.8541604551</v>
      </c>
      <c r="N140" s="630">
        <f t="shared" si="18"/>
        <v>11018628.520861853</v>
      </c>
      <c r="O140" s="630">
        <f t="shared" si="23"/>
        <v>9879032.9808618613</v>
      </c>
      <c r="P140" s="394"/>
      <c r="Q140" s="394"/>
      <c r="R140" s="737"/>
      <c r="S140" s="737"/>
      <c r="T140" s="737"/>
      <c r="U140" s="737"/>
      <c r="V140" s="737"/>
      <c r="W140" s="737"/>
      <c r="X140" s="737"/>
      <c r="Y140" s="737"/>
      <c r="Z140" s="737"/>
      <c r="AA140" s="737"/>
      <c r="AB140" s="737"/>
      <c r="AC140" s="737"/>
    </row>
    <row r="141" spans="1:29" s="819" customFormat="1">
      <c r="A141" s="737"/>
      <c r="B141" s="398">
        <v>43708</v>
      </c>
      <c r="C141" s="495"/>
      <c r="D141" s="394"/>
      <c r="E141" s="561">
        <f t="shared" si="16"/>
        <v>43104804.375022314</v>
      </c>
      <c r="F141" s="630">
        <f t="shared" si="20"/>
        <v>43104804.375022307</v>
      </c>
      <c r="G141" s="561">
        <f t="shared" si="24"/>
        <v>240421</v>
      </c>
      <c r="H141" s="561">
        <f t="shared" si="21"/>
        <v>-27162837</v>
      </c>
      <c r="I141" s="630">
        <f t="shared" si="22"/>
        <v>-25720311</v>
      </c>
      <c r="J141" s="630">
        <f t="shared" si="19"/>
        <v>17384493.375022307</v>
      </c>
      <c r="K141" s="561">
        <f t="shared" si="25"/>
        <v>50488.409999999996</v>
      </c>
      <c r="L141" s="561">
        <f t="shared" ref="L141:L204" si="26">L140+K141</f>
        <v>-6252866.9841604531</v>
      </c>
      <c r="M141" s="630">
        <f t="shared" si="17"/>
        <v>-6555797.444160454</v>
      </c>
      <c r="N141" s="630">
        <f t="shared" si="18"/>
        <v>10828695.930861853</v>
      </c>
      <c r="O141" s="630">
        <f t="shared" si="23"/>
        <v>9689100.3908618614</v>
      </c>
      <c r="P141" s="394"/>
      <c r="Q141" s="394"/>
      <c r="R141" s="737"/>
      <c r="S141" s="737"/>
      <c r="T141" s="737"/>
      <c r="U141" s="737"/>
      <c r="V141" s="737"/>
      <c r="W141" s="737"/>
      <c r="X141" s="737"/>
      <c r="Y141" s="737"/>
      <c r="Z141" s="737"/>
      <c r="AA141" s="737"/>
      <c r="AB141" s="737"/>
      <c r="AC141" s="737"/>
    </row>
    <row r="142" spans="1:29" s="819" customFormat="1">
      <c r="A142" s="737"/>
      <c r="B142" s="398">
        <v>43738</v>
      </c>
      <c r="C142" s="495"/>
      <c r="D142" s="394"/>
      <c r="E142" s="561">
        <f t="shared" si="16"/>
        <v>43104804.375022314</v>
      </c>
      <c r="F142" s="630">
        <f t="shared" si="20"/>
        <v>43104804.375022307</v>
      </c>
      <c r="G142" s="561">
        <f t="shared" si="24"/>
        <v>240421</v>
      </c>
      <c r="H142" s="561">
        <f t="shared" si="21"/>
        <v>-27403258</v>
      </c>
      <c r="I142" s="630">
        <f t="shared" si="22"/>
        <v>-25960732</v>
      </c>
      <c r="J142" s="630">
        <f t="shared" si="19"/>
        <v>17144072.375022307</v>
      </c>
      <c r="K142" s="561">
        <f t="shared" si="25"/>
        <v>50488.409999999996</v>
      </c>
      <c r="L142" s="561">
        <f t="shared" si="26"/>
        <v>-6202378.5741604529</v>
      </c>
      <c r="M142" s="630">
        <f t="shared" si="17"/>
        <v>-6505309.0341604538</v>
      </c>
      <c r="N142" s="630">
        <f t="shared" si="18"/>
        <v>10638763.340861853</v>
      </c>
      <c r="O142" s="630">
        <f t="shared" si="23"/>
        <v>9499167.8008618616</v>
      </c>
      <c r="P142" s="394"/>
      <c r="Q142" s="394"/>
      <c r="R142" s="737"/>
      <c r="S142" s="737"/>
      <c r="T142" s="737"/>
      <c r="U142" s="737"/>
      <c r="V142" s="737"/>
      <c r="W142" s="737"/>
      <c r="X142" s="737"/>
      <c r="Y142" s="737"/>
      <c r="Z142" s="737"/>
      <c r="AA142" s="737"/>
      <c r="AB142" s="737"/>
      <c r="AC142" s="737"/>
    </row>
    <row r="143" spans="1:29" s="819" customFormat="1">
      <c r="A143" s="737"/>
      <c r="B143" s="398">
        <v>43769</v>
      </c>
      <c r="C143" s="495"/>
      <c r="D143" s="394"/>
      <c r="E143" s="561">
        <f t="shared" si="16"/>
        <v>43104804.375022314</v>
      </c>
      <c r="F143" s="630">
        <f t="shared" si="20"/>
        <v>43104804.375022307</v>
      </c>
      <c r="G143" s="561">
        <f t="shared" si="24"/>
        <v>240421</v>
      </c>
      <c r="H143" s="561">
        <f t="shared" si="21"/>
        <v>-27643679</v>
      </c>
      <c r="I143" s="630">
        <f t="shared" si="22"/>
        <v>-26201153</v>
      </c>
      <c r="J143" s="630">
        <f t="shared" si="19"/>
        <v>16903651.375022307</v>
      </c>
      <c r="K143" s="561">
        <f t="shared" si="25"/>
        <v>50488.409999999996</v>
      </c>
      <c r="L143" s="561">
        <f t="shared" si="26"/>
        <v>-6151890.1641604528</v>
      </c>
      <c r="M143" s="630">
        <f t="shared" si="17"/>
        <v>-6454820.6241604546</v>
      </c>
      <c r="N143" s="630">
        <f t="shared" si="18"/>
        <v>10448830.750861853</v>
      </c>
      <c r="O143" s="630">
        <f t="shared" si="23"/>
        <v>9309235.2108618617</v>
      </c>
      <c r="P143" s="394"/>
      <c r="Q143" s="394"/>
      <c r="R143" s="737"/>
      <c r="S143" s="737"/>
      <c r="T143" s="737"/>
      <c r="U143" s="737"/>
      <c r="V143" s="737"/>
      <c r="W143" s="737"/>
      <c r="X143" s="737"/>
      <c r="Y143" s="737"/>
      <c r="Z143" s="737"/>
      <c r="AA143" s="737"/>
      <c r="AB143" s="737"/>
      <c r="AC143" s="737"/>
    </row>
    <row r="144" spans="1:29" s="819" customFormat="1">
      <c r="A144" s="737"/>
      <c r="B144" s="398">
        <v>43799</v>
      </c>
      <c r="C144" s="495"/>
      <c r="D144" s="394"/>
      <c r="E144" s="561">
        <f t="shared" ref="E144:E207" si="27">E143+D144</f>
        <v>43104804.375022314</v>
      </c>
      <c r="F144" s="630">
        <f t="shared" si="20"/>
        <v>43104804.375022307</v>
      </c>
      <c r="G144" s="561">
        <f t="shared" si="24"/>
        <v>240421</v>
      </c>
      <c r="H144" s="561">
        <f t="shared" si="21"/>
        <v>-27884100</v>
      </c>
      <c r="I144" s="630">
        <f t="shared" si="22"/>
        <v>-26441574</v>
      </c>
      <c r="J144" s="630">
        <f t="shared" si="19"/>
        <v>16663230.375022307</v>
      </c>
      <c r="K144" s="561">
        <f t="shared" si="25"/>
        <v>50488.409999999996</v>
      </c>
      <c r="L144" s="561">
        <f t="shared" si="26"/>
        <v>-6101401.7541604526</v>
      </c>
      <c r="M144" s="630">
        <f t="shared" si="17"/>
        <v>-6404332.2141604535</v>
      </c>
      <c r="N144" s="630">
        <f t="shared" si="18"/>
        <v>10258898.160861854</v>
      </c>
      <c r="O144" s="630">
        <f t="shared" si="23"/>
        <v>9119302.6208618619</v>
      </c>
      <c r="P144" s="394"/>
      <c r="Q144" s="394"/>
      <c r="R144" s="737"/>
      <c r="S144" s="737"/>
      <c r="T144" s="737"/>
      <c r="U144" s="737"/>
      <c r="V144" s="737"/>
      <c r="W144" s="737"/>
      <c r="X144" s="737"/>
      <c r="Y144" s="737"/>
      <c r="Z144" s="737"/>
      <c r="AA144" s="737"/>
      <c r="AB144" s="737"/>
      <c r="AC144" s="737"/>
    </row>
    <row r="145" spans="2:17" s="737" customFormat="1">
      <c r="B145" s="398">
        <v>43830</v>
      </c>
      <c r="C145" s="495"/>
      <c r="D145" s="394"/>
      <c r="E145" s="561">
        <f t="shared" si="27"/>
        <v>43104804.375022314</v>
      </c>
      <c r="F145" s="630">
        <f t="shared" si="20"/>
        <v>43104804.375022307</v>
      </c>
      <c r="G145" s="561">
        <f t="shared" si="24"/>
        <v>240421</v>
      </c>
      <c r="H145" s="561">
        <f t="shared" si="21"/>
        <v>-28124521</v>
      </c>
      <c r="I145" s="630">
        <f t="shared" si="22"/>
        <v>-26681995</v>
      </c>
      <c r="J145" s="630">
        <f t="shared" si="19"/>
        <v>16422809.375022307</v>
      </c>
      <c r="K145" s="561">
        <f t="shared" si="25"/>
        <v>50488.409999999996</v>
      </c>
      <c r="L145" s="561">
        <f t="shared" si="26"/>
        <v>-6050913.3441604525</v>
      </c>
      <c r="M145" s="630">
        <f t="shared" si="17"/>
        <v>-6353843.8041604534</v>
      </c>
      <c r="N145" s="630">
        <f t="shared" si="18"/>
        <v>10068965.570861854</v>
      </c>
      <c r="O145" s="630">
        <f t="shared" si="23"/>
        <v>8929370.030861862</v>
      </c>
      <c r="P145" s="394"/>
      <c r="Q145" s="394"/>
    </row>
    <row r="146" spans="2:17" s="737" customFormat="1">
      <c r="B146" s="398">
        <v>43861</v>
      </c>
      <c r="E146" s="561">
        <f t="shared" si="27"/>
        <v>43104804.375022314</v>
      </c>
      <c r="F146" s="630">
        <f t="shared" si="20"/>
        <v>43104804.375022307</v>
      </c>
      <c r="G146" s="561">
        <f t="shared" si="24"/>
        <v>240421</v>
      </c>
      <c r="H146" s="561">
        <f t="shared" si="21"/>
        <v>-28364942</v>
      </c>
      <c r="I146" s="630">
        <f t="shared" si="22"/>
        <v>-26922416</v>
      </c>
      <c r="J146" s="630">
        <f t="shared" si="19"/>
        <v>16182388.375022307</v>
      </c>
      <c r="K146" s="561">
        <f t="shared" si="25"/>
        <v>50488.409999999996</v>
      </c>
      <c r="L146" s="561">
        <f t="shared" si="26"/>
        <v>-6000424.9341604523</v>
      </c>
      <c r="M146" s="630">
        <f t="shared" si="17"/>
        <v>-6303355.3941604532</v>
      </c>
      <c r="N146" s="630">
        <f t="shared" si="18"/>
        <v>9879032.9808618538</v>
      </c>
      <c r="O146" s="630">
        <f t="shared" si="23"/>
        <v>8739437.4408618622</v>
      </c>
    </row>
    <row r="147" spans="2:17" s="737" customFormat="1">
      <c r="B147" s="398">
        <v>43889</v>
      </c>
      <c r="E147" s="561">
        <f t="shared" si="27"/>
        <v>43104804.375022314</v>
      </c>
      <c r="F147" s="630">
        <f t="shared" si="20"/>
        <v>43104804.375022307</v>
      </c>
      <c r="G147" s="561">
        <f t="shared" si="24"/>
        <v>240421</v>
      </c>
      <c r="H147" s="561">
        <f t="shared" si="21"/>
        <v>-28605363</v>
      </c>
      <c r="I147" s="630">
        <f t="shared" si="22"/>
        <v>-27162837</v>
      </c>
      <c r="J147" s="630">
        <f t="shared" si="19"/>
        <v>15941967.375022307</v>
      </c>
      <c r="K147" s="561">
        <f t="shared" si="25"/>
        <v>50488.409999999996</v>
      </c>
      <c r="L147" s="561">
        <f t="shared" si="26"/>
        <v>-5949936.5241604522</v>
      </c>
      <c r="M147" s="630">
        <f t="shared" si="17"/>
        <v>-6252866.984160454</v>
      </c>
      <c r="N147" s="630">
        <f t="shared" si="18"/>
        <v>9689100.390861854</v>
      </c>
      <c r="O147" s="630">
        <f t="shared" si="23"/>
        <v>8549504.8508618623</v>
      </c>
    </row>
    <row r="148" spans="2:17" s="737" customFormat="1">
      <c r="B148" s="398">
        <v>43921</v>
      </c>
      <c r="E148" s="561">
        <f t="shared" si="27"/>
        <v>43104804.375022314</v>
      </c>
      <c r="F148" s="630">
        <f t="shared" si="20"/>
        <v>43104804.375022307</v>
      </c>
      <c r="G148" s="561">
        <f t="shared" si="24"/>
        <v>240421</v>
      </c>
      <c r="H148" s="561">
        <f t="shared" si="21"/>
        <v>-28845784</v>
      </c>
      <c r="I148" s="630">
        <f t="shared" si="22"/>
        <v>-27403258</v>
      </c>
      <c r="J148" s="630">
        <f t="shared" si="19"/>
        <v>15701546.375022307</v>
      </c>
      <c r="K148" s="561">
        <f t="shared" si="25"/>
        <v>50488.409999999996</v>
      </c>
      <c r="L148" s="561">
        <f t="shared" si="26"/>
        <v>-5899448.114160452</v>
      </c>
      <c r="M148" s="630">
        <f t="shared" si="17"/>
        <v>-6202378.5741604539</v>
      </c>
      <c r="N148" s="630">
        <f t="shared" si="18"/>
        <v>9499167.8008618541</v>
      </c>
      <c r="O148" s="630">
        <f t="shared" si="23"/>
        <v>8359572.2608618625</v>
      </c>
    </row>
    <row r="149" spans="2:17" s="737" customFormat="1">
      <c r="B149" s="398">
        <v>43951</v>
      </c>
      <c r="E149" s="561">
        <f t="shared" si="27"/>
        <v>43104804.375022314</v>
      </c>
      <c r="F149" s="630">
        <f t="shared" si="20"/>
        <v>43104804.375022307</v>
      </c>
      <c r="G149" s="561">
        <f t="shared" si="24"/>
        <v>240421</v>
      </c>
      <c r="H149" s="561">
        <f t="shared" si="21"/>
        <v>-29086205</v>
      </c>
      <c r="I149" s="630">
        <f t="shared" si="22"/>
        <v>-27643679</v>
      </c>
      <c r="J149" s="630">
        <f t="shared" si="19"/>
        <v>15461125.375022307</v>
      </c>
      <c r="K149" s="561">
        <f t="shared" si="25"/>
        <v>50488.409999999996</v>
      </c>
      <c r="L149" s="561">
        <f t="shared" si="26"/>
        <v>-5848959.7041604519</v>
      </c>
      <c r="M149" s="630">
        <f t="shared" si="17"/>
        <v>-6151890.1641604528</v>
      </c>
      <c r="N149" s="630">
        <f t="shared" si="18"/>
        <v>9309235.2108618543</v>
      </c>
      <c r="O149" s="630">
        <f t="shared" si="23"/>
        <v>8169639.6708618626</v>
      </c>
    </row>
    <row r="150" spans="2:17" s="737" customFormat="1">
      <c r="B150" s="398">
        <v>43982</v>
      </c>
      <c r="E150" s="561">
        <f t="shared" si="27"/>
        <v>43104804.375022314</v>
      </c>
      <c r="F150" s="630">
        <f t="shared" si="20"/>
        <v>43104804.375022307</v>
      </c>
      <c r="G150" s="561">
        <f t="shared" si="24"/>
        <v>240421</v>
      </c>
      <c r="H150" s="561">
        <f t="shared" si="21"/>
        <v>-29326626</v>
      </c>
      <c r="I150" s="630">
        <f t="shared" si="22"/>
        <v>-27884100</v>
      </c>
      <c r="J150" s="630">
        <f t="shared" si="19"/>
        <v>15220704.375022307</v>
      </c>
      <c r="K150" s="561">
        <f t="shared" si="25"/>
        <v>50488.409999999996</v>
      </c>
      <c r="L150" s="561">
        <f t="shared" si="26"/>
        <v>-5798471.2941604517</v>
      </c>
      <c r="M150" s="630">
        <f t="shared" si="17"/>
        <v>-6101401.7541604526</v>
      </c>
      <c r="N150" s="630">
        <f t="shared" si="18"/>
        <v>9119302.6208618544</v>
      </c>
      <c r="O150" s="630">
        <f t="shared" si="23"/>
        <v>7979707.0808618627</v>
      </c>
    </row>
    <row r="151" spans="2:17" s="737" customFormat="1">
      <c r="B151" s="398">
        <v>44012</v>
      </c>
      <c r="E151" s="561">
        <f t="shared" si="27"/>
        <v>43104804.375022314</v>
      </c>
      <c r="F151" s="630">
        <f t="shared" si="20"/>
        <v>43104804.375022307</v>
      </c>
      <c r="G151" s="561">
        <f t="shared" si="24"/>
        <v>240421</v>
      </c>
      <c r="H151" s="561">
        <f t="shared" si="21"/>
        <v>-29567047</v>
      </c>
      <c r="I151" s="630">
        <f t="shared" si="22"/>
        <v>-28124521</v>
      </c>
      <c r="J151" s="630">
        <f t="shared" si="19"/>
        <v>14980283.375022307</v>
      </c>
      <c r="K151" s="561">
        <f t="shared" si="25"/>
        <v>50488.409999999996</v>
      </c>
      <c r="L151" s="561">
        <f t="shared" si="26"/>
        <v>-5747982.8841604516</v>
      </c>
      <c r="M151" s="630">
        <f t="shared" si="17"/>
        <v>-6050913.3441604534</v>
      </c>
      <c r="N151" s="630">
        <f t="shared" si="18"/>
        <v>8929370.0308618546</v>
      </c>
      <c r="O151" s="630">
        <f t="shared" si="23"/>
        <v>7789774.4908618629</v>
      </c>
    </row>
    <row r="152" spans="2:17" s="737" customFormat="1">
      <c r="B152" s="398">
        <v>44043</v>
      </c>
      <c r="E152" s="561">
        <f t="shared" si="27"/>
        <v>43104804.375022314</v>
      </c>
      <c r="F152" s="630">
        <f t="shared" si="20"/>
        <v>43104804.375022307</v>
      </c>
      <c r="G152" s="561">
        <f t="shared" si="24"/>
        <v>240421</v>
      </c>
      <c r="H152" s="561">
        <f t="shared" si="21"/>
        <v>-29807468</v>
      </c>
      <c r="I152" s="630">
        <f t="shared" si="22"/>
        <v>-28364942</v>
      </c>
      <c r="J152" s="630">
        <f t="shared" si="19"/>
        <v>14739862.375022307</v>
      </c>
      <c r="K152" s="561">
        <f t="shared" si="25"/>
        <v>50488.409999999996</v>
      </c>
      <c r="L152" s="561">
        <f t="shared" si="26"/>
        <v>-5697494.4741604514</v>
      </c>
      <c r="M152" s="630">
        <f t="shared" si="17"/>
        <v>-6000424.9341604523</v>
      </c>
      <c r="N152" s="630">
        <f t="shared" si="18"/>
        <v>8739437.4408618547</v>
      </c>
      <c r="O152" s="630">
        <f t="shared" si="23"/>
        <v>7599841.900861863</v>
      </c>
    </row>
    <row r="153" spans="2:17" s="737" customFormat="1">
      <c r="B153" s="398">
        <v>44074</v>
      </c>
      <c r="E153" s="561">
        <f t="shared" si="27"/>
        <v>43104804.375022314</v>
      </c>
      <c r="F153" s="630">
        <f t="shared" si="20"/>
        <v>43104804.375022307</v>
      </c>
      <c r="G153" s="561">
        <f t="shared" si="24"/>
        <v>240421</v>
      </c>
      <c r="H153" s="561">
        <f t="shared" si="21"/>
        <v>-30047889</v>
      </c>
      <c r="I153" s="630">
        <f t="shared" si="22"/>
        <v>-28605363</v>
      </c>
      <c r="J153" s="630">
        <f t="shared" si="19"/>
        <v>14499441.375022307</v>
      </c>
      <c r="K153" s="561">
        <f t="shared" si="25"/>
        <v>50488.409999999996</v>
      </c>
      <c r="L153" s="561">
        <f t="shared" si="26"/>
        <v>-5647006.0641604513</v>
      </c>
      <c r="M153" s="630">
        <f t="shared" ref="M153:M209" si="28">(L141+L153+SUM(L142:L152)*2)/24</f>
        <v>-5949936.5241604522</v>
      </c>
      <c r="N153" s="630">
        <f t="shared" ref="N153:N209" si="29">M153+J153</f>
        <v>8549504.8508618549</v>
      </c>
      <c r="O153" s="630">
        <f t="shared" si="23"/>
        <v>7409909.3108618632</v>
      </c>
    </row>
    <row r="154" spans="2:17" s="737" customFormat="1">
      <c r="B154" s="398">
        <v>44104</v>
      </c>
      <c r="E154" s="561">
        <f t="shared" si="27"/>
        <v>43104804.375022314</v>
      </c>
      <c r="F154" s="630">
        <f t="shared" si="20"/>
        <v>43104804.375022307</v>
      </c>
      <c r="G154" s="561">
        <f t="shared" si="24"/>
        <v>240421</v>
      </c>
      <c r="H154" s="561">
        <f t="shared" si="21"/>
        <v>-30288310</v>
      </c>
      <c r="I154" s="630">
        <f t="shared" si="22"/>
        <v>-28845784</v>
      </c>
      <c r="J154" s="630">
        <f t="shared" ref="J154:J208" si="30">F154+I154</f>
        <v>14259020.375022307</v>
      </c>
      <c r="K154" s="561">
        <f t="shared" si="25"/>
        <v>50488.409999999996</v>
      </c>
      <c r="L154" s="561">
        <f t="shared" si="26"/>
        <v>-5596517.6541604511</v>
      </c>
      <c r="M154" s="630">
        <f t="shared" si="28"/>
        <v>-5899448.114160452</v>
      </c>
      <c r="N154" s="630">
        <f t="shared" si="29"/>
        <v>8359572.260861855</v>
      </c>
      <c r="O154" s="630">
        <f t="shared" si="23"/>
        <v>7219976.7208618633</v>
      </c>
    </row>
    <row r="155" spans="2:17" s="737" customFormat="1">
      <c r="B155" s="398">
        <v>44135</v>
      </c>
      <c r="E155" s="561">
        <f t="shared" si="27"/>
        <v>43104804.375022314</v>
      </c>
      <c r="F155" s="630">
        <f t="shared" ref="F155:F208" si="31">(E143+E155+SUM(E144:E154)*2)/24</f>
        <v>43104804.375022307</v>
      </c>
      <c r="G155" s="561">
        <f t="shared" si="24"/>
        <v>240421</v>
      </c>
      <c r="H155" s="561">
        <f t="shared" si="21"/>
        <v>-30528731</v>
      </c>
      <c r="I155" s="630">
        <f t="shared" si="22"/>
        <v>-29086205</v>
      </c>
      <c r="J155" s="630">
        <f t="shared" si="30"/>
        <v>14018599.375022307</v>
      </c>
      <c r="K155" s="561">
        <f t="shared" si="25"/>
        <v>50488.409999999996</v>
      </c>
      <c r="L155" s="561">
        <f t="shared" si="26"/>
        <v>-5546029.244160451</v>
      </c>
      <c r="M155" s="630">
        <f t="shared" si="28"/>
        <v>-5848959.7041604528</v>
      </c>
      <c r="N155" s="630">
        <f t="shared" si="29"/>
        <v>8169639.6708618542</v>
      </c>
      <c r="O155" s="630">
        <f t="shared" si="23"/>
        <v>7030044.1308618635</v>
      </c>
    </row>
    <row r="156" spans="2:17" s="737" customFormat="1">
      <c r="B156" s="398">
        <v>44165</v>
      </c>
      <c r="E156" s="561">
        <f t="shared" si="27"/>
        <v>43104804.375022314</v>
      </c>
      <c r="F156" s="630">
        <f t="shared" si="31"/>
        <v>43104804.375022307</v>
      </c>
      <c r="G156" s="561">
        <f t="shared" si="24"/>
        <v>240421</v>
      </c>
      <c r="H156" s="561">
        <f t="shared" si="21"/>
        <v>-30769152</v>
      </c>
      <c r="I156" s="630">
        <f t="shared" si="22"/>
        <v>-29326626</v>
      </c>
      <c r="J156" s="630">
        <f t="shared" si="30"/>
        <v>13778178.375022307</v>
      </c>
      <c r="K156" s="561">
        <f t="shared" si="25"/>
        <v>50488.409999999996</v>
      </c>
      <c r="L156" s="561">
        <f t="shared" si="26"/>
        <v>-5495540.8341604508</v>
      </c>
      <c r="M156" s="630">
        <f t="shared" si="28"/>
        <v>-5798471.2941604517</v>
      </c>
      <c r="N156" s="630">
        <f t="shared" si="29"/>
        <v>7979707.0808618553</v>
      </c>
      <c r="O156" s="630">
        <f t="shared" si="23"/>
        <v>6840111.5408618636</v>
      </c>
    </row>
    <row r="157" spans="2:17" s="737" customFormat="1">
      <c r="B157" s="398">
        <v>44196</v>
      </c>
      <c r="E157" s="561">
        <f t="shared" si="27"/>
        <v>43104804.375022314</v>
      </c>
      <c r="F157" s="630">
        <f t="shared" si="31"/>
        <v>43104804.375022307</v>
      </c>
      <c r="G157" s="561">
        <f t="shared" si="24"/>
        <v>240421</v>
      </c>
      <c r="H157" s="561">
        <f t="shared" si="21"/>
        <v>-31009573</v>
      </c>
      <c r="I157" s="630">
        <f t="shared" si="22"/>
        <v>-29567047</v>
      </c>
      <c r="J157" s="630">
        <f t="shared" si="30"/>
        <v>13537757.375022307</v>
      </c>
      <c r="K157" s="561">
        <f t="shared" si="25"/>
        <v>50488.409999999996</v>
      </c>
      <c r="L157" s="561">
        <f t="shared" si="26"/>
        <v>-5445052.4241604507</v>
      </c>
      <c r="M157" s="630">
        <f t="shared" si="28"/>
        <v>-5747982.8841604516</v>
      </c>
      <c r="N157" s="630">
        <f t="shared" si="29"/>
        <v>7789774.4908618554</v>
      </c>
      <c r="O157" s="630">
        <f t="shared" si="23"/>
        <v>6650178.9508618638</v>
      </c>
    </row>
    <row r="158" spans="2:17" s="737" customFormat="1" outlineLevel="1">
      <c r="B158" s="398">
        <v>44227</v>
      </c>
      <c r="E158" s="561">
        <f t="shared" si="27"/>
        <v>43104804.375022314</v>
      </c>
      <c r="F158" s="630">
        <f t="shared" si="31"/>
        <v>43104804.375022307</v>
      </c>
      <c r="G158" s="561">
        <f t="shared" si="24"/>
        <v>240421</v>
      </c>
      <c r="H158" s="561">
        <f t="shared" si="21"/>
        <v>-31249994</v>
      </c>
      <c r="I158" s="630">
        <f t="shared" si="22"/>
        <v>-29807468</v>
      </c>
      <c r="J158" s="630">
        <f t="shared" si="30"/>
        <v>13297336.375022307</v>
      </c>
      <c r="K158" s="561">
        <f t="shared" ref="K158:K205" si="32">(-D158*0.35)+(G158*0.35)</f>
        <v>84147.349999999991</v>
      </c>
      <c r="L158" s="561">
        <f t="shared" si="26"/>
        <v>-5360905.0741604511</v>
      </c>
      <c r="M158" s="630">
        <f t="shared" si="28"/>
        <v>-5696092.0183271179</v>
      </c>
      <c r="N158" s="630">
        <f t="shared" si="29"/>
        <v>7601244.3566951891</v>
      </c>
      <c r="O158" s="630">
        <f t="shared" si="23"/>
        <v>6493905.3008618634</v>
      </c>
    </row>
    <row r="159" spans="2:17" s="737" customFormat="1" outlineLevel="1">
      <c r="B159" s="398">
        <v>44255</v>
      </c>
      <c r="E159" s="561">
        <f t="shared" si="27"/>
        <v>43104804.375022314</v>
      </c>
      <c r="F159" s="630">
        <f t="shared" si="31"/>
        <v>43104804.375022307</v>
      </c>
      <c r="G159" s="561">
        <f t="shared" si="24"/>
        <v>240421</v>
      </c>
      <c r="H159" s="561">
        <f t="shared" ref="H159:H207" si="33">H158-G159</f>
        <v>-31490415</v>
      </c>
      <c r="I159" s="630">
        <f t="shared" ref="I159:I207" si="34">(H147+H159+SUM(H148:H158)*2)/24</f>
        <v>-30047889</v>
      </c>
      <c r="J159" s="630">
        <f t="shared" si="30"/>
        <v>13056915.375022307</v>
      </c>
      <c r="K159" s="561">
        <f t="shared" si="32"/>
        <v>84147.349999999991</v>
      </c>
      <c r="L159" s="561">
        <f t="shared" si="26"/>
        <v>-5276757.7241604514</v>
      </c>
      <c r="M159" s="630">
        <f t="shared" si="28"/>
        <v>-5641396.240827118</v>
      </c>
      <c r="N159" s="630">
        <f t="shared" si="29"/>
        <v>7415519.134195189</v>
      </c>
      <c r="O159" s="630">
        <f t="shared" si="23"/>
        <v>6337631.650861863</v>
      </c>
    </row>
    <row r="160" spans="2:17" s="737" customFormat="1" outlineLevel="1">
      <c r="B160" s="398">
        <v>44286</v>
      </c>
      <c r="E160" s="561">
        <f t="shared" si="27"/>
        <v>43104804.375022314</v>
      </c>
      <c r="F160" s="630">
        <f t="shared" si="31"/>
        <v>43104804.375022307</v>
      </c>
      <c r="G160" s="561">
        <f t="shared" si="24"/>
        <v>240421</v>
      </c>
      <c r="H160" s="561">
        <f t="shared" si="33"/>
        <v>-31730836</v>
      </c>
      <c r="I160" s="630">
        <f t="shared" si="34"/>
        <v>-30288310</v>
      </c>
      <c r="J160" s="630">
        <f t="shared" si="30"/>
        <v>12816494.375022307</v>
      </c>
      <c r="K160" s="561">
        <f t="shared" si="32"/>
        <v>84147.349999999991</v>
      </c>
      <c r="L160" s="561">
        <f t="shared" si="26"/>
        <v>-5192610.3741604518</v>
      </c>
      <c r="M160" s="630">
        <f t="shared" si="28"/>
        <v>-5583895.5516604511</v>
      </c>
      <c r="N160" s="630">
        <f t="shared" si="29"/>
        <v>7232598.8233618559</v>
      </c>
      <c r="O160" s="630">
        <f t="shared" si="23"/>
        <v>6181358.0008618627</v>
      </c>
    </row>
    <row r="161" spans="2:15" s="737" customFormat="1" outlineLevel="1">
      <c r="B161" s="398">
        <v>44316</v>
      </c>
      <c r="E161" s="561">
        <f t="shared" si="27"/>
        <v>43104804.375022314</v>
      </c>
      <c r="F161" s="630">
        <f t="shared" si="31"/>
        <v>43104804.375022307</v>
      </c>
      <c r="G161" s="561">
        <f t="shared" si="24"/>
        <v>240421</v>
      </c>
      <c r="H161" s="561">
        <f t="shared" si="33"/>
        <v>-31971257</v>
      </c>
      <c r="I161" s="630">
        <f t="shared" si="34"/>
        <v>-30528731</v>
      </c>
      <c r="J161" s="630">
        <f t="shared" si="30"/>
        <v>12576073.375022307</v>
      </c>
      <c r="K161" s="561">
        <f t="shared" si="32"/>
        <v>84147.349999999991</v>
      </c>
      <c r="L161" s="561">
        <f t="shared" si="26"/>
        <v>-5108463.0241604522</v>
      </c>
      <c r="M161" s="630">
        <f t="shared" si="28"/>
        <v>-5523589.950827118</v>
      </c>
      <c r="N161" s="630">
        <f t="shared" si="29"/>
        <v>7052483.424195189</v>
      </c>
      <c r="O161" s="630">
        <f t="shared" si="23"/>
        <v>6025084.3508618623</v>
      </c>
    </row>
    <row r="162" spans="2:15" s="737" customFormat="1" outlineLevel="1">
      <c r="B162" s="398">
        <v>44347</v>
      </c>
      <c r="E162" s="561">
        <f t="shared" si="27"/>
        <v>43104804.375022314</v>
      </c>
      <c r="F162" s="630">
        <f t="shared" si="31"/>
        <v>43104804.375022307</v>
      </c>
      <c r="G162" s="561">
        <f t="shared" si="24"/>
        <v>240421</v>
      </c>
      <c r="H162" s="561">
        <f t="shared" si="33"/>
        <v>-32211678</v>
      </c>
      <c r="I162" s="630">
        <f t="shared" si="34"/>
        <v>-30769152</v>
      </c>
      <c r="J162" s="630">
        <f t="shared" si="30"/>
        <v>12335652.375022307</v>
      </c>
      <c r="K162" s="561">
        <f t="shared" si="32"/>
        <v>84147.349999999991</v>
      </c>
      <c r="L162" s="561">
        <f t="shared" si="26"/>
        <v>-5024315.6741604526</v>
      </c>
      <c r="M162" s="630">
        <f t="shared" si="28"/>
        <v>-5460479.4383271178</v>
      </c>
      <c r="N162" s="630">
        <f t="shared" si="29"/>
        <v>6875172.9366951892</v>
      </c>
      <c r="O162" s="630">
        <f t="shared" si="23"/>
        <v>5868810.7008618619</v>
      </c>
    </row>
    <row r="163" spans="2:15" s="737" customFormat="1" outlineLevel="1">
      <c r="B163" s="398">
        <v>44377</v>
      </c>
      <c r="E163" s="561">
        <f t="shared" si="27"/>
        <v>43104804.375022314</v>
      </c>
      <c r="F163" s="630">
        <f t="shared" si="31"/>
        <v>43104804.375022307</v>
      </c>
      <c r="G163" s="561">
        <f t="shared" si="24"/>
        <v>240421</v>
      </c>
      <c r="H163" s="561">
        <f t="shared" si="33"/>
        <v>-32452099</v>
      </c>
      <c r="I163" s="630">
        <f t="shared" si="34"/>
        <v>-31009573</v>
      </c>
      <c r="J163" s="630">
        <f t="shared" si="30"/>
        <v>12095231.375022307</v>
      </c>
      <c r="K163" s="561">
        <f t="shared" si="32"/>
        <v>84147.349999999991</v>
      </c>
      <c r="L163" s="561">
        <f t="shared" si="26"/>
        <v>-4940168.3241604529</v>
      </c>
      <c r="M163" s="630">
        <f t="shared" si="28"/>
        <v>-5394564.0141604515</v>
      </c>
      <c r="N163" s="630">
        <f t="shared" si="29"/>
        <v>6700667.3608618556</v>
      </c>
      <c r="O163" s="630">
        <f t="shared" si="23"/>
        <v>5712537.0508618616</v>
      </c>
    </row>
    <row r="164" spans="2:15" s="737" customFormat="1" outlineLevel="1">
      <c r="B164" s="398">
        <v>44408</v>
      </c>
      <c r="E164" s="561">
        <f t="shared" si="27"/>
        <v>43104804.375022314</v>
      </c>
      <c r="F164" s="630">
        <f t="shared" si="31"/>
        <v>43104804.375022307</v>
      </c>
      <c r="G164" s="561">
        <f t="shared" si="24"/>
        <v>240421</v>
      </c>
      <c r="H164" s="561">
        <f t="shared" si="33"/>
        <v>-32692520</v>
      </c>
      <c r="I164" s="630">
        <f t="shared" si="34"/>
        <v>-31249994</v>
      </c>
      <c r="J164" s="630">
        <f t="shared" si="30"/>
        <v>11854810.375022307</v>
      </c>
      <c r="K164" s="561">
        <f t="shared" si="32"/>
        <v>84147.349999999991</v>
      </c>
      <c r="L164" s="561">
        <f t="shared" si="26"/>
        <v>-4856020.9741604533</v>
      </c>
      <c r="M164" s="630">
        <f t="shared" si="28"/>
        <v>-5325843.678327118</v>
      </c>
      <c r="N164" s="630">
        <f t="shared" si="29"/>
        <v>6528966.696695189</v>
      </c>
      <c r="O164" s="630">
        <f t="shared" si="23"/>
        <v>5556263.4008618612</v>
      </c>
    </row>
    <row r="165" spans="2:15" s="737" customFormat="1" outlineLevel="1">
      <c r="B165" s="398">
        <v>44439</v>
      </c>
      <c r="E165" s="561">
        <f t="shared" si="27"/>
        <v>43104804.375022314</v>
      </c>
      <c r="F165" s="630">
        <f t="shared" si="31"/>
        <v>43104804.375022307</v>
      </c>
      <c r="G165" s="561">
        <f t="shared" si="24"/>
        <v>240421</v>
      </c>
      <c r="H165" s="561">
        <f t="shared" si="33"/>
        <v>-32932941</v>
      </c>
      <c r="I165" s="630">
        <f t="shared" si="34"/>
        <v>-31490415</v>
      </c>
      <c r="J165" s="630">
        <f t="shared" si="30"/>
        <v>11614389.375022307</v>
      </c>
      <c r="K165" s="561">
        <f t="shared" si="32"/>
        <v>84147.349999999991</v>
      </c>
      <c r="L165" s="561">
        <f t="shared" si="26"/>
        <v>-4771873.6241604537</v>
      </c>
      <c r="M165" s="630">
        <f t="shared" si="28"/>
        <v>-5254318.4308271175</v>
      </c>
      <c r="N165" s="630">
        <f t="shared" si="29"/>
        <v>6360070.9441951895</v>
      </c>
      <c r="O165" s="630">
        <f t="shared" si="23"/>
        <v>5399989.7508618608</v>
      </c>
    </row>
    <row r="166" spans="2:15" s="737" customFormat="1" outlineLevel="1">
      <c r="B166" s="398">
        <v>44469</v>
      </c>
      <c r="E166" s="561">
        <f t="shared" si="27"/>
        <v>43104804.375022314</v>
      </c>
      <c r="F166" s="630">
        <f t="shared" si="31"/>
        <v>43104804.375022307</v>
      </c>
      <c r="G166" s="561">
        <f t="shared" si="24"/>
        <v>240421</v>
      </c>
      <c r="H166" s="561">
        <f t="shared" si="33"/>
        <v>-33173362</v>
      </c>
      <c r="I166" s="630">
        <f t="shared" si="34"/>
        <v>-31730836</v>
      </c>
      <c r="J166" s="630">
        <f t="shared" si="30"/>
        <v>11373968.375022307</v>
      </c>
      <c r="K166" s="561">
        <f t="shared" si="32"/>
        <v>84147.349999999991</v>
      </c>
      <c r="L166" s="561">
        <f t="shared" si="26"/>
        <v>-4687726.274160454</v>
      </c>
      <c r="M166" s="630">
        <f t="shared" si="28"/>
        <v>-5179988.2716604518</v>
      </c>
      <c r="N166" s="630">
        <f t="shared" si="29"/>
        <v>6193980.1033618553</v>
      </c>
      <c r="O166" s="630">
        <f t="shared" si="23"/>
        <v>5243716.1008618604</v>
      </c>
    </row>
    <row r="167" spans="2:15" s="737" customFormat="1" outlineLevel="1">
      <c r="B167" s="398">
        <v>44500</v>
      </c>
      <c r="E167" s="561">
        <f t="shared" si="27"/>
        <v>43104804.375022314</v>
      </c>
      <c r="F167" s="630">
        <f t="shared" si="31"/>
        <v>43104804.375022307</v>
      </c>
      <c r="G167" s="561">
        <f t="shared" si="24"/>
        <v>240421</v>
      </c>
      <c r="H167" s="561">
        <f t="shared" si="33"/>
        <v>-33413783</v>
      </c>
      <c r="I167" s="630">
        <f t="shared" si="34"/>
        <v>-31971257</v>
      </c>
      <c r="J167" s="630">
        <f t="shared" si="30"/>
        <v>11133547.375022307</v>
      </c>
      <c r="K167" s="561">
        <f t="shared" si="32"/>
        <v>84147.349999999991</v>
      </c>
      <c r="L167" s="561">
        <f t="shared" si="26"/>
        <v>-4603578.9241604544</v>
      </c>
      <c r="M167" s="630">
        <f t="shared" si="28"/>
        <v>-5102853.2008271189</v>
      </c>
      <c r="N167" s="630">
        <f t="shared" si="29"/>
        <v>6030694.1741951881</v>
      </c>
      <c r="O167" s="630">
        <f t="shared" si="23"/>
        <v>5087442.4508618601</v>
      </c>
    </row>
    <row r="168" spans="2:15" s="737" customFormat="1" outlineLevel="1">
      <c r="B168" s="398">
        <v>44530</v>
      </c>
      <c r="E168" s="561">
        <f t="shared" si="27"/>
        <v>43104804.375022314</v>
      </c>
      <c r="F168" s="630">
        <f t="shared" si="31"/>
        <v>43104804.375022307</v>
      </c>
      <c r="G168" s="561">
        <f t="shared" si="24"/>
        <v>240421</v>
      </c>
      <c r="H168" s="561">
        <f t="shared" si="33"/>
        <v>-33654204</v>
      </c>
      <c r="I168" s="630">
        <f t="shared" si="34"/>
        <v>-32211678</v>
      </c>
      <c r="J168" s="630">
        <f t="shared" si="30"/>
        <v>10893126.375022307</v>
      </c>
      <c r="K168" s="561">
        <f t="shared" si="32"/>
        <v>84147.349999999991</v>
      </c>
      <c r="L168" s="561">
        <f t="shared" si="26"/>
        <v>-4519431.5741604548</v>
      </c>
      <c r="M168" s="630">
        <f t="shared" si="28"/>
        <v>-5022913.218327119</v>
      </c>
      <c r="N168" s="630">
        <f t="shared" si="29"/>
        <v>5870213.156695188</v>
      </c>
      <c r="O168" s="630">
        <f t="shared" si="23"/>
        <v>4931168.8008618597</v>
      </c>
    </row>
    <row r="169" spans="2:15" s="737" customFormat="1" outlineLevel="1">
      <c r="B169" s="398">
        <v>44561</v>
      </c>
      <c r="E169" s="561">
        <f t="shared" si="27"/>
        <v>43104804.375022314</v>
      </c>
      <c r="F169" s="630">
        <f t="shared" si="31"/>
        <v>43104804.375022307</v>
      </c>
      <c r="G169" s="561">
        <f t="shared" si="24"/>
        <v>240421</v>
      </c>
      <c r="H169" s="561">
        <f t="shared" si="33"/>
        <v>-33894625</v>
      </c>
      <c r="I169" s="630">
        <f t="shared" si="34"/>
        <v>-32452099</v>
      </c>
      <c r="J169" s="630">
        <f t="shared" si="30"/>
        <v>10652705.375022307</v>
      </c>
      <c r="K169" s="561">
        <f t="shared" si="32"/>
        <v>84147.349999999991</v>
      </c>
      <c r="L169" s="561">
        <f t="shared" si="26"/>
        <v>-4435284.2241604552</v>
      </c>
      <c r="M169" s="630">
        <f t="shared" si="28"/>
        <v>-4940168.3241604529</v>
      </c>
      <c r="N169" s="630">
        <f t="shared" si="29"/>
        <v>5712537.0508618541</v>
      </c>
      <c r="O169" s="630">
        <f t="shared" si="23"/>
        <v>4774895.1508618593</v>
      </c>
    </row>
    <row r="170" spans="2:15" s="737" customFormat="1" outlineLevel="1">
      <c r="B170" s="398">
        <v>44592</v>
      </c>
      <c r="E170" s="561">
        <f t="shared" si="27"/>
        <v>43104804.375022314</v>
      </c>
      <c r="F170" s="630">
        <f t="shared" si="31"/>
        <v>43104804.375022307</v>
      </c>
      <c r="G170" s="561">
        <f t="shared" si="24"/>
        <v>240421</v>
      </c>
      <c r="H170" s="561">
        <f t="shared" si="33"/>
        <v>-34135046</v>
      </c>
      <c r="I170" s="630">
        <f t="shared" si="34"/>
        <v>-32692520</v>
      </c>
      <c r="J170" s="630">
        <f t="shared" si="30"/>
        <v>10412284.375022307</v>
      </c>
      <c r="K170" s="561">
        <f t="shared" si="32"/>
        <v>84147.349999999991</v>
      </c>
      <c r="L170" s="561">
        <f t="shared" si="26"/>
        <v>-4351136.8741604555</v>
      </c>
      <c r="M170" s="630">
        <f t="shared" si="28"/>
        <v>-4856020.9741604542</v>
      </c>
      <c r="N170" s="630">
        <f t="shared" si="29"/>
        <v>5556263.4008618528</v>
      </c>
      <c r="O170" s="630">
        <f t="shared" si="23"/>
        <v>4618621.5008618589</v>
      </c>
    </row>
    <row r="171" spans="2:15" s="737" customFormat="1" outlineLevel="1">
      <c r="B171" s="398">
        <v>44620</v>
      </c>
      <c r="E171" s="561">
        <f t="shared" si="27"/>
        <v>43104804.375022314</v>
      </c>
      <c r="F171" s="630">
        <f t="shared" si="31"/>
        <v>43104804.375022307</v>
      </c>
      <c r="G171" s="561">
        <f t="shared" si="24"/>
        <v>240421</v>
      </c>
      <c r="H171" s="561">
        <f t="shared" si="33"/>
        <v>-34375467</v>
      </c>
      <c r="I171" s="630">
        <f t="shared" si="34"/>
        <v>-32932941</v>
      </c>
      <c r="J171" s="630">
        <f t="shared" si="30"/>
        <v>10171863.375022307</v>
      </c>
      <c r="K171" s="561">
        <f t="shared" si="32"/>
        <v>84147.349999999991</v>
      </c>
      <c r="L171" s="561">
        <f t="shared" si="26"/>
        <v>-4266989.5241604559</v>
      </c>
      <c r="M171" s="630">
        <f t="shared" si="28"/>
        <v>-4771873.6241604527</v>
      </c>
      <c r="N171" s="630">
        <f t="shared" si="29"/>
        <v>5399989.7508618543</v>
      </c>
      <c r="O171" s="630">
        <f t="shared" si="23"/>
        <v>4462347.8508618586</v>
      </c>
    </row>
    <row r="172" spans="2:15" s="737" customFormat="1" outlineLevel="1">
      <c r="B172" s="398">
        <v>44651</v>
      </c>
      <c r="E172" s="561">
        <f t="shared" si="27"/>
        <v>43104804.375022314</v>
      </c>
      <c r="F172" s="630">
        <f t="shared" si="31"/>
        <v>43104804.375022307</v>
      </c>
      <c r="G172" s="561">
        <f t="shared" si="24"/>
        <v>240421</v>
      </c>
      <c r="H172" s="561">
        <f t="shared" si="33"/>
        <v>-34615888</v>
      </c>
      <c r="I172" s="630">
        <f t="shared" si="34"/>
        <v>-33173362</v>
      </c>
      <c r="J172" s="630">
        <f t="shared" si="30"/>
        <v>9931442.375022307</v>
      </c>
      <c r="K172" s="561">
        <f t="shared" si="32"/>
        <v>84147.349999999991</v>
      </c>
      <c r="L172" s="561">
        <f t="shared" si="26"/>
        <v>-4182842.1741604558</v>
      </c>
      <c r="M172" s="630">
        <f t="shared" si="28"/>
        <v>-4687726.274160454</v>
      </c>
      <c r="N172" s="630">
        <f t="shared" si="29"/>
        <v>5243716.100861853</v>
      </c>
      <c r="O172" s="630">
        <f t="shared" si="23"/>
        <v>4306074.2008618582</v>
      </c>
    </row>
    <row r="173" spans="2:15" s="737" customFormat="1" outlineLevel="1">
      <c r="B173" s="398">
        <v>44681</v>
      </c>
      <c r="E173" s="561">
        <f t="shared" si="27"/>
        <v>43104804.375022314</v>
      </c>
      <c r="F173" s="630">
        <f t="shared" si="31"/>
        <v>43104804.375022307</v>
      </c>
      <c r="G173" s="561">
        <f t="shared" si="24"/>
        <v>240421</v>
      </c>
      <c r="H173" s="561">
        <f t="shared" si="33"/>
        <v>-34856309</v>
      </c>
      <c r="I173" s="630">
        <f t="shared" si="34"/>
        <v>-33413783</v>
      </c>
      <c r="J173" s="630">
        <f t="shared" si="30"/>
        <v>9691021.375022307</v>
      </c>
      <c r="K173" s="561">
        <f t="shared" si="32"/>
        <v>84147.349999999991</v>
      </c>
      <c r="L173" s="561">
        <f t="shared" si="26"/>
        <v>-4098694.8241604557</v>
      </c>
      <c r="M173" s="630">
        <f t="shared" si="28"/>
        <v>-4603578.9241604544</v>
      </c>
      <c r="N173" s="630">
        <f t="shared" si="29"/>
        <v>5087442.4508618526</v>
      </c>
      <c r="O173" s="630">
        <f t="shared" si="23"/>
        <v>4149800.5508618588</v>
      </c>
    </row>
    <row r="174" spans="2:15" s="737" customFormat="1" outlineLevel="1">
      <c r="B174" s="398">
        <v>44712</v>
      </c>
      <c r="E174" s="561">
        <f t="shared" si="27"/>
        <v>43104804.375022314</v>
      </c>
      <c r="F174" s="630">
        <f t="shared" si="31"/>
        <v>43104804.375022307</v>
      </c>
      <c r="G174" s="561">
        <f t="shared" si="24"/>
        <v>240421</v>
      </c>
      <c r="H174" s="561">
        <f t="shared" si="33"/>
        <v>-35096730</v>
      </c>
      <c r="I174" s="630">
        <f t="shared" si="34"/>
        <v>-33654204</v>
      </c>
      <c r="J174" s="630">
        <f t="shared" si="30"/>
        <v>9450600.375022307</v>
      </c>
      <c r="K174" s="561">
        <f t="shared" si="32"/>
        <v>84147.349999999991</v>
      </c>
      <c r="L174" s="561">
        <f t="shared" si="26"/>
        <v>-4014547.4741604556</v>
      </c>
      <c r="M174" s="630">
        <f t="shared" si="28"/>
        <v>-4519431.5741604548</v>
      </c>
      <c r="N174" s="630">
        <f t="shared" si="29"/>
        <v>4931168.8008618522</v>
      </c>
      <c r="O174" s="630">
        <f t="shared" si="23"/>
        <v>3993526.9008618589</v>
      </c>
    </row>
    <row r="175" spans="2:15" s="737" customFormat="1" outlineLevel="1">
      <c r="B175" s="398">
        <v>44742</v>
      </c>
      <c r="E175" s="561">
        <f t="shared" si="27"/>
        <v>43104804.375022314</v>
      </c>
      <c r="F175" s="630">
        <f t="shared" si="31"/>
        <v>43104804.375022307</v>
      </c>
      <c r="G175" s="561">
        <f t="shared" si="24"/>
        <v>240421</v>
      </c>
      <c r="H175" s="561">
        <f t="shared" si="33"/>
        <v>-35337151</v>
      </c>
      <c r="I175" s="630">
        <f t="shared" si="34"/>
        <v>-33894625</v>
      </c>
      <c r="J175" s="630">
        <f t="shared" si="30"/>
        <v>9210179.375022307</v>
      </c>
      <c r="K175" s="561">
        <f t="shared" si="32"/>
        <v>84147.349999999991</v>
      </c>
      <c r="L175" s="561">
        <f t="shared" si="26"/>
        <v>-3930400.1241604555</v>
      </c>
      <c r="M175" s="630">
        <f t="shared" si="28"/>
        <v>-4435284.2241604542</v>
      </c>
      <c r="N175" s="630">
        <f t="shared" si="29"/>
        <v>4774895.1508618528</v>
      </c>
      <c r="O175" s="630">
        <f t="shared" si="23"/>
        <v>3837253.2508618589</v>
      </c>
    </row>
    <row r="176" spans="2:15" s="737" customFormat="1" outlineLevel="1">
      <c r="B176" s="398">
        <v>44773</v>
      </c>
      <c r="E176" s="561">
        <f t="shared" si="27"/>
        <v>43104804.375022314</v>
      </c>
      <c r="F176" s="630">
        <f t="shared" si="31"/>
        <v>43104804.375022307</v>
      </c>
      <c r="G176" s="561">
        <f t="shared" si="24"/>
        <v>240421</v>
      </c>
      <c r="H176" s="561">
        <f t="shared" si="33"/>
        <v>-35577572</v>
      </c>
      <c r="I176" s="630">
        <f t="shared" si="34"/>
        <v>-34135046</v>
      </c>
      <c r="J176" s="630">
        <f t="shared" si="30"/>
        <v>8969758.375022307</v>
      </c>
      <c r="K176" s="561">
        <f t="shared" si="32"/>
        <v>84147.349999999991</v>
      </c>
      <c r="L176" s="561">
        <f t="shared" si="26"/>
        <v>-3846252.7741604554</v>
      </c>
      <c r="M176" s="630">
        <f t="shared" si="28"/>
        <v>-4351136.8741604546</v>
      </c>
      <c r="N176" s="630">
        <f t="shared" si="29"/>
        <v>4618621.5008618524</v>
      </c>
      <c r="O176" s="630">
        <f t="shared" si="23"/>
        <v>3680979.600861859</v>
      </c>
    </row>
    <row r="177" spans="2:29" s="737" customFormat="1" outlineLevel="1">
      <c r="B177" s="398">
        <v>44804</v>
      </c>
      <c r="E177" s="561">
        <f t="shared" si="27"/>
        <v>43104804.375022314</v>
      </c>
      <c r="F177" s="630">
        <f t="shared" si="31"/>
        <v>43104804.375022307</v>
      </c>
      <c r="G177" s="561">
        <f t="shared" si="24"/>
        <v>240421</v>
      </c>
      <c r="H177" s="561">
        <f t="shared" si="33"/>
        <v>-35817993</v>
      </c>
      <c r="I177" s="630">
        <f t="shared" si="34"/>
        <v>-34375467</v>
      </c>
      <c r="J177" s="630">
        <f t="shared" si="30"/>
        <v>8729337.375022307</v>
      </c>
      <c r="K177" s="561">
        <f t="shared" si="32"/>
        <v>84147.349999999991</v>
      </c>
      <c r="L177" s="561">
        <f t="shared" si="26"/>
        <v>-3762105.4241604554</v>
      </c>
      <c r="M177" s="630">
        <f t="shared" si="28"/>
        <v>-4266989.524160455</v>
      </c>
      <c r="N177" s="630">
        <f t="shared" si="29"/>
        <v>4462347.8508618521</v>
      </c>
      <c r="O177" s="630">
        <f t="shared" si="23"/>
        <v>3524705.9508618591</v>
      </c>
    </row>
    <row r="178" spans="2:29" s="737" customFormat="1" outlineLevel="1">
      <c r="B178" s="398">
        <v>44834</v>
      </c>
      <c r="E178" s="561">
        <f t="shared" si="27"/>
        <v>43104804.375022314</v>
      </c>
      <c r="F178" s="630">
        <f t="shared" si="31"/>
        <v>43104804.375022307</v>
      </c>
      <c r="G178" s="561">
        <f t="shared" si="24"/>
        <v>240421</v>
      </c>
      <c r="H178" s="561">
        <f t="shared" si="33"/>
        <v>-36058414</v>
      </c>
      <c r="I178" s="630">
        <f t="shared" si="34"/>
        <v>-34615888</v>
      </c>
      <c r="J178" s="630">
        <f t="shared" si="30"/>
        <v>8488916.375022307</v>
      </c>
      <c r="K178" s="561">
        <f t="shared" si="32"/>
        <v>84147.349999999991</v>
      </c>
      <c r="L178" s="561">
        <f t="shared" si="26"/>
        <v>-3677958.0741604553</v>
      </c>
      <c r="M178" s="630">
        <f t="shared" si="28"/>
        <v>-4182842.1741604558</v>
      </c>
      <c r="N178" s="630">
        <f t="shared" si="29"/>
        <v>4306074.2008618508</v>
      </c>
      <c r="O178" s="630">
        <f t="shared" si="23"/>
        <v>3368432.3008618592</v>
      </c>
    </row>
    <row r="179" spans="2:29" s="737" customFormat="1" outlineLevel="1">
      <c r="B179" s="398">
        <v>44865</v>
      </c>
      <c r="E179" s="561">
        <f t="shared" si="27"/>
        <v>43104804.375022314</v>
      </c>
      <c r="F179" s="630">
        <f t="shared" si="31"/>
        <v>43104804.375022307</v>
      </c>
      <c r="G179" s="561">
        <f t="shared" si="24"/>
        <v>240421</v>
      </c>
      <c r="H179" s="561">
        <f t="shared" si="33"/>
        <v>-36298835</v>
      </c>
      <c r="I179" s="630">
        <f t="shared" si="34"/>
        <v>-34856309</v>
      </c>
      <c r="J179" s="630">
        <f t="shared" si="30"/>
        <v>8248495.375022307</v>
      </c>
      <c r="K179" s="561">
        <f t="shared" si="32"/>
        <v>84147.349999999991</v>
      </c>
      <c r="L179" s="561">
        <f t="shared" si="26"/>
        <v>-3593810.7241604552</v>
      </c>
      <c r="M179" s="630">
        <f t="shared" si="28"/>
        <v>-4098694.8241604553</v>
      </c>
      <c r="N179" s="630">
        <f t="shared" si="29"/>
        <v>4149800.5508618518</v>
      </c>
      <c r="O179" s="630">
        <f t="shared" ref="O179:O220" si="35">E179+H179+L179</f>
        <v>3212158.6508618593</v>
      </c>
    </row>
    <row r="180" spans="2:29" s="737" customFormat="1" outlineLevel="1">
      <c r="B180" s="398">
        <v>44895</v>
      </c>
      <c r="E180" s="561">
        <f t="shared" si="27"/>
        <v>43104804.375022314</v>
      </c>
      <c r="F180" s="630">
        <f t="shared" si="31"/>
        <v>43104804.375022307</v>
      </c>
      <c r="G180" s="561">
        <f t="shared" si="24"/>
        <v>240421</v>
      </c>
      <c r="H180" s="561">
        <f t="shared" si="33"/>
        <v>-36539256</v>
      </c>
      <c r="I180" s="630">
        <f t="shared" si="34"/>
        <v>-35096730</v>
      </c>
      <c r="J180" s="630">
        <f t="shared" si="30"/>
        <v>8008074.375022307</v>
      </c>
      <c r="K180" s="561">
        <f t="shared" si="32"/>
        <v>84147.349999999991</v>
      </c>
      <c r="L180" s="561">
        <f t="shared" si="26"/>
        <v>-3509663.3741604551</v>
      </c>
      <c r="M180" s="630">
        <f t="shared" si="28"/>
        <v>-4014547.4741604556</v>
      </c>
      <c r="N180" s="630">
        <f t="shared" si="29"/>
        <v>3993526.9008618514</v>
      </c>
      <c r="O180" s="630">
        <f t="shared" si="35"/>
        <v>3055885.0008618594</v>
      </c>
    </row>
    <row r="181" spans="2:29" s="737" customFormat="1" outlineLevel="1">
      <c r="B181" s="398">
        <v>44926</v>
      </c>
      <c r="E181" s="561">
        <f t="shared" si="27"/>
        <v>43104804.375022314</v>
      </c>
      <c r="F181" s="630">
        <f t="shared" si="31"/>
        <v>43104804.375022307</v>
      </c>
      <c r="G181" s="561">
        <f t="shared" si="24"/>
        <v>240421</v>
      </c>
      <c r="H181" s="561">
        <f t="shared" si="33"/>
        <v>-36779677</v>
      </c>
      <c r="I181" s="630">
        <f t="shared" si="34"/>
        <v>-35337151</v>
      </c>
      <c r="J181" s="630">
        <f t="shared" si="30"/>
        <v>7767653.375022307</v>
      </c>
      <c r="K181" s="561">
        <f t="shared" si="32"/>
        <v>84147.349999999991</v>
      </c>
      <c r="L181" s="561">
        <f t="shared" si="26"/>
        <v>-3425516.024160455</v>
      </c>
      <c r="M181" s="630">
        <f t="shared" si="28"/>
        <v>-3930400.1241604555</v>
      </c>
      <c r="N181" s="630">
        <f t="shared" si="29"/>
        <v>3837253.2508618515</v>
      </c>
      <c r="O181" s="630">
        <f t="shared" si="35"/>
        <v>2899611.3508618595</v>
      </c>
    </row>
    <row r="182" spans="2:29" s="737" customFormat="1" outlineLevel="1">
      <c r="B182" s="398">
        <v>44957</v>
      </c>
      <c r="E182" s="561">
        <f t="shared" si="27"/>
        <v>43104804.375022314</v>
      </c>
      <c r="F182" s="630">
        <f t="shared" si="31"/>
        <v>43104804.375022307</v>
      </c>
      <c r="G182" s="561">
        <f t="shared" si="24"/>
        <v>240421</v>
      </c>
      <c r="H182" s="561">
        <f t="shared" si="33"/>
        <v>-37020098</v>
      </c>
      <c r="I182" s="630">
        <f t="shared" si="34"/>
        <v>-35577572</v>
      </c>
      <c r="J182" s="630">
        <f t="shared" si="30"/>
        <v>7527232.375022307</v>
      </c>
      <c r="K182" s="561">
        <f t="shared" si="32"/>
        <v>84147.349999999991</v>
      </c>
      <c r="L182" s="561">
        <f t="shared" si="26"/>
        <v>-3341368.6741604549</v>
      </c>
      <c r="M182" s="630">
        <f t="shared" si="28"/>
        <v>-3846252.7741604545</v>
      </c>
      <c r="N182" s="630">
        <f t="shared" si="29"/>
        <v>3680979.6008618525</v>
      </c>
      <c r="O182" s="630">
        <f t="shared" si="35"/>
        <v>2743337.7008618596</v>
      </c>
    </row>
    <row r="183" spans="2:29" s="737" customFormat="1" outlineLevel="1">
      <c r="B183" s="398">
        <v>44985</v>
      </c>
      <c r="E183" s="561">
        <f t="shared" si="27"/>
        <v>43104804.375022314</v>
      </c>
      <c r="F183" s="630">
        <f t="shared" si="31"/>
        <v>43104804.375022307</v>
      </c>
      <c r="G183" s="561">
        <f t="shared" si="24"/>
        <v>240421</v>
      </c>
      <c r="H183" s="561">
        <f t="shared" si="33"/>
        <v>-37260519</v>
      </c>
      <c r="I183" s="630">
        <f t="shared" si="34"/>
        <v>-35817993</v>
      </c>
      <c r="J183" s="630">
        <f t="shared" si="30"/>
        <v>7286811.375022307</v>
      </c>
      <c r="K183" s="561">
        <f t="shared" si="32"/>
        <v>84147.349999999991</v>
      </c>
      <c r="L183" s="561">
        <f t="shared" si="26"/>
        <v>-3257221.3241604548</v>
      </c>
      <c r="M183" s="630">
        <f t="shared" si="28"/>
        <v>-3762105.4241604558</v>
      </c>
      <c r="N183" s="630">
        <f t="shared" si="29"/>
        <v>3524705.9508618512</v>
      </c>
      <c r="O183" s="630">
        <f t="shared" si="35"/>
        <v>2587064.0508618597</v>
      </c>
    </row>
    <row r="184" spans="2:29" s="737" customFormat="1" outlineLevel="1">
      <c r="B184" s="398">
        <v>45016</v>
      </c>
      <c r="E184" s="561">
        <f t="shared" si="27"/>
        <v>43104804.375022314</v>
      </c>
      <c r="F184" s="630">
        <f t="shared" si="31"/>
        <v>43104804.375022307</v>
      </c>
      <c r="G184" s="561">
        <f t="shared" ref="G184:G207" si="36">G183</f>
        <v>240421</v>
      </c>
      <c r="H184" s="561">
        <f t="shared" si="33"/>
        <v>-37500940</v>
      </c>
      <c r="I184" s="630">
        <f t="shared" si="34"/>
        <v>-36058414</v>
      </c>
      <c r="J184" s="630">
        <f t="shared" si="30"/>
        <v>7046390.375022307</v>
      </c>
      <c r="K184" s="561">
        <f t="shared" si="32"/>
        <v>84147.349999999991</v>
      </c>
      <c r="L184" s="561">
        <f t="shared" si="26"/>
        <v>-3173073.9741604547</v>
      </c>
      <c r="M184" s="630">
        <f t="shared" si="28"/>
        <v>-3677958.0741604562</v>
      </c>
      <c r="N184" s="630">
        <f t="shared" si="29"/>
        <v>3368432.3008618508</v>
      </c>
      <c r="O184" s="630">
        <f t="shared" si="35"/>
        <v>2430790.4008618598</v>
      </c>
    </row>
    <row r="185" spans="2:29" s="737" customFormat="1" outlineLevel="1">
      <c r="B185" s="398">
        <v>45046</v>
      </c>
      <c r="E185" s="561">
        <f t="shared" si="27"/>
        <v>43104804.375022314</v>
      </c>
      <c r="F185" s="630">
        <f t="shared" si="31"/>
        <v>43104804.375022307</v>
      </c>
      <c r="G185" s="561">
        <f t="shared" si="36"/>
        <v>240421</v>
      </c>
      <c r="H185" s="561">
        <f t="shared" si="33"/>
        <v>-37741361</v>
      </c>
      <c r="I185" s="630">
        <f t="shared" si="34"/>
        <v>-36298835</v>
      </c>
      <c r="J185" s="630">
        <f t="shared" si="30"/>
        <v>6805969.375022307</v>
      </c>
      <c r="K185" s="561">
        <f t="shared" si="32"/>
        <v>84147.349999999991</v>
      </c>
      <c r="L185" s="561">
        <f t="shared" si="26"/>
        <v>-3088926.6241604546</v>
      </c>
      <c r="M185" s="630">
        <f t="shared" si="28"/>
        <v>-3593810.7241604552</v>
      </c>
      <c r="N185" s="630">
        <f t="shared" si="29"/>
        <v>3212158.6508618519</v>
      </c>
      <c r="O185" s="630">
        <f t="shared" si="35"/>
        <v>2274516.7508618599</v>
      </c>
    </row>
    <row r="186" spans="2:29" s="737" customFormat="1" outlineLevel="1">
      <c r="B186" s="398">
        <v>45077</v>
      </c>
      <c r="E186" s="561">
        <f t="shared" si="27"/>
        <v>43104804.375022314</v>
      </c>
      <c r="F186" s="630">
        <f t="shared" si="31"/>
        <v>43104804.375022307</v>
      </c>
      <c r="G186" s="561">
        <f t="shared" si="36"/>
        <v>240421</v>
      </c>
      <c r="H186" s="561">
        <f t="shared" si="33"/>
        <v>-37981782</v>
      </c>
      <c r="I186" s="630">
        <f t="shared" si="34"/>
        <v>-36539256</v>
      </c>
      <c r="J186" s="630">
        <f t="shared" si="30"/>
        <v>6565548.375022307</v>
      </c>
      <c r="K186" s="561">
        <f t="shared" si="32"/>
        <v>84147.349999999991</v>
      </c>
      <c r="L186" s="561">
        <f t="shared" si="26"/>
        <v>-3004779.2741604545</v>
      </c>
      <c r="M186" s="630">
        <f t="shared" si="28"/>
        <v>-3509663.3741604551</v>
      </c>
      <c r="N186" s="630">
        <f t="shared" si="29"/>
        <v>3055885.000861852</v>
      </c>
      <c r="O186" s="630">
        <f t="shared" si="35"/>
        <v>2118243.10086186</v>
      </c>
    </row>
    <row r="187" spans="2:29" s="737" customFormat="1" outlineLevel="1">
      <c r="B187" s="398">
        <v>45107</v>
      </c>
      <c r="E187" s="561">
        <f t="shared" si="27"/>
        <v>43104804.375022314</v>
      </c>
      <c r="F187" s="630">
        <f t="shared" si="31"/>
        <v>43104804.375022307</v>
      </c>
      <c r="G187" s="561">
        <f t="shared" si="36"/>
        <v>240421</v>
      </c>
      <c r="H187" s="561">
        <f t="shared" si="33"/>
        <v>-38222203</v>
      </c>
      <c r="I187" s="630">
        <f t="shared" si="34"/>
        <v>-36779677</v>
      </c>
      <c r="J187" s="630">
        <f t="shared" si="30"/>
        <v>6325127.375022307</v>
      </c>
      <c r="K187" s="561">
        <f t="shared" si="32"/>
        <v>84147.349999999991</v>
      </c>
      <c r="L187" s="561">
        <f t="shared" si="26"/>
        <v>-2920631.9241604544</v>
      </c>
      <c r="M187" s="630">
        <f t="shared" si="28"/>
        <v>-3425516.0241604545</v>
      </c>
      <c r="N187" s="630">
        <f t="shared" si="29"/>
        <v>2899611.3508618525</v>
      </c>
      <c r="O187" s="630">
        <f t="shared" si="35"/>
        <v>1961969.4508618601</v>
      </c>
    </row>
    <row r="188" spans="2:29" s="819" customFormat="1" outlineLevel="1">
      <c r="B188" s="398">
        <v>45138</v>
      </c>
      <c r="E188" s="561">
        <f t="shared" si="27"/>
        <v>43104804.375022314</v>
      </c>
      <c r="F188" s="630">
        <f t="shared" si="31"/>
        <v>43104804.375022307</v>
      </c>
      <c r="G188" s="561">
        <f t="shared" si="36"/>
        <v>240421</v>
      </c>
      <c r="H188" s="561">
        <f t="shared" si="33"/>
        <v>-38462624</v>
      </c>
      <c r="I188" s="630">
        <f t="shared" si="34"/>
        <v>-37020098</v>
      </c>
      <c r="J188" s="630">
        <f t="shared" si="30"/>
        <v>6084706.375022307</v>
      </c>
      <c r="K188" s="561">
        <f t="shared" si="32"/>
        <v>84147.349999999991</v>
      </c>
      <c r="L188" s="561">
        <f t="shared" si="26"/>
        <v>-2836484.5741604543</v>
      </c>
      <c r="M188" s="630">
        <f t="shared" si="28"/>
        <v>-3341368.6741604549</v>
      </c>
      <c r="N188" s="630">
        <f t="shared" si="29"/>
        <v>2743337.7008618522</v>
      </c>
      <c r="O188" s="630">
        <f t="shared" si="35"/>
        <v>1805695.8008618602</v>
      </c>
      <c r="P188" s="737"/>
      <c r="Q188" s="737"/>
      <c r="R188" s="737"/>
      <c r="S188" s="737"/>
      <c r="T188" s="737"/>
      <c r="U188" s="737"/>
      <c r="V188" s="737"/>
      <c r="W188" s="737"/>
      <c r="X188" s="737"/>
      <c r="Y188" s="737"/>
      <c r="Z188" s="737"/>
      <c r="AA188" s="737"/>
      <c r="AB188" s="737"/>
      <c r="AC188" s="737"/>
    </row>
    <row r="189" spans="2:29" s="819" customFormat="1" outlineLevel="1">
      <c r="B189" s="398">
        <v>45169</v>
      </c>
      <c r="E189" s="561">
        <f t="shared" si="27"/>
        <v>43104804.375022314</v>
      </c>
      <c r="F189" s="630">
        <f t="shared" si="31"/>
        <v>43104804.375022307</v>
      </c>
      <c r="G189" s="561">
        <f t="shared" si="36"/>
        <v>240421</v>
      </c>
      <c r="H189" s="561">
        <f t="shared" si="33"/>
        <v>-38703045</v>
      </c>
      <c r="I189" s="630">
        <f t="shared" si="34"/>
        <v>-37260519</v>
      </c>
      <c r="J189" s="630">
        <f t="shared" si="30"/>
        <v>5844285.375022307</v>
      </c>
      <c r="K189" s="561">
        <f t="shared" si="32"/>
        <v>84147.349999999991</v>
      </c>
      <c r="L189" s="561">
        <f t="shared" si="26"/>
        <v>-2752337.2241604542</v>
      </c>
      <c r="M189" s="630">
        <f>(L177+L189+SUM(L178:L188)*2)/24</f>
        <v>-3257221.3241604553</v>
      </c>
      <c r="N189" s="630">
        <f t="shared" si="29"/>
        <v>2587064.0508618518</v>
      </c>
      <c r="O189" s="630">
        <f t="shared" si="35"/>
        <v>1649422.1508618603</v>
      </c>
      <c r="P189" s="737"/>
      <c r="Q189" s="737"/>
      <c r="R189" s="737"/>
      <c r="S189" s="737"/>
      <c r="T189" s="737"/>
      <c r="U189" s="737"/>
      <c r="V189" s="737"/>
      <c r="W189" s="737"/>
      <c r="X189" s="737"/>
      <c r="Y189" s="737"/>
      <c r="Z189" s="737"/>
      <c r="AA189" s="737"/>
      <c r="AB189" s="737"/>
      <c r="AC189" s="737"/>
    </row>
    <row r="190" spans="2:29" s="819" customFormat="1" outlineLevel="1">
      <c r="B190" s="398">
        <v>45199</v>
      </c>
      <c r="E190" s="561">
        <f t="shared" si="27"/>
        <v>43104804.375022314</v>
      </c>
      <c r="F190" s="630">
        <f t="shared" si="31"/>
        <v>43104804.375022307</v>
      </c>
      <c r="G190" s="561">
        <f t="shared" si="36"/>
        <v>240421</v>
      </c>
      <c r="H190" s="561">
        <f t="shared" si="33"/>
        <v>-38943466</v>
      </c>
      <c r="I190" s="630">
        <f t="shared" si="34"/>
        <v>-37500940</v>
      </c>
      <c r="J190" s="630">
        <f t="shared" si="30"/>
        <v>5603864.375022307</v>
      </c>
      <c r="K190" s="561">
        <f t="shared" si="32"/>
        <v>84147.349999999991</v>
      </c>
      <c r="L190" s="561">
        <f t="shared" si="26"/>
        <v>-2668189.8741604541</v>
      </c>
      <c r="M190" s="630">
        <f t="shared" si="28"/>
        <v>-3173073.9741604547</v>
      </c>
      <c r="N190" s="630">
        <f t="shared" si="29"/>
        <v>2430790.4008618523</v>
      </c>
      <c r="O190" s="630">
        <f t="shared" si="35"/>
        <v>1493148.5008618603</v>
      </c>
      <c r="P190" s="737"/>
      <c r="Q190" s="737"/>
      <c r="R190" s="737"/>
      <c r="S190" s="737"/>
      <c r="T190" s="737"/>
      <c r="U190" s="737"/>
      <c r="V190" s="737"/>
      <c r="W190" s="737"/>
      <c r="X190" s="737"/>
      <c r="Y190" s="737"/>
      <c r="Z190" s="737"/>
      <c r="AA190" s="737"/>
      <c r="AB190" s="737"/>
      <c r="AC190" s="737"/>
    </row>
    <row r="191" spans="2:29" s="819" customFormat="1" outlineLevel="1">
      <c r="B191" s="398">
        <v>45230</v>
      </c>
      <c r="E191" s="561">
        <f t="shared" si="27"/>
        <v>43104804.375022314</v>
      </c>
      <c r="F191" s="630">
        <f t="shared" si="31"/>
        <v>43104804.375022307</v>
      </c>
      <c r="G191" s="561">
        <f t="shared" si="36"/>
        <v>240421</v>
      </c>
      <c r="H191" s="561">
        <f t="shared" si="33"/>
        <v>-39183887</v>
      </c>
      <c r="I191" s="630">
        <f t="shared" si="34"/>
        <v>-37741361</v>
      </c>
      <c r="J191" s="630">
        <f t="shared" si="30"/>
        <v>5363443.375022307</v>
      </c>
      <c r="K191" s="561">
        <f t="shared" si="32"/>
        <v>84147.349999999991</v>
      </c>
      <c r="L191" s="561">
        <f t="shared" si="26"/>
        <v>-2584042.524160454</v>
      </c>
      <c r="M191" s="630">
        <f t="shared" si="28"/>
        <v>-3088926.6241604551</v>
      </c>
      <c r="N191" s="630">
        <f t="shared" si="29"/>
        <v>2274516.750861852</v>
      </c>
      <c r="O191" s="630">
        <f t="shared" si="35"/>
        <v>1336874.8508618604</v>
      </c>
      <c r="P191" s="737"/>
      <c r="Q191" s="737"/>
      <c r="R191" s="737"/>
      <c r="S191" s="737"/>
      <c r="T191" s="737"/>
      <c r="U191" s="737"/>
      <c r="V191" s="737"/>
      <c r="W191" s="737"/>
      <c r="X191" s="737"/>
      <c r="Y191" s="737"/>
      <c r="Z191" s="737"/>
      <c r="AA191" s="737"/>
      <c r="AB191" s="737"/>
      <c r="AC191" s="737"/>
    </row>
    <row r="192" spans="2:29" s="819" customFormat="1" outlineLevel="1">
      <c r="B192" s="398">
        <v>45260</v>
      </c>
      <c r="E192" s="561">
        <f t="shared" si="27"/>
        <v>43104804.375022314</v>
      </c>
      <c r="F192" s="630">
        <f t="shared" si="31"/>
        <v>43104804.375022307</v>
      </c>
      <c r="G192" s="561">
        <f t="shared" si="36"/>
        <v>240421</v>
      </c>
      <c r="H192" s="561">
        <f t="shared" si="33"/>
        <v>-39424308</v>
      </c>
      <c r="I192" s="630">
        <f t="shared" si="34"/>
        <v>-37981782</v>
      </c>
      <c r="J192" s="630">
        <f t="shared" si="30"/>
        <v>5123022.375022307</v>
      </c>
      <c r="K192" s="561">
        <f t="shared" si="32"/>
        <v>84147.349999999991</v>
      </c>
      <c r="L192" s="561">
        <f t="shared" si="26"/>
        <v>-2499895.174160454</v>
      </c>
      <c r="M192" s="630">
        <f t="shared" si="28"/>
        <v>-3004779.2741604545</v>
      </c>
      <c r="N192" s="630">
        <f t="shared" si="29"/>
        <v>2118243.1008618525</v>
      </c>
      <c r="O192" s="630">
        <f t="shared" si="35"/>
        <v>1180601.2008618605</v>
      </c>
      <c r="P192" s="737"/>
      <c r="Q192" s="737"/>
      <c r="R192" s="737"/>
      <c r="S192" s="737"/>
      <c r="T192" s="737"/>
      <c r="U192" s="737"/>
      <c r="V192" s="737"/>
      <c r="W192" s="737"/>
      <c r="X192" s="737"/>
      <c r="Y192" s="737"/>
      <c r="Z192" s="737"/>
      <c r="AA192" s="737"/>
      <c r="AB192" s="737"/>
      <c r="AC192" s="737"/>
    </row>
    <row r="193" spans="2:29" s="819" customFormat="1" outlineLevel="1">
      <c r="B193" s="398">
        <v>45291</v>
      </c>
      <c r="E193" s="561">
        <f t="shared" si="27"/>
        <v>43104804.375022314</v>
      </c>
      <c r="F193" s="630">
        <f t="shared" si="31"/>
        <v>43104804.375022307</v>
      </c>
      <c r="G193" s="561">
        <f t="shared" si="36"/>
        <v>240421</v>
      </c>
      <c r="H193" s="561">
        <f t="shared" si="33"/>
        <v>-39664729</v>
      </c>
      <c r="I193" s="630">
        <f t="shared" si="34"/>
        <v>-38222203</v>
      </c>
      <c r="J193" s="630">
        <f t="shared" si="30"/>
        <v>4882601.375022307</v>
      </c>
      <c r="K193" s="561">
        <f t="shared" si="32"/>
        <v>84147.349999999991</v>
      </c>
      <c r="L193" s="561">
        <f t="shared" si="26"/>
        <v>-2415747.8241604539</v>
      </c>
      <c r="M193" s="630">
        <f t="shared" si="28"/>
        <v>-2920631.9241604544</v>
      </c>
      <c r="N193" s="630">
        <f t="shared" si="29"/>
        <v>1961969.4508618526</v>
      </c>
      <c r="O193" s="630">
        <f t="shared" si="35"/>
        <v>1024327.5508618606</v>
      </c>
      <c r="P193" s="737"/>
      <c r="Q193" s="737"/>
      <c r="R193" s="737"/>
      <c r="S193" s="737"/>
      <c r="T193" s="737"/>
      <c r="U193" s="737"/>
      <c r="V193" s="737"/>
      <c r="W193" s="737"/>
      <c r="X193" s="737"/>
      <c r="Y193" s="737"/>
      <c r="Z193" s="737"/>
      <c r="AA193" s="737"/>
      <c r="AB193" s="737"/>
      <c r="AC193" s="737"/>
    </row>
    <row r="194" spans="2:29" s="819" customFormat="1" outlineLevel="1">
      <c r="B194" s="398">
        <v>45322</v>
      </c>
      <c r="E194" s="561">
        <f t="shared" si="27"/>
        <v>43104804.375022314</v>
      </c>
      <c r="F194" s="630">
        <f t="shared" si="31"/>
        <v>43104804.375022307</v>
      </c>
      <c r="G194" s="561">
        <f t="shared" si="36"/>
        <v>240421</v>
      </c>
      <c r="H194" s="561">
        <f t="shared" si="33"/>
        <v>-39905150</v>
      </c>
      <c r="I194" s="630">
        <f t="shared" si="34"/>
        <v>-38462624</v>
      </c>
      <c r="J194" s="630">
        <f t="shared" si="30"/>
        <v>4642180.375022307</v>
      </c>
      <c r="K194" s="561">
        <f t="shared" si="32"/>
        <v>84147.349999999991</v>
      </c>
      <c r="L194" s="561">
        <f t="shared" si="26"/>
        <v>-2331600.4741604538</v>
      </c>
      <c r="M194" s="630">
        <f t="shared" si="28"/>
        <v>-2836484.5741604548</v>
      </c>
      <c r="N194" s="630">
        <f t="shared" si="29"/>
        <v>1805695.8008618522</v>
      </c>
      <c r="O194" s="630">
        <f t="shared" si="35"/>
        <v>868053.90086186072</v>
      </c>
      <c r="P194" s="737"/>
      <c r="Q194" s="737"/>
      <c r="R194" s="737"/>
      <c r="S194" s="737"/>
      <c r="T194" s="737"/>
      <c r="U194" s="737"/>
      <c r="V194" s="737"/>
      <c r="W194" s="737"/>
      <c r="X194" s="737"/>
      <c r="Y194" s="737"/>
      <c r="Z194" s="737"/>
      <c r="AA194" s="737"/>
      <c r="AB194" s="737"/>
      <c r="AC194" s="737"/>
    </row>
    <row r="195" spans="2:29" s="819" customFormat="1" outlineLevel="1">
      <c r="B195" s="398">
        <v>45350</v>
      </c>
      <c r="E195" s="561">
        <f t="shared" si="27"/>
        <v>43104804.375022314</v>
      </c>
      <c r="F195" s="630">
        <f t="shared" si="31"/>
        <v>43104804.375022307</v>
      </c>
      <c r="G195" s="561">
        <f t="shared" si="36"/>
        <v>240421</v>
      </c>
      <c r="H195" s="561">
        <f t="shared" si="33"/>
        <v>-40145571</v>
      </c>
      <c r="I195" s="630">
        <f t="shared" si="34"/>
        <v>-38703045</v>
      </c>
      <c r="J195" s="630">
        <f t="shared" si="30"/>
        <v>4401759.375022307</v>
      </c>
      <c r="K195" s="561">
        <f t="shared" si="32"/>
        <v>84147.349999999991</v>
      </c>
      <c r="L195" s="561">
        <f t="shared" si="26"/>
        <v>-2247453.1241604537</v>
      </c>
      <c r="M195" s="630">
        <f t="shared" si="28"/>
        <v>-2752337.2241604547</v>
      </c>
      <c r="N195" s="630">
        <f t="shared" si="29"/>
        <v>1649422.1508618523</v>
      </c>
      <c r="O195" s="630">
        <f t="shared" si="35"/>
        <v>711780.25086186081</v>
      </c>
      <c r="P195" s="737"/>
      <c r="Q195" s="737"/>
      <c r="R195" s="737"/>
      <c r="S195" s="737"/>
      <c r="T195" s="737"/>
      <c r="U195" s="737"/>
      <c r="V195" s="737"/>
      <c r="W195" s="737"/>
      <c r="X195" s="737"/>
      <c r="Y195" s="737"/>
      <c r="Z195" s="737"/>
      <c r="AA195" s="737"/>
      <c r="AB195" s="737"/>
      <c r="AC195" s="737"/>
    </row>
    <row r="196" spans="2:29" s="819" customFormat="1" outlineLevel="1">
      <c r="B196" s="398">
        <v>45382</v>
      </c>
      <c r="E196" s="561">
        <f t="shared" si="27"/>
        <v>43104804.375022314</v>
      </c>
      <c r="F196" s="630">
        <f t="shared" si="31"/>
        <v>43104804.375022307</v>
      </c>
      <c r="G196" s="561">
        <f t="shared" si="36"/>
        <v>240421</v>
      </c>
      <c r="H196" s="561">
        <f t="shared" si="33"/>
        <v>-40385992</v>
      </c>
      <c r="I196" s="630">
        <f t="shared" si="34"/>
        <v>-38943466</v>
      </c>
      <c r="J196" s="630">
        <f t="shared" si="30"/>
        <v>4161338.375022307</v>
      </c>
      <c r="K196" s="561">
        <f t="shared" si="32"/>
        <v>84147.349999999991</v>
      </c>
      <c r="L196" s="561">
        <f t="shared" si="26"/>
        <v>-2163305.7741604536</v>
      </c>
      <c r="M196" s="630">
        <f t="shared" si="28"/>
        <v>-2668189.8741604541</v>
      </c>
      <c r="N196" s="630">
        <f t="shared" si="29"/>
        <v>1493148.5008618529</v>
      </c>
      <c r="O196" s="630">
        <f t="shared" si="35"/>
        <v>555506.6008618609</v>
      </c>
      <c r="P196" s="737"/>
      <c r="Q196" s="737"/>
      <c r="R196" s="737"/>
      <c r="S196" s="737"/>
      <c r="T196" s="737"/>
      <c r="U196" s="737"/>
      <c r="V196" s="737"/>
      <c r="W196" s="737"/>
      <c r="X196" s="737"/>
      <c r="Y196" s="737"/>
      <c r="Z196" s="737"/>
      <c r="AA196" s="737"/>
      <c r="AB196" s="737"/>
      <c r="AC196" s="737"/>
    </row>
    <row r="197" spans="2:29" s="819" customFormat="1" outlineLevel="1">
      <c r="B197" s="398">
        <v>45412</v>
      </c>
      <c r="E197" s="561">
        <f t="shared" si="27"/>
        <v>43104804.375022314</v>
      </c>
      <c r="F197" s="630">
        <f t="shared" si="31"/>
        <v>43104804.375022307</v>
      </c>
      <c r="G197" s="561">
        <f t="shared" si="36"/>
        <v>240421</v>
      </c>
      <c r="H197" s="561">
        <f t="shared" si="33"/>
        <v>-40626413</v>
      </c>
      <c r="I197" s="630">
        <f t="shared" si="34"/>
        <v>-39183887</v>
      </c>
      <c r="J197" s="630">
        <f t="shared" si="30"/>
        <v>3920917.375022307</v>
      </c>
      <c r="K197" s="561">
        <f t="shared" si="32"/>
        <v>84147.349999999991</v>
      </c>
      <c r="L197" s="561">
        <f t="shared" si="26"/>
        <v>-2079158.4241604535</v>
      </c>
      <c r="M197" s="630">
        <f t="shared" si="28"/>
        <v>-2584042.524160454</v>
      </c>
      <c r="N197" s="630">
        <f t="shared" si="29"/>
        <v>1336874.850861853</v>
      </c>
      <c r="O197" s="630">
        <f t="shared" si="35"/>
        <v>399232.950861861</v>
      </c>
      <c r="P197" s="737"/>
      <c r="Q197" s="737"/>
      <c r="R197" s="737"/>
      <c r="S197" s="737"/>
      <c r="T197" s="737"/>
      <c r="U197" s="737"/>
      <c r="V197" s="737"/>
      <c r="W197" s="737"/>
      <c r="X197" s="737"/>
      <c r="Y197" s="737"/>
      <c r="Z197" s="737"/>
      <c r="AA197" s="737"/>
      <c r="AB197" s="737"/>
      <c r="AC197" s="737"/>
    </row>
    <row r="198" spans="2:29" s="819" customFormat="1" outlineLevel="1">
      <c r="B198" s="398">
        <v>45443</v>
      </c>
      <c r="E198" s="561">
        <f t="shared" si="27"/>
        <v>43104804.375022314</v>
      </c>
      <c r="F198" s="630">
        <f t="shared" si="31"/>
        <v>43104804.375022307</v>
      </c>
      <c r="G198" s="561">
        <f t="shared" si="36"/>
        <v>240421</v>
      </c>
      <c r="H198" s="561">
        <f t="shared" si="33"/>
        <v>-40866834</v>
      </c>
      <c r="I198" s="630">
        <f t="shared" si="34"/>
        <v>-39424308</v>
      </c>
      <c r="J198" s="630">
        <f t="shared" si="30"/>
        <v>3680496.375022307</v>
      </c>
      <c r="K198" s="561">
        <f t="shared" si="32"/>
        <v>84147.349999999991</v>
      </c>
      <c r="L198" s="561">
        <f t="shared" si="26"/>
        <v>-1995011.0741604534</v>
      </c>
      <c r="M198" s="630">
        <f t="shared" si="28"/>
        <v>-2499895.174160454</v>
      </c>
      <c r="N198" s="630">
        <f t="shared" si="29"/>
        <v>1180601.2008618531</v>
      </c>
      <c r="O198" s="630">
        <f t="shared" si="35"/>
        <v>242959.30086186109</v>
      </c>
      <c r="P198" s="737"/>
      <c r="Q198" s="737"/>
      <c r="R198" s="737"/>
      <c r="S198" s="737"/>
      <c r="T198" s="737"/>
      <c r="U198" s="737"/>
      <c r="V198" s="737"/>
      <c r="W198" s="737"/>
      <c r="X198" s="737"/>
      <c r="Y198" s="737"/>
      <c r="Z198" s="737"/>
      <c r="AA198" s="737"/>
      <c r="AB198" s="737"/>
      <c r="AC198" s="737"/>
    </row>
    <row r="199" spans="2:29" s="819" customFormat="1" outlineLevel="1">
      <c r="B199" s="398">
        <v>45473</v>
      </c>
      <c r="E199" s="561">
        <f t="shared" si="27"/>
        <v>43104804.375022314</v>
      </c>
      <c r="F199" s="630">
        <f t="shared" si="31"/>
        <v>43104804.375022307</v>
      </c>
      <c r="G199" s="561">
        <f t="shared" si="36"/>
        <v>240421</v>
      </c>
      <c r="H199" s="561">
        <f t="shared" si="33"/>
        <v>-41107255</v>
      </c>
      <c r="I199" s="630">
        <f t="shared" si="34"/>
        <v>-39664729</v>
      </c>
      <c r="J199" s="630">
        <f t="shared" si="30"/>
        <v>3440075.375022307</v>
      </c>
      <c r="K199" s="561">
        <f t="shared" si="32"/>
        <v>84147.349999999991</v>
      </c>
      <c r="L199" s="561">
        <f t="shared" si="26"/>
        <v>-1910863.7241604533</v>
      </c>
      <c r="M199" s="630">
        <f t="shared" si="28"/>
        <v>-2415747.8241604539</v>
      </c>
      <c r="N199" s="630">
        <f t="shared" si="29"/>
        <v>1024327.5508618532</v>
      </c>
      <c r="O199" s="630">
        <f t="shared" si="35"/>
        <v>86685.650861861184</v>
      </c>
      <c r="P199" s="737"/>
      <c r="Q199" s="737"/>
      <c r="R199" s="737"/>
      <c r="S199" s="737"/>
      <c r="T199" s="737"/>
      <c r="U199" s="737"/>
      <c r="V199" s="737"/>
      <c r="W199" s="737"/>
      <c r="X199" s="737"/>
      <c r="Y199" s="737"/>
      <c r="Z199" s="737"/>
      <c r="AA199" s="737"/>
      <c r="AB199" s="737"/>
      <c r="AC199" s="737"/>
    </row>
    <row r="200" spans="2:29" s="819" customFormat="1" outlineLevel="1">
      <c r="B200" s="398">
        <v>45504</v>
      </c>
      <c r="E200" s="561">
        <f t="shared" si="27"/>
        <v>43104804.375022314</v>
      </c>
      <c r="F200" s="630">
        <f t="shared" si="31"/>
        <v>43104804.375022307</v>
      </c>
      <c r="G200" s="561">
        <f t="shared" si="36"/>
        <v>240421</v>
      </c>
      <c r="H200" s="561">
        <f t="shared" si="33"/>
        <v>-41347676</v>
      </c>
      <c r="I200" s="630">
        <f t="shared" si="34"/>
        <v>-39905150</v>
      </c>
      <c r="J200" s="630">
        <f t="shared" si="30"/>
        <v>3199654.375022307</v>
      </c>
      <c r="K200" s="561">
        <f t="shared" si="32"/>
        <v>84147.349999999991</v>
      </c>
      <c r="L200" s="561">
        <f t="shared" si="26"/>
        <v>-1826716.3741604532</v>
      </c>
      <c r="M200" s="630">
        <f t="shared" si="28"/>
        <v>-2331600.4741604538</v>
      </c>
      <c r="N200" s="630">
        <f t="shared" si="29"/>
        <v>868053.90086185327</v>
      </c>
      <c r="O200" s="630">
        <f t="shared" si="35"/>
        <v>-69587.999138138723</v>
      </c>
      <c r="P200" s="737"/>
      <c r="Q200" s="737"/>
      <c r="R200" s="737"/>
      <c r="S200" s="737"/>
      <c r="T200" s="737"/>
      <c r="U200" s="737"/>
      <c r="V200" s="737"/>
      <c r="W200" s="737"/>
      <c r="X200" s="737"/>
      <c r="Y200" s="737"/>
      <c r="Z200" s="737"/>
      <c r="AA200" s="737"/>
      <c r="AB200" s="737"/>
      <c r="AC200" s="737"/>
    </row>
    <row r="201" spans="2:29" s="819" customFormat="1" outlineLevel="1">
      <c r="B201" s="398">
        <v>45535</v>
      </c>
      <c r="E201" s="561">
        <f t="shared" si="27"/>
        <v>43104804.375022314</v>
      </c>
      <c r="F201" s="630">
        <f t="shared" si="31"/>
        <v>43104804.375022307</v>
      </c>
      <c r="G201" s="561">
        <f t="shared" si="36"/>
        <v>240421</v>
      </c>
      <c r="H201" s="561">
        <f t="shared" si="33"/>
        <v>-41588097</v>
      </c>
      <c r="I201" s="630">
        <f t="shared" si="34"/>
        <v>-40145571</v>
      </c>
      <c r="J201" s="630">
        <f t="shared" si="30"/>
        <v>2959233.375022307</v>
      </c>
      <c r="K201" s="561">
        <f t="shared" si="32"/>
        <v>84147.349999999991</v>
      </c>
      <c r="L201" s="561">
        <f t="shared" si="26"/>
        <v>-1742569.0241604531</v>
      </c>
      <c r="M201" s="630">
        <f t="shared" si="28"/>
        <v>-2247453.1241604537</v>
      </c>
      <c r="N201" s="630">
        <f t="shared" si="29"/>
        <v>711780.25086185336</v>
      </c>
      <c r="O201" s="630">
        <f t="shared" si="35"/>
        <v>-225861.64913813863</v>
      </c>
      <c r="P201" s="737"/>
      <c r="Q201" s="737"/>
      <c r="R201" s="737"/>
      <c r="S201" s="737"/>
      <c r="T201" s="737"/>
      <c r="U201" s="737"/>
      <c r="V201" s="737"/>
      <c r="W201" s="737"/>
      <c r="X201" s="737"/>
      <c r="Y201" s="737"/>
      <c r="Z201" s="737"/>
      <c r="AA201" s="737"/>
      <c r="AB201" s="737"/>
      <c r="AC201" s="737"/>
    </row>
    <row r="202" spans="2:29" s="819" customFormat="1" outlineLevel="1">
      <c r="B202" s="398">
        <v>45565</v>
      </c>
      <c r="E202" s="561">
        <f t="shared" si="27"/>
        <v>43104804.375022314</v>
      </c>
      <c r="F202" s="630">
        <f t="shared" si="31"/>
        <v>43104804.375022307</v>
      </c>
      <c r="G202" s="561">
        <f t="shared" si="36"/>
        <v>240421</v>
      </c>
      <c r="H202" s="561">
        <f t="shared" si="33"/>
        <v>-41828518</v>
      </c>
      <c r="I202" s="630">
        <f t="shared" si="34"/>
        <v>-40385992</v>
      </c>
      <c r="J202" s="630">
        <f t="shared" si="30"/>
        <v>2718812.375022307</v>
      </c>
      <c r="K202" s="561">
        <f t="shared" si="32"/>
        <v>84147.349999999991</v>
      </c>
      <c r="L202" s="561">
        <f t="shared" si="26"/>
        <v>-1658421.674160453</v>
      </c>
      <c r="M202" s="630">
        <f t="shared" si="28"/>
        <v>-2163305.7741604536</v>
      </c>
      <c r="N202" s="630">
        <f t="shared" si="29"/>
        <v>555506.60086185345</v>
      </c>
      <c r="O202" s="630">
        <f t="shared" si="35"/>
        <v>-382135.29913813854</v>
      </c>
      <c r="P202" s="737"/>
      <c r="Q202" s="737"/>
      <c r="R202" s="737"/>
      <c r="S202" s="737"/>
      <c r="T202" s="737"/>
      <c r="U202" s="737"/>
      <c r="V202" s="737"/>
      <c r="W202" s="737"/>
      <c r="X202" s="737"/>
      <c r="Y202" s="737"/>
      <c r="Z202" s="737"/>
      <c r="AA202" s="737"/>
      <c r="AB202" s="737"/>
      <c r="AC202" s="737"/>
    </row>
    <row r="203" spans="2:29" s="819" customFormat="1" outlineLevel="1">
      <c r="B203" s="398">
        <v>45596</v>
      </c>
      <c r="E203" s="561">
        <f t="shared" si="27"/>
        <v>43104804.375022314</v>
      </c>
      <c r="F203" s="630">
        <f t="shared" si="31"/>
        <v>43104804.375022307</v>
      </c>
      <c r="G203" s="561">
        <f t="shared" si="36"/>
        <v>240421</v>
      </c>
      <c r="H203" s="561">
        <f t="shared" si="33"/>
        <v>-42068939</v>
      </c>
      <c r="I203" s="630">
        <f t="shared" si="34"/>
        <v>-40626413</v>
      </c>
      <c r="J203" s="630">
        <f t="shared" si="30"/>
        <v>2478391.375022307</v>
      </c>
      <c r="K203" s="561">
        <f t="shared" si="32"/>
        <v>84147.349999999991</v>
      </c>
      <c r="L203" s="561">
        <f t="shared" si="26"/>
        <v>-1574274.3241604529</v>
      </c>
      <c r="M203" s="630">
        <f t="shared" si="28"/>
        <v>-2079158.4241604537</v>
      </c>
      <c r="N203" s="630">
        <f t="shared" si="29"/>
        <v>399232.95086185331</v>
      </c>
      <c r="O203" s="630">
        <f t="shared" si="35"/>
        <v>-538408.94913813844</v>
      </c>
      <c r="P203" s="737"/>
      <c r="Q203" s="737"/>
      <c r="R203" s="737"/>
      <c r="S203" s="737"/>
      <c r="T203" s="737"/>
      <c r="U203" s="737"/>
      <c r="V203" s="737"/>
      <c r="W203" s="737"/>
      <c r="X203" s="737"/>
      <c r="Y203" s="737"/>
      <c r="Z203" s="737"/>
      <c r="AA203" s="737"/>
      <c r="AB203" s="737"/>
      <c r="AC203" s="737"/>
    </row>
    <row r="204" spans="2:29" s="819" customFormat="1" outlineLevel="1">
      <c r="B204" s="398">
        <v>45626</v>
      </c>
      <c r="E204" s="561">
        <f t="shared" si="27"/>
        <v>43104804.375022314</v>
      </c>
      <c r="F204" s="630">
        <f t="shared" si="31"/>
        <v>43104804.375022307</v>
      </c>
      <c r="G204" s="561">
        <f t="shared" si="36"/>
        <v>240421</v>
      </c>
      <c r="H204" s="561">
        <f t="shared" si="33"/>
        <v>-42309360</v>
      </c>
      <c r="I204" s="630">
        <f t="shared" si="34"/>
        <v>-40866834</v>
      </c>
      <c r="J204" s="630">
        <f t="shared" si="30"/>
        <v>2237970.375022307</v>
      </c>
      <c r="K204" s="561">
        <f t="shared" si="32"/>
        <v>84147.349999999991</v>
      </c>
      <c r="L204" s="561">
        <f t="shared" si="26"/>
        <v>-1490126.9741604528</v>
      </c>
      <c r="M204" s="630">
        <f t="shared" si="28"/>
        <v>-1995011.0741604532</v>
      </c>
      <c r="N204" s="630">
        <f t="shared" si="29"/>
        <v>242959.30086185387</v>
      </c>
      <c r="O204" s="630">
        <f t="shared" si="35"/>
        <v>-694682.59913813835</v>
      </c>
      <c r="P204" s="737"/>
      <c r="Q204" s="737"/>
      <c r="R204" s="737"/>
      <c r="S204" s="737"/>
      <c r="T204" s="737"/>
      <c r="U204" s="737"/>
      <c r="V204" s="737"/>
      <c r="W204" s="737"/>
      <c r="X204" s="737"/>
      <c r="Y204" s="737"/>
      <c r="Z204" s="737"/>
      <c r="AA204" s="737"/>
      <c r="AB204" s="737"/>
      <c r="AC204" s="737"/>
    </row>
    <row r="205" spans="2:29" s="819" customFormat="1" outlineLevel="1">
      <c r="B205" s="398">
        <v>45657</v>
      </c>
      <c r="E205" s="561">
        <f t="shared" si="27"/>
        <v>43104804.375022314</v>
      </c>
      <c r="F205" s="630">
        <f t="shared" si="31"/>
        <v>43104804.375022307</v>
      </c>
      <c r="G205" s="561">
        <f t="shared" si="36"/>
        <v>240421</v>
      </c>
      <c r="H205" s="561">
        <f t="shared" si="33"/>
        <v>-42549781</v>
      </c>
      <c r="I205" s="630">
        <f t="shared" si="34"/>
        <v>-41107255</v>
      </c>
      <c r="J205" s="630">
        <f t="shared" si="30"/>
        <v>1997549.375022307</v>
      </c>
      <c r="K205" s="561">
        <f t="shared" si="32"/>
        <v>84147.349999999991</v>
      </c>
      <c r="L205" s="561">
        <f>L204+K205</f>
        <v>-1405979.6241604527</v>
      </c>
      <c r="M205" s="630">
        <f t="shared" si="28"/>
        <v>-1910863.7241604533</v>
      </c>
      <c r="N205" s="630">
        <f t="shared" si="29"/>
        <v>86685.650861853734</v>
      </c>
      <c r="O205" s="630">
        <f t="shared" si="35"/>
        <v>-850956.24913813826</v>
      </c>
      <c r="P205" s="737"/>
      <c r="Q205" s="737"/>
      <c r="R205" s="737"/>
      <c r="S205" s="737"/>
      <c r="T205" s="737"/>
      <c r="U205" s="737"/>
      <c r="V205" s="737"/>
      <c r="W205" s="737"/>
      <c r="X205" s="737"/>
      <c r="Y205" s="737"/>
      <c r="Z205" s="737"/>
      <c r="AA205" s="737"/>
      <c r="AB205" s="737"/>
      <c r="AC205" s="737"/>
    </row>
    <row r="206" spans="2:29" s="819" customFormat="1" outlineLevel="1">
      <c r="B206" s="398">
        <v>45688</v>
      </c>
      <c r="E206" s="561">
        <f t="shared" si="27"/>
        <v>43104804.375022314</v>
      </c>
      <c r="F206" s="630">
        <f t="shared" si="31"/>
        <v>43104804.375022307</v>
      </c>
      <c r="G206" s="561">
        <f t="shared" si="36"/>
        <v>240421</v>
      </c>
      <c r="H206" s="561">
        <f t="shared" si="33"/>
        <v>-42790202</v>
      </c>
      <c r="I206" s="630">
        <f t="shared" si="34"/>
        <v>-41347676</v>
      </c>
      <c r="J206" s="630">
        <f t="shared" si="30"/>
        <v>1757128.375022307</v>
      </c>
      <c r="K206" s="561">
        <f>(-D206*0.35)+(G206*0.35)</f>
        <v>84147.349999999991</v>
      </c>
      <c r="L206" s="561">
        <f>L205+K206</f>
        <v>-1321832.2741604527</v>
      </c>
      <c r="M206" s="630">
        <f t="shared" si="28"/>
        <v>-1826716.3741604534</v>
      </c>
      <c r="N206" s="630">
        <f t="shared" si="29"/>
        <v>-69587.999138146406</v>
      </c>
      <c r="O206" s="630">
        <f t="shared" si="35"/>
        <v>-1007229.8991381382</v>
      </c>
      <c r="P206" s="737"/>
      <c r="Q206" s="737"/>
      <c r="R206" s="737"/>
      <c r="S206" s="737"/>
      <c r="T206" s="737"/>
      <c r="U206" s="737"/>
      <c r="V206" s="737"/>
      <c r="W206" s="737"/>
      <c r="X206" s="737"/>
      <c r="Y206" s="737"/>
      <c r="Z206" s="737"/>
      <c r="AA206" s="737"/>
      <c r="AB206" s="737"/>
      <c r="AC206" s="737"/>
    </row>
    <row r="207" spans="2:29" outlineLevel="1">
      <c r="B207" s="69">
        <v>45716</v>
      </c>
      <c r="E207" s="74">
        <f t="shared" si="27"/>
        <v>43104804.375022314</v>
      </c>
      <c r="F207" s="70">
        <f t="shared" si="31"/>
        <v>43104804.375022307</v>
      </c>
      <c r="G207" s="74">
        <f t="shared" si="36"/>
        <v>240421</v>
      </c>
      <c r="H207" s="72">
        <f t="shared" si="33"/>
        <v>-43030623</v>
      </c>
      <c r="I207" s="70">
        <f t="shared" si="34"/>
        <v>-41588097</v>
      </c>
      <c r="J207" s="70">
        <f t="shared" si="30"/>
        <v>1516707.375022307</v>
      </c>
      <c r="K207" s="72">
        <f>(-D207*0.35)+(G207*0.35)</f>
        <v>84147.349999999991</v>
      </c>
      <c r="L207" s="72">
        <f>L206+K207</f>
        <v>-1237684.9241604526</v>
      </c>
      <c r="M207" s="70">
        <f t="shared" si="28"/>
        <v>-1742569.0241604531</v>
      </c>
      <c r="N207" s="67">
        <f t="shared" si="29"/>
        <v>-225861.64913814608</v>
      </c>
      <c r="O207" s="67">
        <f t="shared" si="35"/>
        <v>-1163503.5491381381</v>
      </c>
    </row>
    <row r="208" spans="2:29" outlineLevel="1">
      <c r="B208" s="77">
        <v>45747</v>
      </c>
      <c r="E208" s="74">
        <f>E207+D208</f>
        <v>43104804.375022314</v>
      </c>
      <c r="F208" s="70">
        <f t="shared" si="31"/>
        <v>43104804.375022307</v>
      </c>
      <c r="G208" s="74">
        <f>F208+H207</f>
        <v>74181.375022307038</v>
      </c>
      <c r="H208" s="72">
        <f>H207-G208</f>
        <v>-43104804.375022307</v>
      </c>
      <c r="I208" s="70">
        <f>(H196+H208+SUM(H197:H207)*2)/24</f>
        <v>-41821591.34895926</v>
      </c>
      <c r="J208" s="70">
        <f t="shared" si="30"/>
        <v>1283213.0260630473</v>
      </c>
      <c r="K208" s="72">
        <f>(-D208*0.35)+(G208*0.35)</f>
        <v>25963.481257807463</v>
      </c>
      <c r="L208" s="72">
        <f>L207+K208</f>
        <v>-1211721.4429026451</v>
      </c>
      <c r="M208" s="70">
        <f t="shared" si="28"/>
        <v>-1660846.0020247113</v>
      </c>
      <c r="N208" s="67">
        <f t="shared" si="29"/>
        <v>-377632.97596166399</v>
      </c>
      <c r="O208" s="67">
        <f t="shared" si="35"/>
        <v>-1211721.4429026376</v>
      </c>
    </row>
    <row r="209" spans="2:15" outlineLevel="1">
      <c r="B209" s="69">
        <v>45777</v>
      </c>
      <c r="E209" s="74">
        <f t="shared" ref="E209:E214" si="37">E208+D209</f>
        <v>43104804.375022314</v>
      </c>
      <c r="F209" s="70">
        <f t="shared" ref="F209:F214" si="38">(E197+E209+SUM(E198:E208)*2)/24</f>
        <v>43104804.375022307</v>
      </c>
      <c r="G209" s="74"/>
      <c r="H209" s="72">
        <f t="shared" ref="H209:H214" si="39">H208-G209</f>
        <v>-43104804.375022307</v>
      </c>
      <c r="I209" s="70">
        <f t="shared" ref="I209:I216" si="40">(H197+H209+SUM(H198:H208)*2)/24</f>
        <v>-42038141.505211122</v>
      </c>
      <c r="J209" s="70">
        <f t="shared" ref="J209:J214" si="41">F209+I209</f>
        <v>1066662.8698111847</v>
      </c>
      <c r="K209" s="72"/>
      <c r="L209" s="72">
        <f t="shared" ref="L209:L214" si="42">L208+K209</f>
        <v>-1211721.4429026451</v>
      </c>
      <c r="M209" s="70">
        <f t="shared" si="28"/>
        <v>-1585053.4473365603</v>
      </c>
      <c r="N209" s="67">
        <f t="shared" si="29"/>
        <v>-518390.57752537564</v>
      </c>
      <c r="O209" s="67">
        <f t="shared" si="35"/>
        <v>-1211721.4429026376</v>
      </c>
    </row>
    <row r="210" spans="2:15" outlineLevel="1">
      <c r="B210" s="69">
        <v>45808</v>
      </c>
      <c r="E210" s="74">
        <f t="shared" si="37"/>
        <v>43104804.375022314</v>
      </c>
      <c r="F210" s="70">
        <f t="shared" si="38"/>
        <v>43104804.375022307</v>
      </c>
      <c r="G210" s="74"/>
      <c r="H210" s="72">
        <f t="shared" si="39"/>
        <v>-43104804.375022307</v>
      </c>
      <c r="I210" s="70">
        <f t="shared" si="40"/>
        <v>-42234656.578129642</v>
      </c>
      <c r="J210" s="70">
        <f t="shared" si="41"/>
        <v>870147.79689266533</v>
      </c>
      <c r="K210" s="72"/>
      <c r="L210" s="72">
        <f t="shared" si="42"/>
        <v>-1211721.4429026451</v>
      </c>
      <c r="M210" s="70">
        <f t="shared" ref="M210:M216" si="43">(L198+L210+SUM(L199:L209)*2)/24</f>
        <v>-1516273.1718150761</v>
      </c>
      <c r="N210" s="67">
        <f t="shared" ref="N210:N216" si="44">M210+J210</f>
        <v>-646125.37492241082</v>
      </c>
      <c r="O210" s="67">
        <f t="shared" si="35"/>
        <v>-1211721.4429026376</v>
      </c>
    </row>
    <row r="211" spans="2:15" outlineLevel="1">
      <c r="B211" s="69">
        <v>45838</v>
      </c>
      <c r="E211" s="74">
        <f t="shared" si="37"/>
        <v>43104804.375022314</v>
      </c>
      <c r="F211" s="70">
        <f t="shared" si="38"/>
        <v>43104804.375022307</v>
      </c>
      <c r="G211" s="74"/>
      <c r="H211" s="72">
        <f t="shared" si="39"/>
        <v>-43104804.375022307</v>
      </c>
      <c r="I211" s="70">
        <f t="shared" si="40"/>
        <v>-42411136.567714833</v>
      </c>
      <c r="J211" s="70">
        <f t="shared" si="41"/>
        <v>693667.80730747432</v>
      </c>
      <c r="K211" s="72"/>
      <c r="L211" s="72">
        <f t="shared" si="42"/>
        <v>-1211721.4429026451</v>
      </c>
      <c r="M211" s="70">
        <f t="shared" si="43"/>
        <v>-1454505.1754602592</v>
      </c>
      <c r="N211" s="67">
        <f t="shared" si="44"/>
        <v>-760837.36815278488</v>
      </c>
      <c r="O211" s="67">
        <f t="shared" si="35"/>
        <v>-1211721.4429026376</v>
      </c>
    </row>
    <row r="212" spans="2:15" outlineLevel="1">
      <c r="B212" s="69">
        <v>45869</v>
      </c>
      <c r="E212" s="74">
        <f t="shared" si="37"/>
        <v>43104804.375022314</v>
      </c>
      <c r="F212" s="70">
        <f t="shared" si="38"/>
        <v>43104804.375022307</v>
      </c>
      <c r="G212" s="74"/>
      <c r="H212" s="72">
        <f t="shared" si="39"/>
        <v>-43104804.375022307</v>
      </c>
      <c r="I212" s="70">
        <f t="shared" si="40"/>
        <v>-42567581.473966695</v>
      </c>
      <c r="J212" s="70">
        <f t="shared" si="41"/>
        <v>537222.90105561167</v>
      </c>
      <c r="K212" s="72"/>
      <c r="L212" s="72">
        <f t="shared" si="42"/>
        <v>-1211721.4429026451</v>
      </c>
      <c r="M212" s="70">
        <f t="shared" si="43"/>
        <v>-1399749.4582721086</v>
      </c>
      <c r="N212" s="67">
        <f t="shared" si="44"/>
        <v>-862526.55721649691</v>
      </c>
      <c r="O212" s="67">
        <f t="shared" si="35"/>
        <v>-1211721.4429026376</v>
      </c>
    </row>
    <row r="213" spans="2:15" outlineLevel="1">
      <c r="B213" s="69">
        <v>45900</v>
      </c>
      <c r="E213" s="74">
        <f t="shared" si="37"/>
        <v>43104804.375022314</v>
      </c>
      <c r="F213" s="70">
        <f t="shared" si="38"/>
        <v>43104804.375022307</v>
      </c>
      <c r="G213" s="74"/>
      <c r="H213" s="72">
        <f t="shared" si="39"/>
        <v>-43104804.375022307</v>
      </c>
      <c r="I213" s="70">
        <f t="shared" si="40"/>
        <v>-42703991.296885215</v>
      </c>
      <c r="J213" s="70">
        <f t="shared" si="41"/>
        <v>400813.07813709229</v>
      </c>
      <c r="K213" s="72"/>
      <c r="L213" s="72">
        <f t="shared" si="42"/>
        <v>-1211721.4429026451</v>
      </c>
      <c r="M213" s="70">
        <f t="shared" si="43"/>
        <v>-1352006.0202506243</v>
      </c>
      <c r="N213" s="67">
        <f t="shared" si="44"/>
        <v>-951192.94211353199</v>
      </c>
      <c r="O213" s="67">
        <f t="shared" si="35"/>
        <v>-1211721.4429026376</v>
      </c>
    </row>
    <row r="214" spans="2:15" outlineLevel="1">
      <c r="B214" s="69">
        <v>45930</v>
      </c>
      <c r="E214" s="74">
        <f t="shared" si="37"/>
        <v>43104804.375022314</v>
      </c>
      <c r="F214" s="70">
        <f t="shared" si="38"/>
        <v>43104804.375022307</v>
      </c>
      <c r="G214" s="74"/>
      <c r="H214" s="72">
        <f t="shared" si="39"/>
        <v>-43104804.375022307</v>
      </c>
      <c r="I214" s="70">
        <f t="shared" si="40"/>
        <v>-42820366.036470406</v>
      </c>
      <c r="J214" s="70">
        <f t="shared" si="41"/>
        <v>284438.33855190128</v>
      </c>
      <c r="K214" s="72"/>
      <c r="L214" s="72">
        <f t="shared" si="42"/>
        <v>-1211721.4429026451</v>
      </c>
      <c r="M214" s="70">
        <f t="shared" si="43"/>
        <v>-1311274.8613958068</v>
      </c>
      <c r="N214" s="67">
        <f t="shared" si="44"/>
        <v>-1026836.5228439055</v>
      </c>
      <c r="O214" s="67">
        <f t="shared" si="35"/>
        <v>-1211721.4429026376</v>
      </c>
    </row>
    <row r="215" spans="2:15" outlineLevel="1">
      <c r="B215" s="69">
        <v>45961</v>
      </c>
      <c r="E215" s="74">
        <f t="shared" ref="E215:E216" si="45">E214+D215</f>
        <v>43104804.375022314</v>
      </c>
      <c r="F215" s="70">
        <f t="shared" ref="F215:F216" si="46">(E203+E215+SUM(E204:E214)*2)/24</f>
        <v>43104804.375022307</v>
      </c>
      <c r="G215" s="74"/>
      <c r="H215" s="72">
        <f t="shared" ref="H215:H216" si="47">H214-G215</f>
        <v>-43104804.375022307</v>
      </c>
      <c r="I215" s="70">
        <f t="shared" si="40"/>
        <v>-42916705.692722268</v>
      </c>
      <c r="J215" s="70">
        <f t="shared" ref="J215:J216" si="48">F215+I215</f>
        <v>188098.68230003864</v>
      </c>
      <c r="K215" s="72"/>
      <c r="L215" s="72">
        <f t="shared" ref="L215:L216" si="49">L214+K215</f>
        <v>-1211721.4429026451</v>
      </c>
      <c r="M215" s="70">
        <f t="shared" si="43"/>
        <v>-1277555.9817076561</v>
      </c>
      <c r="N215" s="67">
        <f t="shared" si="44"/>
        <v>-1089457.2994076174</v>
      </c>
      <c r="O215" s="67">
        <f t="shared" si="35"/>
        <v>-1211721.4429026376</v>
      </c>
    </row>
    <row r="216" spans="2:15" outlineLevel="1">
      <c r="B216" s="69">
        <v>45991</v>
      </c>
      <c r="E216" s="74">
        <f t="shared" si="45"/>
        <v>43104804.375022314</v>
      </c>
      <c r="F216" s="70">
        <f t="shared" si="46"/>
        <v>43104804.375022307</v>
      </c>
      <c r="G216" s="74"/>
      <c r="H216" s="72">
        <f t="shared" si="47"/>
        <v>-43104804.375022307</v>
      </c>
      <c r="I216" s="70">
        <f t="shared" si="40"/>
        <v>-42993010.265640788</v>
      </c>
      <c r="J216" s="70">
        <f t="shared" si="48"/>
        <v>111794.10938151926</v>
      </c>
      <c r="K216" s="72"/>
      <c r="L216" s="72">
        <f t="shared" si="49"/>
        <v>-1211721.4429026451</v>
      </c>
      <c r="M216" s="70">
        <f t="shared" si="43"/>
        <v>-1250849.3811861724</v>
      </c>
      <c r="N216" s="67">
        <f t="shared" si="44"/>
        <v>-1139055.2718046531</v>
      </c>
      <c r="O216" s="67">
        <f t="shared" si="35"/>
        <v>-1211721.4429026376</v>
      </c>
    </row>
    <row r="217" spans="2:15" outlineLevel="1">
      <c r="B217" s="69">
        <v>46022</v>
      </c>
      <c r="E217" s="74">
        <f t="shared" ref="E217:E220" si="50">E216+D217</f>
        <v>43104804.375022314</v>
      </c>
      <c r="F217" s="70">
        <f t="shared" ref="F217:F220" si="51">(E205+E217+SUM(E206:E216)*2)/24</f>
        <v>43104804.375022307</v>
      </c>
      <c r="G217" s="74"/>
      <c r="H217" s="72">
        <f t="shared" ref="H217:H220" si="52">H216-G217</f>
        <v>-43104804.375022307</v>
      </c>
      <c r="I217" s="70">
        <f t="shared" ref="I217:I220" si="53">(H205+H217+SUM(H206:H216)*2)/24</f>
        <v>-43049279.755225986</v>
      </c>
      <c r="J217" s="70">
        <f t="shared" ref="J217:J220" si="54">F217+I217</f>
        <v>55524.619796320796</v>
      </c>
      <c r="K217" s="72"/>
      <c r="L217" s="72">
        <f t="shared" ref="L217:L220" si="55">L216+K217</f>
        <v>-1211721.4429026451</v>
      </c>
      <c r="M217" s="70">
        <f t="shared" ref="M217:M220" si="56">(L205+L217+SUM(L206:L216)*2)/24</f>
        <v>-1231155.059831355</v>
      </c>
      <c r="N217" s="67">
        <f t="shared" ref="N217:N220" si="57">M217+J217</f>
        <v>-1175630.4400350342</v>
      </c>
      <c r="O217" s="67">
        <f t="shared" si="35"/>
        <v>-1211721.4429026376</v>
      </c>
    </row>
    <row r="218" spans="2:15" outlineLevel="1">
      <c r="B218" s="69">
        <v>46053</v>
      </c>
      <c r="E218" s="74">
        <f t="shared" si="50"/>
        <v>43104804.375022314</v>
      </c>
      <c r="F218" s="70">
        <f t="shared" si="51"/>
        <v>43104804.375022307</v>
      </c>
      <c r="G218" s="74"/>
      <c r="H218" s="72">
        <f t="shared" si="52"/>
        <v>-43104804.375022307</v>
      </c>
      <c r="I218" s="70">
        <f t="shared" si="53"/>
        <v>-43085514.161477841</v>
      </c>
      <c r="J218" s="70">
        <f t="shared" si="54"/>
        <v>19290.213544465601</v>
      </c>
      <c r="K218" s="72"/>
      <c r="L218" s="72">
        <f t="shared" si="55"/>
        <v>-1211721.4429026451</v>
      </c>
      <c r="M218" s="70">
        <f t="shared" si="56"/>
        <v>-1218473.0176432044</v>
      </c>
      <c r="N218" s="67">
        <f t="shared" si="57"/>
        <v>-1199182.8040987388</v>
      </c>
      <c r="O218" s="67">
        <f t="shared" si="35"/>
        <v>-1211721.4429026376</v>
      </c>
    </row>
    <row r="219" spans="2:15" outlineLevel="1">
      <c r="B219" s="69">
        <v>46081</v>
      </c>
      <c r="E219" s="74">
        <f t="shared" si="50"/>
        <v>43104804.375022314</v>
      </c>
      <c r="F219" s="70">
        <f t="shared" si="51"/>
        <v>43104804.375022307</v>
      </c>
      <c r="G219" s="74"/>
      <c r="H219" s="72">
        <f t="shared" si="52"/>
        <v>-43104804.375022307</v>
      </c>
      <c r="I219" s="70">
        <f t="shared" si="53"/>
        <v>-43101713.484396368</v>
      </c>
      <c r="J219" s="70">
        <f t="shared" si="54"/>
        <v>3090.8906259387732</v>
      </c>
      <c r="K219" s="72"/>
      <c r="L219" s="72">
        <f t="shared" si="55"/>
        <v>-1211721.4429026451</v>
      </c>
      <c r="M219" s="70">
        <f t="shared" si="56"/>
        <v>-1212803.2546217204</v>
      </c>
      <c r="N219" s="67">
        <f t="shared" si="57"/>
        <v>-1209712.3639957816</v>
      </c>
      <c r="O219" s="67">
        <f t="shared" si="35"/>
        <v>-1211721.4429026376</v>
      </c>
    </row>
    <row r="220" spans="2:15" outlineLevel="1">
      <c r="B220" s="69">
        <v>46112</v>
      </c>
      <c r="E220" s="74">
        <f t="shared" si="50"/>
        <v>43104804.375022314</v>
      </c>
      <c r="F220" s="70">
        <f t="shared" si="51"/>
        <v>43104804.375022307</v>
      </c>
      <c r="G220" s="74"/>
      <c r="H220" s="72">
        <f t="shared" si="52"/>
        <v>-43104804.375022307</v>
      </c>
      <c r="I220" s="70">
        <f t="shared" si="53"/>
        <v>-43104804.3750223</v>
      </c>
      <c r="J220" s="70">
        <f t="shared" si="54"/>
        <v>0</v>
      </c>
      <c r="K220" s="72"/>
      <c r="L220" s="72">
        <f t="shared" si="55"/>
        <v>-1211721.4429026451</v>
      </c>
      <c r="M220" s="70">
        <f t="shared" si="56"/>
        <v>-1211721.4429026451</v>
      </c>
      <c r="N220" s="67">
        <f t="shared" si="57"/>
        <v>-1211721.4429026451</v>
      </c>
      <c r="O220" s="67">
        <f t="shared" si="35"/>
        <v>-1211721.4429026376</v>
      </c>
    </row>
    <row r="221" spans="2:15">
      <c r="B221" s="69"/>
      <c r="E221" s="74"/>
      <c r="F221" s="70"/>
      <c r="G221" s="74"/>
      <c r="H221" s="72"/>
      <c r="I221" s="70"/>
      <c r="J221" s="70"/>
      <c r="K221" s="72"/>
      <c r="L221" s="72"/>
      <c r="M221" s="70"/>
      <c r="N221" s="67"/>
    </row>
    <row r="222" spans="2:15">
      <c r="E222" s="74"/>
      <c r="F222" s="70"/>
      <c r="G222" s="74"/>
      <c r="H222" s="72"/>
      <c r="I222" s="70"/>
      <c r="J222" s="70"/>
      <c r="K222" s="72"/>
      <c r="L222" s="72"/>
      <c r="M222" s="70"/>
      <c r="N222" s="67"/>
    </row>
    <row r="223" spans="2:15">
      <c r="E223" s="74"/>
      <c r="F223" s="70"/>
      <c r="G223" s="74"/>
      <c r="H223" s="72"/>
      <c r="I223" s="70"/>
      <c r="J223" s="70"/>
      <c r="K223" s="72"/>
      <c r="L223" s="72"/>
      <c r="M223" s="70"/>
      <c r="N223" s="67"/>
    </row>
    <row r="224" spans="2:15">
      <c r="E224" s="74"/>
      <c r="F224" s="70"/>
      <c r="G224" s="74"/>
      <c r="H224" s="72"/>
      <c r="I224" s="70"/>
      <c r="J224" s="70"/>
      <c r="K224" s="72"/>
      <c r="L224" s="72"/>
      <c r="M224" s="70"/>
      <c r="N224" s="67"/>
    </row>
  </sheetData>
  <phoneticPr fontId="0" type="noConversion"/>
  <printOptions horizontalCentered="1"/>
  <pageMargins left="0" right="0" top="0.25" bottom="0.5" header="0.11" footer="0"/>
  <pageSetup scale="66" orientation="portrait" r:id="rId1"/>
  <headerFooter alignWithMargins="0">
    <oddFooter>&amp;R&amp;P of &amp;N</oddFooter>
  </headerFooter>
  <rowBreaks count="1" manualBreakCount="1">
    <brk id="61" max="1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DAC13E-8449-43C6-AEE9-1FEEBB34A1B6}"/>
</file>

<file path=customXml/itemProps2.xml><?xml version="1.0" encoding="utf-8"?>
<ds:datastoreItem xmlns:ds="http://schemas.openxmlformats.org/officeDocument/2006/customXml" ds:itemID="{B8B6E0D7-EF66-4C12-B5EF-35602DA5E5C2}"/>
</file>

<file path=customXml/itemProps3.xml><?xml version="1.0" encoding="utf-8"?>
<ds:datastoreItem xmlns:ds="http://schemas.openxmlformats.org/officeDocument/2006/customXml" ds:itemID="{6223B61B-A4B6-4CA9-B69A-C91CEB557EE2}"/>
</file>

<file path=customXml/itemProps4.xml><?xml version="1.0" encoding="utf-8"?>
<ds:datastoreItem xmlns:ds="http://schemas.openxmlformats.org/officeDocument/2006/customXml" ds:itemID="{9F68119E-6D65-44D4-88D5-211B21251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Lead E</vt:lpstr>
      <vt:lpstr>TY Reg Assets RB</vt:lpstr>
      <vt:lpstr>RB-IS by FERC</vt:lpstr>
      <vt:lpstr>WRPC 2004 GRC</vt:lpstr>
      <vt:lpstr>Ferndale</vt:lpstr>
      <vt:lpstr>Mint Farm Def</vt:lpstr>
      <vt:lpstr>LSR Prepaid carrying charges </vt:lpstr>
      <vt:lpstr>Snoq</vt:lpstr>
      <vt:lpstr>Baker</vt:lpstr>
      <vt:lpstr>Electron Deferral</vt:lpstr>
      <vt:lpstr>T-Grant Snoq Deferral</vt:lpstr>
      <vt:lpstr>T-Grant Baker Deferral</vt:lpstr>
      <vt:lpstr>BNP</vt:lpstr>
      <vt:lpstr>FB Energy</vt:lpstr>
      <vt:lpstr>$89M Chelan PUD</vt:lpstr>
      <vt:lpstr>Chelan PUD</vt:lpstr>
      <vt:lpstr>$18.5M Chelan</vt:lpstr>
      <vt:lpstr>Colstrip 1&amp;2 Prepaid</vt:lpstr>
      <vt:lpstr>LSR Prepaid BPA interest</vt:lpstr>
      <vt:lpstr>LSR Prepaid Principal</vt:lpstr>
      <vt:lpstr>LSR Prepaid Bill Credits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NC</cp:lastModifiedBy>
  <cp:lastPrinted>2018-12-07T22:10:51Z</cp:lastPrinted>
  <dcterms:created xsi:type="dcterms:W3CDTF">2004-03-17T15:32:21Z</dcterms:created>
  <dcterms:modified xsi:type="dcterms:W3CDTF">2019-09-09T20:36:01Z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